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ФХД'!$O$96</definedName>
    <definedName name="B_FHD_CHECK_INDEX_2">'Показатели ФХД'!$O$98</definedName>
    <definedName name="B_FHD_COSTS_INDEX_1">'Показатели ФХД'!$H$95:$M$95</definedName>
    <definedName name="B_FHD_COSTS_INDEX_2">'Показатели ФХД'!$H$97:$M$97</definedName>
    <definedName name="B_FHD_DATA_TOP80_ACTIVITY">'Показатели ФХД'!$H$112:$M$112</definedName>
    <definedName name="B_FHD_diff_1">'Показатели ФХД'!$I$25:$I$27</definedName>
    <definedName name="B_FHD_FLAG_DIFFERENTIATION">'Показатели ФХД'!$H$24:$M$24</definedName>
    <definedName name="B_FHD_FLAG_INDEX_1">'Показатели ФХД'!$H$96:$M$96</definedName>
    <definedName name="B_FHD_FLAG_INDEX_2">'Показатели ФХД'!$H$98:$M$98</definedName>
    <definedName name="B_FHD_TKO_DATA_TOP80_ACTIVITY">'ТКО. Показатели ФХД'!$H$45:$M$45</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ФХД'!$H$36:$M$36</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&gt;20%'!$D$13:$S$58</definedName>
    <definedName name="B_FHD20_COSTS_OPS_diff_1">'Показатели ФХД &gt;20%'!$Q$17</definedName>
    <definedName name="B_FHD20_COSTS_PH_diff_1">'Показатели ФХД &gt;20%'!$Q$28</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ФХД'!$113:$121</definedName>
    <definedName name="BLOCK_POK_FHD_COLDVSNA_P2">'Показатели ФХД'!$179:$183</definedName>
    <definedName name="BLOCK_POK_FHD_HEAT_ONLY_REG_ORG_P1">'Показатели ФХД'!$86:$87</definedName>
    <definedName name="BLOCK_POK_FHD_HEAT_ONLY_REG_ORG_P2">'Показатели ФХД'!$111:$259</definedName>
    <definedName name="BLOCK_POK_FHD_HEAT_P1">'Показатели ФХД'!$33:$70</definedName>
    <definedName name="BLOCK_POK_FHD_HEAT_P2">'Показатели ФХД'!$103:$103</definedName>
    <definedName name="BLOCK_POK_FHD_HEAT_P3">'Показатели ФХД'!$130:$175</definedName>
    <definedName name="BLOCK_POK_FHD_HEAT_P4">'Показатели ФХД'!$177:$177</definedName>
    <definedName name="BLOCK_POK_FHD_HEAT_P5">'Показатели ФХД'!$184:$258</definedName>
    <definedName name="BLOCK_POK_FHD_HEAT_P6">'Показатели ФХД'!$77:$77</definedName>
    <definedName name="BLOCK_POK_FHD_HOTVSNA_P1">'Показатели ФХД'!$71:$73</definedName>
    <definedName name="BLOCK_POK_FHD_HOTVSNA_P2">'Показатели ФХД'!$122:$126</definedName>
    <definedName name="BLOCK_POK_FHD_NOT_HEAT_P1">'Показатели ФХД'!$97:$98</definedName>
    <definedName name="BLOCK_POK_FHD_NOT_HEAT_P2">'Показатели ФХД'!$111:$111</definedName>
    <definedName name="BLOCK_POK_FHD_NOT_HOTVSNA">'Показатели ФХД'!$78:$78</definedName>
    <definedName name="BLOCK_POK_FHD_VOTV_P1">'Показатели ФХД'!$127:$129</definedName>
    <definedName name="BLOCK_POK_FHD_VSNA">'Показатели ФХД'!$178:$178</definedName>
    <definedName name="BLOCK_POK_FHD20_NOT_HEAT">'Показатели ФХД &gt;20%'!$28:$30</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Детализация'!$A$596:$A$596</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ФХД'!$F$70</definedName>
    <definedName name="pIns_B_FHD_2">'Показатели ФХД'!$F$102</definedName>
    <definedName name="pIns_B_FHD_3">'Показатели ФХД'!$F$165</definedName>
    <definedName name="pIns_B_FHD_4">'Показатели ФХД'!$F$183</definedName>
    <definedName name="pIns_B_FHD_5">'Показатели ФХД'!$F$218</definedName>
    <definedName name="pIns_B_FHD_6">'Показатели ФХД'!$F$253</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&gt;20%'!$D$58</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Детализация'!$F$596</definedName>
    <definedName name="pIns_IP_FIN_PLAN">'ИП. Финансовый план'!$S$8</definedName>
    <definedName name="pIns_IP_MAIN">ИП!$G$15</definedName>
    <definedName name="pIns_IP_QRE">'ИП. КНЭ'!$F$61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p3">Ограничения!$F$36:$Q$37</definedName>
    <definedName name="Q_LIMIT_p4">Ограничения!$F$38:$Q$39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ФХД'!$M$259</definedName>
    <definedName name="tblEnd_1_B_FHD_TKO">'ТКО. Показатели ФХД'!$M$49</definedName>
    <definedName name="tblEnd_1_B_FHD_TKO_TRANS">'ТКО. Транс. Показатели ФХД'!$M$43</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Детализация'!$AH$596</definedName>
    <definedName name="tblEnd_1_IP_FIN_PLAN">'ИП. Финансовый план'!$S$58</definedName>
    <definedName name="tblEnd_1_IP_MAIN">ИП!$AB$16</definedName>
    <definedName name="tblEnd_1_IP_QRE">'ИП. КНЭ'!$FX$61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TEHSHEET!$BE$2:$BE$74</definedName>
    <definedName name="year_list">TEHSHEET!$C$2:$C$6</definedName>
    <definedName name="year_list1">TEHSHEET!$B$2:$B$27</definedName>
    <definedName name="et_B_FHD20_1">et_union_hor!$127:$135</definedName>
    <definedName name="ter_5">'Список территорий'!$G$16:$I$16</definedName>
    <definedName name="ter_51">'Список территорий'!$G$19:$I$19</definedName>
    <definedName name="Q_PH_diff_51">'Потребительские характеристики'!$K$9:$L$11</definedName>
    <definedName name="Q_TP_diff_51">ТП!$I$9:$I$11</definedName>
    <definedName name="Q_Limit_diff_51">Ограничения!$K$26:$L$28</definedName>
    <definedName name="B_FHD_diff_51">'Показатели ФХД'!$J$25:$J$27</definedName>
    <definedName name="B_OTEP_diff_51">'Показатели ОТЭП'!$N$10:$N$12</definedName>
    <definedName name="B_FHD20_diff_51">'Показатели ФХД &gt;20%'!$H$31:$R$33</definedName>
    <definedName name="B_KNE_diff_51">'Показатели КНЭ'!$K$7:$L$9</definedName>
    <definedName name="B_FHD_TKO_diff_51">'ТКО. Показатели ФХД'!$J$10:$J$12</definedName>
    <definedName name="B_FHD_TKO_TRANS_diff_51">'ТКО. Транс. Показатели ФХД'!$J$10:$J$12</definedName>
    <definedName name="Q_PH_diff_5111">'Потребительские характеристики'!$M$9:$N$11</definedName>
    <definedName name="Q_TP_diff_5111">ТП!$J$9:$J$11</definedName>
    <definedName name="Q_Limit_diff_5111">Ограничения!$M$26:$N$28</definedName>
    <definedName name="B_FHD_diff_5111">'Показатели ФХД'!$K$25:$K$27</definedName>
    <definedName name="B_OTEP_diff_5111">'Показатели ОТЭП'!$O$10:$O$12</definedName>
    <definedName name="B_FHD20_diff_5111">'Показатели ФХД &gt;20%'!$H$40:$R$42</definedName>
    <definedName name="B_KNE_diff_5111">'Показатели КНЭ'!$M$7:$N$9</definedName>
    <definedName name="B_FHD_TKO_diff_5111">'ТКО. Показатели ФХД'!$K$10:$K$12</definedName>
    <definedName name="B_FHD_TKO_TRANS_diff_5111">'ТКО. Транс. Показатели ФХД'!$K$10:$K$12</definedName>
    <definedName name="Q_PH_diff_51111">'Потребительские характеристики'!$O$9:$P$11</definedName>
    <definedName name="Q_TP_diff_51111">ТП!$K$9:$K$11</definedName>
    <definedName name="Q_Limit_diff_51111">Ограничения!$O$26:$P$28</definedName>
    <definedName name="B_FHD_diff_51111">'Показатели ФХД'!$L$25:$L$27</definedName>
    <definedName name="B_OTEP_diff_51111">'Показатели ОТЭП'!$P$10:$P$12</definedName>
    <definedName name="B_FHD20_diff_51111">'Показатели ФХД &gt;20%'!$H$49:$R$51</definedName>
    <definedName name="B_KNE_diff_51111">'Показатели КНЭ'!$O$7:$P$9</definedName>
    <definedName name="B_FHD_TKO_diff_51111">'ТКО. Показатели ФХД'!$L$10:$L$12</definedName>
    <definedName name="B_FHD_TKO_TRANS_diff_51111">'ТКО. Транс. Показатели ФХД'!$L$10:$L$12</definedName>
    <definedName name="IP_MAIN_ip_5">ИП!$13:$14</definedName>
    <definedName name="IP_QRE_ip_5">'ИП. КНЭ'!$21:$60</definedName>
    <definedName name="IP_DETAILED_ip_5">'ИП. Детализация'!$14:$595</definedName>
    <definedName name="IP_FIN_PLAN_ip_5">'ИП. Финансовый план'!$K$11:$R$11</definedName>
    <definedName name="DESCRIPTION_TERRITORY">REESTR_DS!$B$2:$B$4</definedName>
    <definedName name="REESTR_INFR_RANGE">REESTR_OBJ_INFR!$A$2:$AL$34</definedName>
    <definedName name="VD_LIST">REESTR_VED!$A$2:$B$11</definedName>
    <definedName name="VD_ID_LIST">REESTR_VED!$A$2:$A$11</definedName>
    <definedName name="VD_NAME_LIST">REESTR_VED!$B$2:$B$11</definedName>
    <definedName name="REESTR_IP_RANGE">REESTR_IP!$A$2:$I$4</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<sst xmlns="http://schemas.openxmlformats.org/spreadsheetml/2006/main" count="18894" uniqueCount="3795">
  <si>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</si>
  <si>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</si>
  <si>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</si>
  <si>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</si>
  <si>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</si>
  <si>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</si>
  <si>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</si>
  <si>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</si>
  <si>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</si>
  <si>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</si>
  <si>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</si>
  <si>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</si>
  <si>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</si>
  <si>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</si>
  <si>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</si>
  <si>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</si>
  <si>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</si>
  <si>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</si>
  <si>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</si>
  <si>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</si>
  <si>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</si>
  <si>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</si>
  <si>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</si>
  <si>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</si>
  <si>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</si>
  <si>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</si>
  <si>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</si>
  <si>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</si>
  <si>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</si>
  <si>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</si>
  <si>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</si>
  <si>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</si>
  <si>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</si>
  <si>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</si>
  <si>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</si>
  <si>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</si>
  <si>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</si>
  <si>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</si>
  <si>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</si>
  <si>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</si>
  <si>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</si>
  <si>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</si>
  <si>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</si>
  <si>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</si>
  <si>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</si>
  <si>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</si>
  <si>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</si>
  <si>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</si>
  <si>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</si>
  <si>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</si>
  <si>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</si>
  <si>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</si>
  <si>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</si>
  <si>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</si>
  <si>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</si>
  <si>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</si>
  <si>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</si>
  <si>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</si>
  <si>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</si>
  <si>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</si>
  <si>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</si>
  <si>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</si>
  <si>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</si>
  <si>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</si>
  <si>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</si>
  <si>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</si>
  <si>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</si>
  <si>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</si>
  <si>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</si>
  <si>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</si>
  <si>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</si>
  <si>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</si>
  <si>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</si>
  <si>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</si>
  <si>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</si>
  <si>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</si>
  <si>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</si>
  <si>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</si>
  <si>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</si>
  <si>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</si>
  <si>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</si>
  <si>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</si>
  <si>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</si>
  <si>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</si>
  <si>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</si>
  <si>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</si>
  <si>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</si>
  <si>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</si>
  <si>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</si>
  <si>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</si>
  <si>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</si>
  <si>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</si>
  <si>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</si>
  <si>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</si>
  <si>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</si>
  <si>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</si>
  <si>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</si>
  <si>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</si>
  <si>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</si>
  <si>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</si>
  <si>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</si>
  <si>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</si>
  <si>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</si>
  <si>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</si>
  <si>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2</t>
  </si>
  <si>
    <t>×</t>
  </si>
  <si>
    <t>ter_5</t>
  </si>
  <si>
    <t>83</t>
  </si>
  <si>
    <t>город Шадринск</t>
  </si>
  <si>
    <t>37705000</t>
  </si>
  <si>
    <t>ter_51</t>
  </si>
  <si>
    <t>77</t>
  </si>
  <si>
    <t>Шадринский муниципальный округ</t>
  </si>
  <si>
    <t>37538000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</si>
  <si>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</si>
  <si>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</si>
  <si>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</si>
  <si>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</si>
  <si>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</si>
  <si>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</si>
  <si>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</si>
  <si>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</si>
  <si>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</si>
  <si>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</si>
  <si>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</si>
  <si>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</si>
  <si>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</si>
  <si>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СП "Тепловые сети"</t>
  </si>
  <si>
    <t>diff_1</t>
  </si>
  <si>
    <t>4190064; 4190065; 4190066; 4190068; 4190070; 4190072; 4190073</t>
  </si>
  <si>
    <t>a</t>
  </si>
  <si>
    <t>ОП "Энергетические сети"</t>
  </si>
  <si>
    <t>diff_51</t>
  </si>
  <si>
    <t>Добавить централизованную систему</t>
  </si>
  <si>
    <t>diff_5111</t>
  </si>
  <si>
    <t>diff_51111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</si>
  <si>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</si>
  <si>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</si>
  <si>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</si>
  <si>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</si>
  <si>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</si>
  <si>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</si>
  <si>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</si>
  <si>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</si>
  <si>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</si>
  <si>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</si>
  <si>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</si>
  <si>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</si>
  <si>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</si>
  <si>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</si>
  <si>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</si>
  <si>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</si>
  <si>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</si>
  <si>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</si>
  <si>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</si>
  <si>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</si>
  <si>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</si>
  <si>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</si>
  <si>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</si>
  <si>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</si>
  <si>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</si>
  <si>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</si>
  <si>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</si>
  <si>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</si>
  <si>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</si>
  <si>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</si>
  <si>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</si>
  <si>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</si>
  <si>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</si>
  <si>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</si>
  <si>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</si>
  <si>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</si>
  <si>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</si>
  <si>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</si>
  <si>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</si>
  <si>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</si>
  <si>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</si>
  <si>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</si>
  <si>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</si>
  <si>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</si>
  <si>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</si>
  <si>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</si>
  <si>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</si>
  <si>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</si>
  <si>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</si>
  <si>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</si>
  <si>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</si>
  <si>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</si>
  <si>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</si>
  <si>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</si>
  <si>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</si>
  <si>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</si>
  <si>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</si>
  <si>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</si>
  <si>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</si>
  <si>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</si>
  <si>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</si>
  <si>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</si>
  <si>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</si>
  <si>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</si>
  <si>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</si>
  <si>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</si>
  <si>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</si>
  <si>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</si>
  <si>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</si>
  <si>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</si>
  <si>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</si>
  <si>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</si>
  <si>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</si>
  <si>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</si>
  <si>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</si>
  <si>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</si>
  <si>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</si>
  <si>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</si>
  <si>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</si>
  <si>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</si>
  <si>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</si>
  <si>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</si>
  <si>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</si>
  <si>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</si>
  <si>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</si>
  <si>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</si>
  <si>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</si>
  <si>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</si>
  <si>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</si>
  <si>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</si>
  <si>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</si>
  <si>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</si>
  <si>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</si>
  <si>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</si>
  <si>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</si>
  <si>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</si>
  <si>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</si>
  <si>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</si>
  <si>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</si>
  <si>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</si>
  <si>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</si>
  <si>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</si>
  <si>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</si>
  <si>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</si>
  <si>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</si>
  <si>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</si>
  <si>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</si>
  <si>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</si>
  <si>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</si>
  <si>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</si>
  <si>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</si>
  <si>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</si>
  <si>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</si>
  <si>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</si>
  <si>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</si>
  <si>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</si>
  <si>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</si>
  <si>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</si>
  <si>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</si>
  <si>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</si>
  <si>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</si>
  <si>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</si>
  <si>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</si>
  <si>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</si>
  <si>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</si>
  <si>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</si>
  <si>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</si>
  <si>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</si>
  <si>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</si>
  <si>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</si>
  <si>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</si>
  <si>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</si>
  <si>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</si>
  <si>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</si>
  <si>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</si>
  <si>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</si>
  <si>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</si>
  <si>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</si>
  <si>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</si>
  <si>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</si>
  <si>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</si>
  <si>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</si>
  <si>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</si>
  <si>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</si>
  <si>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</si>
  <si>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</si>
  <si>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</si>
  <si>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</si>
  <si>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</si>
  <si>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</si>
  <si>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</si>
  <si>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</si>
  <si>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</si>
  <si>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</si>
  <si>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</si>
  <si>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</si>
  <si>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</si>
  <si>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</si>
  <si>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</si>
  <si>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</si>
  <si>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</si>
  <si>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</si>
  <si>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</si>
  <si>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</si>
  <si>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</si>
  <si>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</si>
  <si>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</si>
  <si>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</si>
  <si>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</si>
  <si>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</si>
  <si>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</si>
  <si>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</si>
  <si>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</si>
  <si>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</si>
  <si>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</si>
  <si>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</si>
  <si>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</si>
  <si>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</si>
  <si>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</si>
  <si>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</si>
  <si>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</si>
  <si>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</si>
  <si>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</si>
  <si>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</si>
  <si>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</si>
  <si>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</si>
  <si>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</si>
  <si>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</si>
  <si>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</si>
  <si>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</si>
  <si>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</si>
  <si>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</si>
  <si>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</si>
  <si>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</si>
  <si>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</si>
  <si>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</si>
  <si>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</si>
  <si>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</si>
  <si>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</si>
  <si>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</si>
  <si>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</si>
  <si>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</si>
  <si>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</si>
  <si>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</si>
  <si>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</si>
  <si>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</si>
  <si>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</si>
  <si>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</si>
  <si>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</si>
  <si>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</si>
  <si>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</si>
  <si>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</si>
  <si>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</si>
  <si>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</si>
  <si>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</si>
  <si>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</si>
  <si>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</si>
  <si>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</si>
  <si>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</si>
  <si>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</si>
  <si>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</si>
  <si>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</si>
  <si>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</si>
  <si>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</si>
  <si>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</si>
  <si>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</si>
  <si>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</si>
  <si>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</si>
  <si>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</si>
  <si>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</si>
  <si>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</si>
  <si>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</si>
  <si>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</si>
  <si>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</si>
  <si>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</si>
  <si>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</si>
  <si>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</si>
  <si>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</si>
  <si>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</si>
  <si>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</si>
  <si>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</si>
  <si>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</si>
  <si>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</si>
  <si>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</si>
  <si>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</si>
  <si>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</si>
  <si>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</si>
  <si>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</si>
  <si>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</si>
  <si>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</si>
  <si>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</si>
  <si>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</si>
  <si>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</si>
  <si>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</si>
  <si>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</si>
  <si>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</si>
  <si>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</si>
  <si>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</si>
  <si>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</si>
  <si>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</si>
  <si>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</si>
  <si>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</si>
  <si>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</si>
  <si>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</si>
  <si>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</si>
  <si>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</si>
  <si>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</si>
  <si>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</si>
  <si>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</si>
  <si>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</si>
  <si>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</si>
  <si>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</si>
  <si>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</si>
  <si>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</si>
  <si>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</si>
  <si>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</si>
  <si>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</si>
  <si>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</si>
  <si>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</si>
  <si>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</si>
  <si>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</si>
  <si>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</si>
  <si>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</si>
  <si>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</si>
  <si>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</si>
  <si>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</si>
  <si>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</si>
  <si>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</si>
  <si>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</si>
  <si>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</si>
  <si>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</si>
  <si>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</si>
  <si>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</si>
  <si>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</si>
  <si>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</si>
  <si>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</si>
  <si>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</si>
  <si>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</si>
  <si>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</si>
  <si>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</si>
  <si>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</si>
  <si>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</si>
  <si>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</si>
  <si>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</si>
  <si>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</si>
  <si>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</si>
  <si>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</si>
  <si>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</si>
  <si>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</si>
  <si>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</si>
  <si>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</si>
  <si>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</si>
  <si>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</si>
  <si>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</si>
  <si>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</si>
  <si>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</si>
  <si>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</si>
  <si>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</si>
  <si>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</si>
  <si>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</si>
  <si>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</si>
  <si>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</si>
  <si>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</si>
  <si>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</si>
  <si>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</si>
  <si>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</si>
  <si>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</si>
  <si>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</si>
  <si>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</si>
  <si>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</si>
  <si>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</si>
  <si>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</si>
  <si>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</si>
  <si>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</si>
  <si>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</si>
  <si>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</si>
  <si>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</si>
  <si>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</si>
  <si>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</si>
  <si>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</si>
  <si>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</si>
  <si>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</si>
  <si>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</si>
  <si>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</si>
  <si>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</si>
  <si>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</si>
  <si>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</si>
  <si>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</si>
  <si>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</si>
  <si>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</si>
  <si>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</si>
  <si>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</si>
  <si>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</si>
  <si>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</si>
  <si>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</si>
  <si>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</si>
  <si>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</si>
  <si>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</si>
  <si>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</si>
  <si>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</si>
  <si>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</si>
  <si>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</si>
  <si>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</si>
  <si>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</si>
  <si>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</si>
  <si>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</si>
  <si>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</si>
  <si>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</si>
  <si>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</si>
  <si>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</si>
  <si>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</si>
  <si>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</si>
  <si>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</si>
  <si>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</si>
  <si>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</si>
  <si>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</si>
  <si>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</si>
  <si>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</si>
  <si>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</si>
  <si>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</si>
  <si>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</si>
  <si>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</si>
  <si>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</si>
  <si>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</si>
  <si>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</si>
  <si>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</si>
  <si>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</si>
  <si>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</si>
  <si>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</si>
  <si>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</si>
  <si>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</si>
  <si>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</si>
  <si>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</si>
  <si>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</si>
  <si>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</si>
  <si>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</si>
  <si>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</si>
  <si>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</si>
  <si>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</si>
  <si>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</si>
  <si>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</si>
  <si>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</si>
  <si>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</si>
  <si>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</si>
  <si>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</si>
  <si>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</si>
  <si>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</si>
  <si>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</si>
  <si>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</si>
  <si>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</si>
  <si>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</si>
  <si>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</si>
  <si>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</si>
  <si>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</si>
  <si>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</si>
  <si>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</si>
  <si>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</si>
  <si>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</si>
  <si>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</si>
  <si>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</si>
  <si>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</si>
  <si>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</si>
  <si>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</si>
  <si>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</si>
  <si>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</si>
  <si>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</si>
  <si>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</si>
  <si>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</si>
  <si>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</si>
  <si>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</si>
  <si>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</si>
  <si>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</si>
  <si>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</si>
  <si>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</si>
  <si>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</si>
  <si>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</si>
  <si>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</si>
  <si>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</si>
  <si>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</si>
  <si>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</si>
  <si>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</si>
  <si>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</si>
  <si>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</si>
  <si>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</si>
  <si>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</si>
  <si>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</si>
  <si>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</si>
  <si>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</si>
  <si>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мазут</t>
  </si>
  <si>
    <t>тонны</t>
  </si>
  <si>
    <t xml:space="preserve"> 0</t>
  </si>
  <si>
    <t>уголь каменный</t>
  </si>
  <si>
    <t>электроэнергия (ВН)</t>
  </si>
  <si>
    <t>тыс кВт.ч</t>
  </si>
  <si>
    <t>прочее</t>
  </si>
  <si>
    <t>куб.м</t>
  </si>
  <si>
    <t>Прочее</t>
  </si>
  <si>
    <t>Добавить вид топлива</t>
  </si>
  <si>
    <t>HOTVSNA_P1</t>
  </si>
  <si>
    <t>руб.</t>
  </si>
  <si>
    <t>тыс. кВт·ч</t>
  </si>
  <si>
    <t>HEAT_P6</t>
  </si>
  <si>
    <t>NOT_HOTVSNA</t>
  </si>
  <si>
    <t>отсутствует</t>
  </si>
  <si>
    <t>есть</t>
  </si>
  <si>
    <t>NOT_HEAT_P1</t>
  </si>
  <si>
    <t>Прочие расходы</t>
  </si>
  <si>
    <t>Добавить прочие расходы</t>
  </si>
  <si>
    <t>HEAT_P2</t>
  </si>
  <si>
    <t>NOT_HEAT_P2</t>
  </si>
  <si>
    <t>hyp</t>
  </si>
  <si>
    <t xml:space="preserve">https://portal.eias.ru/Portal/DownloadPage.aspx?type=12&amp;guid=fb474a60-39ed-4d31-b190-0db3d294e998 </t>
  </si>
  <si>
    <t>COLDVSNA_P1</t>
  </si>
  <si>
    <t>тыс. куб. м</t>
  </si>
  <si>
    <t>HOTVSNA_P2</t>
  </si>
  <si>
    <t>тыс. Гкал</t>
  </si>
  <si>
    <t>VOTV_P1</t>
  </si>
  <si>
    <t>HEAT_P3</t>
  </si>
  <si>
    <t>Курганская ТЭЦ</t>
  </si>
  <si>
    <t>Западная ТЭЦ</t>
  </si>
  <si>
    <t>Котельная №1,8</t>
  </si>
  <si>
    <t>Котельная №5</t>
  </si>
  <si>
    <t>Котельная №12</t>
  </si>
  <si>
    <t>Котельная №14</t>
  </si>
  <si>
    <t>Котельная №16</t>
  </si>
  <si>
    <t>Котельная №17</t>
  </si>
  <si>
    <t>Котельная №18</t>
  </si>
  <si>
    <t>Котельная №20</t>
  </si>
  <si>
    <t>Котельная №22</t>
  </si>
  <si>
    <t>Котельная №23</t>
  </si>
  <si>
    <t>Котельная №24</t>
  </si>
  <si>
    <t>Котельная №26</t>
  </si>
  <si>
    <t>Котельная №28</t>
  </si>
  <si>
    <t>Котельная №31</t>
  </si>
  <si>
    <t>Котельная №32</t>
  </si>
  <si>
    <t>Котельная №37</t>
  </si>
  <si>
    <t>Котельная №39</t>
  </si>
  <si>
    <t>Котельная №44</t>
  </si>
  <si>
    <t>Центральная котельная</t>
  </si>
  <si>
    <t>Котельная №2</t>
  </si>
  <si>
    <t>Котельная №3</t>
  </si>
  <si>
    <t>Котельная №4</t>
  </si>
  <si>
    <t>Котельная №7</t>
  </si>
  <si>
    <t>Котельная №9</t>
  </si>
  <si>
    <t>Котельная ЦРБ</t>
  </si>
  <si>
    <t>Котельная ШПК</t>
  </si>
  <si>
    <t>Котельная с. Погорелка</t>
  </si>
  <si>
    <t>Котельная с. Чистопрудное</t>
  </si>
  <si>
    <t>Котельная с. Красная Нива</t>
  </si>
  <si>
    <t>Котельная с. Красная Звезда №1</t>
  </si>
  <si>
    <t>Котельная с. Красная Звезда №2</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</si>
  <si>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</si>
  <si>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</si>
  <si>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</si>
  <si>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</si>
  <si>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</si>
  <si>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</si>
  <si>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</si>
  <si>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</si>
  <si>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</si>
  <si>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</si>
  <si>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</si>
  <si>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</si>
  <si>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</si>
  <si>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</si>
  <si>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</si>
  <si>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</si>
  <si>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</si>
  <si>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</si>
  <si>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</si>
  <si>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</si>
  <si>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</si>
  <si>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</si>
  <si>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</si>
  <si>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</si>
  <si>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</si>
  <si>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</si>
  <si>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"Техэнергосервис"</t>
  </si>
  <si>
    <t>Итого по поставщику, в том числе</t>
  </si>
  <si>
    <t>1.1</t>
  </si>
  <si>
    <t>Торги/аукционы</t>
  </si>
  <si>
    <t>Договор №ТЭС-2025 от 04.06.2025 г.</t>
  </si>
  <si>
    <t>Ремонт основных средств</t>
  </si>
  <si>
    <t>Добавить товар/услугу</t>
  </si>
  <si>
    <t>Добавить способ</t>
  </si>
  <si>
    <t>ООО "Благострой"</t>
  </si>
  <si>
    <t>Договор №2025.67871 от 07.04.2025 г.</t>
  </si>
  <si>
    <t>Восстановление асфальто-бетонного покрытия после ремонта основных средств</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</si>
  <si>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</si>
  <si>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</si>
  <si>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</si>
  <si>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</si>
  <si>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</si>
  <si>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</si>
  <si>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</si>
  <si>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</si>
  <si>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</si>
  <si>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</si>
  <si>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</si>
  <si>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</si>
  <si>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</si>
  <si>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</si>
  <si>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</si>
  <si>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</si>
  <si>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</si>
  <si>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</si>
  <si>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</si>
  <si>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</si>
  <si>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</si>
  <si>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</si>
  <si>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</si>
  <si>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</si>
  <si>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</si>
  <si>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</si>
  <si>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</si>
  <si>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</si>
  <si>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</si>
  <si>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</si>
  <si>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</si>
  <si>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</si>
  <si>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</si>
  <si>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</si>
  <si>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</si>
  <si>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</si>
  <si>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</si>
  <si>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</si>
  <si>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</si>
  <si>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</si>
  <si>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</si>
  <si>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</si>
  <si>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</si>
  <si>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</si>
  <si>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</si>
  <si>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</si>
  <si>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</si>
  <si>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</si>
  <si>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</si>
  <si>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</si>
  <si>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</si>
  <si>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</si>
  <si>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</si>
  <si>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</si>
  <si>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</si>
  <si>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</si>
  <si>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</si>
  <si>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</si>
  <si>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</si>
  <si>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</si>
  <si>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</si>
  <si>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</si>
  <si>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</si>
  <si>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</si>
  <si>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</si>
  <si>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</si>
  <si>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</si>
  <si>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</si>
  <si>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</si>
  <si>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</si>
  <si>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</si>
  <si>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</si>
  <si>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</si>
  <si>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</si>
  <si>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</si>
  <si>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</si>
  <si>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</si>
  <si>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</si>
  <si>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</si>
  <si>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</si>
  <si>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</si>
  <si>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</si>
  <si>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</si>
  <si>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</si>
  <si>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</si>
  <si>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</si>
  <si>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</si>
  <si>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</si>
  <si>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</si>
  <si>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</si>
  <si>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</si>
  <si>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</si>
  <si>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</si>
  <si>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</si>
  <si>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</si>
  <si>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</si>
  <si>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</si>
  <si>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</si>
  <si>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</si>
  <si>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</si>
  <si>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</si>
  <si>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</si>
  <si>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</si>
  <si>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</si>
  <si>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</si>
  <si>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</si>
  <si>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</si>
  <si>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</si>
  <si>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</si>
  <si>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</si>
  <si>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</si>
  <si>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</si>
  <si>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</si>
  <si>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</si>
  <si>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</si>
  <si>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</si>
  <si>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</si>
  <si>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</si>
  <si>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</si>
  <si>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</si>
  <si>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</si>
  <si>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</si>
  <si>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</si>
  <si>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</si>
  <si>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</si>
  <si>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</si>
  <si>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</si>
  <si>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</si>
  <si>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</si>
  <si>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</si>
  <si>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</si>
  <si>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</si>
  <si>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</si>
  <si>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</si>
  <si>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</si>
  <si>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</si>
  <si>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</si>
  <si>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</si>
  <si>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</si>
  <si>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</si>
  <si>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</si>
  <si>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</si>
  <si>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</si>
  <si>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</si>
  <si>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</si>
  <si>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</si>
  <si>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</si>
  <si>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</si>
  <si>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</si>
  <si>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</si>
  <si>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</si>
  <si>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</si>
  <si>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</si>
  <si>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</si>
  <si>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</si>
  <si>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</si>
  <si>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</si>
  <si>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</si>
  <si>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</si>
  <si>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</si>
  <si>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</si>
  <si>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</si>
  <si>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</si>
  <si>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</si>
  <si>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</si>
  <si>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</si>
  <si>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</si>
  <si>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</si>
  <si>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</si>
  <si>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</si>
  <si>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</si>
  <si>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</si>
  <si>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</si>
  <si>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</si>
  <si>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</si>
  <si>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</si>
  <si>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</si>
  <si>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</si>
  <si>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</si>
  <si>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</si>
  <si>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</si>
  <si>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</si>
  <si>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</si>
  <si>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</si>
  <si>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</si>
  <si>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</si>
  <si>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</si>
  <si>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</si>
  <si>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</si>
  <si>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</si>
  <si>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</si>
  <si>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</si>
  <si>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</si>
  <si>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</si>
  <si>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</si>
  <si>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</si>
  <si>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</si>
  <si>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</si>
  <si>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</si>
  <si>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</si>
  <si>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</si>
  <si>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</si>
  <si>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</si>
  <si>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</si>
  <si>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</si>
  <si>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</si>
  <si>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</si>
  <si>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</si>
  <si>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</si>
  <si>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</si>
  <si>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</si>
  <si>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</si>
  <si>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</si>
  <si>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</si>
  <si>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</si>
  <si>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</si>
  <si>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</si>
  <si>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</si>
  <si>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</si>
  <si>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</si>
  <si>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</si>
  <si>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</si>
  <si>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</si>
  <si>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</si>
  <si>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</si>
  <si>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</si>
  <si>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</si>
  <si>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</si>
  <si>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</si>
  <si>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</si>
  <si>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</si>
  <si>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</si>
  <si>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</si>
  <si>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</si>
  <si>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</si>
  <si>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</si>
  <si>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</si>
  <si>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</si>
  <si>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</si>
  <si>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</si>
  <si>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</si>
  <si>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</si>
  <si>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</si>
  <si>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</si>
  <si>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</si>
  <si>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</si>
  <si>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</si>
  <si>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</si>
  <si>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</si>
  <si>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</si>
  <si>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</si>
  <si>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</si>
  <si>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</si>
  <si>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</si>
  <si>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</si>
  <si>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</si>
  <si>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</si>
  <si>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</si>
  <si>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</si>
  <si>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</si>
  <si>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</si>
  <si>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</si>
  <si>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</si>
  <si>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</si>
  <si>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</si>
  <si>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</si>
  <si>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</si>
  <si>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</si>
  <si>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</si>
  <si>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</si>
  <si>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</si>
  <si>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</si>
  <si>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</si>
  <si>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</si>
  <si>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</si>
  <si>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</si>
  <si>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</si>
  <si>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</si>
  <si>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</si>
  <si>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</si>
  <si>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</si>
  <si>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</si>
  <si>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</si>
  <si>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</si>
  <si>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</si>
  <si>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</si>
  <si>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</si>
  <si>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</si>
  <si>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</si>
  <si>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</si>
  <si>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</si>
  <si>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</si>
  <si>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</si>
  <si>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</si>
  <si>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</si>
  <si>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</si>
  <si>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</si>
  <si>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</si>
  <si>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</si>
  <si>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</si>
  <si>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</si>
  <si>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</si>
  <si>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</si>
  <si>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</si>
  <si>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</si>
  <si>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</si>
  <si>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</si>
  <si>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</si>
  <si>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</si>
  <si>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</si>
  <si>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</si>
  <si>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</si>
  <si>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</si>
  <si>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</si>
  <si>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</si>
  <si>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</si>
  <si>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</si>
  <si>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</si>
  <si>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</si>
  <si>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</si>
  <si>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</si>
  <si>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</si>
  <si>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</si>
  <si>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</si>
  <si>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</si>
  <si>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</si>
  <si>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</si>
  <si>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</si>
  <si>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</si>
  <si>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</si>
  <si>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</si>
  <si>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</si>
  <si>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</si>
  <si>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</si>
  <si>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</si>
  <si>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</si>
  <si>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</si>
  <si>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</si>
  <si>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</si>
  <si>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</si>
  <si>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</si>
  <si>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</si>
  <si>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</si>
  <si>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</si>
  <si>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</si>
  <si>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</si>
  <si>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</si>
  <si>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</si>
  <si>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</si>
  <si>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</si>
  <si>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</si>
  <si>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</si>
  <si>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</si>
  <si>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</si>
  <si>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</si>
  <si>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</si>
  <si>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</si>
  <si>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</si>
  <si>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</si>
  <si>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</si>
  <si>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</si>
  <si>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</si>
  <si>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</si>
  <si>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</si>
  <si>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</si>
  <si>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</si>
  <si>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</si>
  <si>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</si>
  <si>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</si>
  <si>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</si>
  <si>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</si>
  <si>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</si>
  <si>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</si>
  <si>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</si>
  <si>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</si>
  <si>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</si>
  <si>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</si>
  <si>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</si>
  <si>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</si>
  <si>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</si>
  <si>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</si>
  <si>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</si>
  <si>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</si>
  <si>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</si>
  <si>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</si>
  <si>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</si>
  <si>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</si>
  <si>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</si>
  <si>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</si>
  <si>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</si>
  <si>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</si>
  <si>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</si>
  <si>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</si>
  <si>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</si>
  <si>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уменьшение удельных затрат (повышение КПД); уменьшение издержек на производство; снижение аварийности; повышение надёжности и энергетической эффективности</t>
  </si>
  <si>
    <t>Департамент государственного регулирования цен и тарифов Курганской области</t>
  </si>
  <si>
    <t>Администрация г.Кургана; Администрация г.Шадринска; Администрация Шадринского муниципального округа</t>
  </si>
  <si>
    <t>01.01.2023</t>
  </si>
  <si>
    <t>31.12.2028</t>
  </si>
  <si>
    <t>Об утверждении инвестиционной программы в сфере теплоснабжения Публичного акционерного общества "Курганская генерирующая компания" на 2023 - 2028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</si>
  <si>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Постановление</t>
  </si>
  <si>
    <t>49-1</t>
  </si>
  <si>
    <t>О внесении изменения в постановление Департамента государственного регулирования цен и тарифов Курганской области от 28 октября 2022 года №49-1 "Об утверждении инвестиционной программы в сфере теплоснабжения Публичного акционерного общества "Курганская генерирующая компания" на 2023 - 2028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</si>
  <si>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59-14</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</si>
  <si>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</si>
  <si>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</si>
  <si>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</si>
  <si>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</si>
  <si>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</si>
  <si>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</si>
  <si>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</si>
  <si>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</si>
  <si>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</si>
  <si>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</si>
  <si>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</si>
  <si>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</si>
  <si>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</si>
  <si>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</si>
  <si>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</si>
  <si>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</si>
  <si>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</si>
  <si>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</si>
  <si>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</si>
  <si>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</si>
  <si>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</si>
  <si>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</si>
  <si>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</si>
  <si>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</si>
  <si>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</si>
  <si>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</si>
  <si>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</si>
  <si>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</si>
  <si>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</si>
  <si>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</si>
  <si>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</si>
  <si>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</si>
  <si>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Мероприятия, направленные на повышение энергоэффективности в сфере теплоснабжения</t>
  </si>
  <si>
    <t>Установка нового вакуумного деаэратора подпитки теплосети производительностью 50 т/час</t>
  </si>
  <si>
    <t>Декабрь</t>
  </si>
  <si>
    <t>2024</t>
  </si>
  <si>
    <t>ТИ с сетями</t>
  </si>
  <si>
    <t>г Курган</t>
  </si>
  <si>
    <t>37701000001</t>
  </si>
  <si>
    <t>пр-кт. Конституции</t>
  </si>
  <si>
    <t>29А</t>
  </si>
  <si>
    <t xml:space="preserve">  Прибыль направляемая на инвестиции</t>
  </si>
  <si>
    <t>Добавить источник финансирования</t>
  </si>
  <si>
    <t>Добавить объект инфраструктуры</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</si>
  <si>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</si>
  <si>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</si>
  <si>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</si>
  <si>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</si>
  <si>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Подключение перспективного потребителя к существующим тепловым сетям Физкультурно-оздоровительный комплекс по адресу: г. Курган, 4 мкр, 25</t>
  </si>
  <si>
    <t>Январь</t>
  </si>
  <si>
    <t>2025</t>
  </si>
  <si>
    <t xml:space="preserve">  За счет платы за технологическое присоединение</t>
  </si>
  <si>
    <t>Подключение перспективного потребителя к существующим тепловым сетям Многоквартирный жилой дом по адресу: г. Курган, 7 мкр., 14</t>
  </si>
  <si>
    <t>Замена поверхностей нагрева пикового водогрейного котла ст.№3 с реконструкцией конвективной части Курганской ТЭЦ</t>
  </si>
  <si>
    <t>Подключение перспективного потребителя к существующим тепловым сетям Многоквартирный жилой дом по адресу: г. Курган, 7 мкр., 12</t>
  </si>
  <si>
    <t>Подключение перспективного потребителя к существующим тепловым сетям Многоквартирный жилой дом по адресу: г. Курган, 7 мкр., 11</t>
  </si>
  <si>
    <t>одключение перспективного потребителя к существующим тепловым сетям Многоквартирный жилой дом по адресу: г. Курган, 12 мкр, 34</t>
  </si>
  <si>
    <t>Не выполнено в соответствии с планом</t>
  </si>
  <si>
    <t>Подключение перспективного потребителя к существующим тепловым сетям «Многоквартирные жилые дома №1, №2, №3»,  по адресу: г. Курган, 8 мкр, 5</t>
  </si>
  <si>
    <t>Подключение перспективного потребителя к существующим тепловым сетям Среднеэтажная жилая застройка по адресу: г. Курган, ул. Дзержинского, 19</t>
  </si>
  <si>
    <t xml:space="preserve">Подключение перспективного потребителя к существующим тепловым сетям: среднеэтажный многоквартирный жилой дом по адресу: Заозерный м-н, 6а микрорайон </t>
  </si>
  <si>
    <t xml:space="preserve">Подключение перспективного потребителя к существующим тепловым сетям: среднеэтажный многоквартирный жилой дом по адресу: Заозерный м-н, VI-а </t>
  </si>
  <si>
    <t xml:space="preserve">Подключение перспективного потребителя к существующим тепловым сетям Многоэтажный многоквартирный жилой дом по адресу: г. Курган, ул. Алексеева
</t>
  </si>
  <si>
    <t xml:space="preserve">Подключение перспективного потребителя к существующим тепловым сетям Административное здание по адресу: г. Курган, ул. Автозаводская, 1к
</t>
  </si>
  <si>
    <t>Подключение перспективного потребителя к существующим тепловым сетям многоквартирные жилые дома по адресу: Заозерный, 16 мкр-н, 4 квартал (1,2,3,4,5,6 этапы)</t>
  </si>
  <si>
    <t>2028</t>
  </si>
  <si>
    <t>Срок выполнения не наступил</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</si>
  <si>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</si>
  <si>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</si>
  <si>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теплоснабжения, за исключением тепловых сетей</t>
  </si>
  <si>
    <t>Замена котельного оборудования в котельной №16</t>
  </si>
  <si>
    <t xml:space="preserve">      Прочие амортизационные отчисления</t>
  </si>
  <si>
    <t>реконструкция или модернизация существующих тепловых сетей</t>
  </si>
  <si>
    <t>Реконструкиция участка тепловой сети от ТК - 11 до ТК- 19 по ул. Февральская</t>
  </si>
  <si>
    <t>Реконструкция участка тепловой сети от ТК-5 до ТК -11 по ул. Урицкого</t>
  </si>
  <si>
    <t>Реконструкция тепловой сети от ТК-53 до ТК-19/2 по ул. Розы Люксембург</t>
  </si>
  <si>
    <t>2027</t>
  </si>
  <si>
    <t>15</t>
  </si>
  <si>
    <t>Реконструкция участка тепловой сети от ТК-24 до перекрестка улиц Февральская-Спартака по ул. Февральская</t>
  </si>
  <si>
    <t>16</t>
  </si>
  <si>
    <t>Замена котельного оборудования котельной №44</t>
  </si>
  <si>
    <t>2026</t>
  </si>
  <si>
    <t>п. Керамзитный</t>
  </si>
  <si>
    <t>Стройиндустрии 3</t>
  </si>
  <si>
    <t>17</t>
  </si>
  <si>
    <t>Реконструкция котельной ЦРБ</t>
  </si>
  <si>
    <t>г Шадринск</t>
  </si>
  <si>
    <t>37705000001</t>
  </si>
  <si>
    <t>Мальцевский тракт</t>
  </si>
  <si>
    <t>18</t>
  </si>
  <si>
    <t>Реконструкция ЦТП № 5</t>
  </si>
  <si>
    <t>19</t>
  </si>
  <si>
    <t>Реконструкция  котельной, Курганская обл., Шадринский муниципальный округ, с. Красная Звезда, ул. Труда, д. 2а</t>
  </si>
  <si>
    <t>Котельная Красная Звезда -1</t>
  </si>
  <si>
    <t>с Красная Звезда</t>
  </si>
  <si>
    <t>37538000291</t>
  </si>
  <si>
    <t>ул. Труда</t>
  </si>
  <si>
    <t>2а</t>
  </si>
  <si>
    <t>20</t>
  </si>
  <si>
    <t>Реконструкция  котельной, Курганская обл., Шадринский муниципальный округ, с. Красная Нива, ул. Зеленая роща, 12</t>
  </si>
  <si>
    <t>Котельная Красная Нива</t>
  </si>
  <si>
    <t>с Красная Нива</t>
  </si>
  <si>
    <t>37538000296</t>
  </si>
  <si>
    <t>ул. Зеленая роща</t>
  </si>
  <si>
    <t>21</t>
  </si>
  <si>
    <t xml:space="preserve">Замена котельного оборудования котельной № 1,8 </t>
  </si>
  <si>
    <t>ул. Карбышева</t>
  </si>
  <si>
    <t>31а/2</t>
  </si>
  <si>
    <t>22</t>
  </si>
  <si>
    <t>23</t>
  </si>
  <si>
    <t>Реконструкция дымовой трубы ДТ №5 и газоходов</t>
  </si>
  <si>
    <t>24</t>
  </si>
  <si>
    <t>Реконструкция насосной станции ливневых вод и промливневого водовода К-2</t>
  </si>
  <si>
    <t>25</t>
  </si>
  <si>
    <t>Внедрение частотных преобразователей на котельной №44</t>
  </si>
  <si>
    <t>Сентябрь</t>
  </si>
  <si>
    <t>26</t>
  </si>
  <si>
    <t>Замена существующих насосов на более современные на котельной №44</t>
  </si>
  <si>
    <t>27</t>
  </si>
  <si>
    <t>Замена подогревателей на более современные пластинчатые на котельной №44</t>
  </si>
  <si>
    <t>28</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</si>
  <si>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</si>
  <si>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Выполнение мероприятий пунктов 73,75,76,77,83,138,171,177 Правил по обеспечению безопасности и антитеррористической защищенности объектов топливо-энергетического комплекса, утвержденных постановлением Правительства РФ от 05.05.2012 г. № 458дсп</t>
  </si>
  <si>
    <t>ул. Щеткина</t>
  </si>
  <si>
    <t>29</t>
  </si>
  <si>
    <t>Монтаж автоматической ПС и СОУЭ в здании котельной № 4</t>
  </si>
  <si>
    <t>ул. Автомобилистов</t>
  </si>
  <si>
    <t>30</t>
  </si>
  <si>
    <t>Монтаж автоматической ПС и СОУЭ в здании Центральной котельной</t>
  </si>
  <si>
    <t>31</t>
  </si>
  <si>
    <t>Монтаж автоматической ПС и СОУЭ в здании мазутонасосной</t>
  </si>
  <si>
    <t>32</t>
  </si>
  <si>
    <t>Создание интегрированного комплекса обнаружения и нейтрализации беспилотных летательных аппаратов (БПЛА) на базе мультидиапазонной системы комлексной защиты от БПЛА</t>
  </si>
  <si>
    <t>Май</t>
  </si>
  <si>
    <t>Подключение перспективного потребителя к существующим тепловым сетям Многоэтажный жилой дом со встроенно-пристроенными помещениями по адресу: г.Курган, ул.Аргентовского, 125</t>
  </si>
  <si>
    <t>Подключение перспективного потребителя к существующим тепловым сетям Здание магазина по адресу: г. Курган, 11 мкр.</t>
  </si>
  <si>
    <t>Подключение перспективного потребителя к существующим тепловым сетям ООО «Индустриальный парк «Русич» по адресу: г. Курган, ул. Невежина, 3</t>
  </si>
  <si>
    <t>Подключение перспективного потребителя к существующим тепловым сетям: жилая застройка в границах улиц Пролетарская - Гоголя - Карла Маркса в г. Кургане. Комплекс жилых домов со встроенными помещениями по адресу: г. Курган, ул. Пролетарская, 40а</t>
  </si>
  <si>
    <t xml:space="preserve">Подключение перспективного потребителя к существующим тепловым сетям: многоэтажный многокварирный жилой дом по адресу: г. Курган, ул. Алексеева </t>
  </si>
  <si>
    <t>Подключение перспективного потребителя к существующим тепловым сетям:  жилой комплекс по адресу: г. Курган, ул. К.Мяготина- Невежина -Кремлева - Победы</t>
  </si>
  <si>
    <t>Подключение перспективного потребителя к существующим тепловым сетям:   ТЦ "Европа" по адресу: Курганская обл.,г.Шадринск, ул. Комсомольская,16б</t>
  </si>
  <si>
    <t xml:space="preserve">Подключение перспективного потребителя к существующим тепловым сетям Многоэтажный многоквартирный жилой дом по адресу: г. Курган, ул. Алексеева, 4е
</t>
  </si>
  <si>
    <t xml:space="preserve">Подключение перспективного потребителя к существующим тепловым сетям Многоквартирный жилой дом с нежилыми помещениями по адресу: г. Курган, ул. Смирнова, д.7 </t>
  </si>
  <si>
    <t xml:space="preserve">Подключение перспективного потребителя к существующим тепловым сетям Многоквартирный жилой дом по адресу: г.Курган,ул.5-я Больничная,3 </t>
  </si>
  <si>
    <t>Подключение перспективного потребителя к существующим тепловым сетям Многоквартирный жилой дом по адресу: г.Курган, 12 микрорайон, 20</t>
  </si>
  <si>
    <t>Модернизация участка тепловой сети от шахты опуска перед дорогой по ул. Карбышева до поворота на ул. Александра Попова; от ввода в жилой дом № 1 по ул. Циолковского до ввода в жилой дом № 4 по ул. Перова</t>
  </si>
  <si>
    <t xml:space="preserve">  Прочие</t>
  </si>
  <si>
    <t>Увеличение диаметров участков магистральных тепловых сетей.  Участок от ТК-39/19 до ОНП-7 (ул. Савельева)</t>
  </si>
  <si>
    <t>Увеличение диаметров участков магистральных тепловых сетей. Участки от ТК-50/1 до ТК-50/2, от ТК-49 до ТК-50А, от ТК-52а до ШП-103 (ул. Пролетарская)</t>
  </si>
  <si>
    <t>Увеличение диаметров участков магистральных тепловых сетей. Участок от ТК-501 до ЦТП-105 (3-й мкр.)</t>
  </si>
  <si>
    <t>котельная №16</t>
  </si>
  <si>
    <t>ул. Достоевского</t>
  </si>
  <si>
    <t>Реконструкция котельной № 2</t>
  </si>
  <si>
    <t>ул. Ломоносова</t>
  </si>
  <si>
    <t>Реконструкция котельной № 4</t>
  </si>
  <si>
    <t>Реконструкция котельной № 9</t>
  </si>
  <si>
    <t>10 (корпус 1)</t>
  </si>
  <si>
    <t>Модернизация ЦТП № 2</t>
  </si>
  <si>
    <t>Модернизация ЦТП № 11</t>
  </si>
  <si>
    <t>Замена существующих насосов на более современные на котельной №16</t>
  </si>
  <si>
    <t>Замена существующих насосов на более современные на котельной №1,8</t>
  </si>
  <si>
    <t xml:space="preserve">Подключение перспективного потребителя к существующим тепловым сетям Многоквартирного жилого дома по адресу: г.Курган, ул.К.Мяготина, 117а </t>
  </si>
  <si>
    <t xml:space="preserve">Подключение перспективного потребителя к существующим тепловым сетям  центра служебного собаководства УМВД России по Курганской области по адресу: ул.Промышленная </t>
  </si>
  <si>
    <t>строительство иных объектов теплоснабжения за исключением тепловых сетей в целях подключения потребителей</t>
  </si>
  <si>
    <t xml:space="preserve">Строительство насосных станций НС-8, НС-9 </t>
  </si>
  <si>
    <t>Реконструкция участка тепловых сетей от Центральной котельной до ТК № 5 по ул.Карла Маркса</t>
  </si>
  <si>
    <t>Увеличение диаметров участков магистральных тепловых сетей . Участок от НС 1,2 до УП-1 (ул. Зорге, ул. Косая, ул.9 января)</t>
  </si>
  <si>
    <t>Увеличение диаметров участков магистральных тепловых сетей. Участок от СТ-152 до НС-1,2 (ул. Джамбула, ул. Куртамышская, ул. Сухэ-Батора, ул. Интернациональная)</t>
  </si>
  <si>
    <t>Увеличение диаметров участков магистральных тепловых сетей. Участок от ТК-39А до ТК-39/6 (от ул. Пушкина по ул. Кирова до ул. М. Горького)</t>
  </si>
  <si>
    <t>Модернизация ЦТП № 6</t>
  </si>
  <si>
    <t>Модернизация ЦТП № 12</t>
  </si>
  <si>
    <t>Модернизация ЦТП № 18</t>
  </si>
  <si>
    <t>Модернизация ЦТП №20</t>
  </si>
  <si>
    <t>Реконструкция  котельной, Курганская обл., Шадринский муниципальный округ, с. Погорелка, ул. Лесная, д. 13</t>
  </si>
  <si>
    <t>Котельная Погорелка</t>
  </si>
  <si>
    <t>с Погорелка</t>
  </si>
  <si>
    <t>37538000436</t>
  </si>
  <si>
    <t>ул. Лесная</t>
  </si>
  <si>
    <t>Модернизация ЦТП №3</t>
  </si>
  <si>
    <t>Модернизация ЦТП №9</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</si>
  <si>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</si>
  <si>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Прокладка новых трубопроводов от существующих магистральных трубопроводов от ТЭЦ-2 от СТ -К22 до котельной №22. Установка насосного оборудования марка насоса BL 80/170-30/2</t>
  </si>
  <si>
    <t>Прокладка новых трубопроводов от существующих магистральных трубопроводов от ТЭЦ-2 от СТ-К20 до котельной №20 с заменой ввода на ЦТП №К25. Установка насосного оборудования марка насоса BL 100/345-30/4</t>
  </si>
  <si>
    <t>Увеличение диаметров участков магистральных тепловых сетей. Участок от ПСЗ-1/3 до ПСЗ 3/3(ул. Мостостроителей) (1 этап)</t>
  </si>
  <si>
    <t>Увеличение диаметров участков магистральных тепловых сетей. Участок от ПСЗ-1/3 до ПСЗ 3/3(ул. Мостостроителей) (2 этап)</t>
  </si>
  <si>
    <t>Модернизация ЦТП № 25</t>
  </si>
  <si>
    <t>Модернизация ЦТП № 10</t>
  </si>
  <si>
    <t>Модернизация ЦТП № 19</t>
  </si>
  <si>
    <t>Модернизация ЦТП №16</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</si>
  <si>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</si>
  <si>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</si>
  <si>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</si>
  <si>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</si>
  <si>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</si>
  <si>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</si>
  <si>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</si>
  <si>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</si>
  <si>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</si>
  <si>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</si>
  <si>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</si>
  <si>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</si>
  <si>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</si>
  <si>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</si>
  <si>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</si>
  <si>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</si>
  <si>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</si>
  <si>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</si>
  <si>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</si>
  <si>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</si>
  <si>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</si>
  <si>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</si>
  <si>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</si>
  <si>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</si>
  <si>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</si>
  <si>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</si>
  <si>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</si>
  <si>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</si>
  <si>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</si>
  <si>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</si>
  <si>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</si>
  <si>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</si>
  <si>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</si>
  <si>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</si>
  <si>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</si>
  <si>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</si>
  <si>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</si>
  <si>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</si>
  <si>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</si>
  <si>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</si>
  <si>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</si>
  <si>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</si>
  <si>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</si>
  <si>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</si>
  <si>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</si>
  <si>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</si>
  <si>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</si>
  <si>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</si>
  <si>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</si>
  <si>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</si>
  <si>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</si>
  <si>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</si>
  <si>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</si>
  <si>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</si>
  <si>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</si>
  <si>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</si>
  <si>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</si>
  <si>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</si>
  <si>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</si>
  <si>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</si>
  <si>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</si>
  <si>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</si>
  <si>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</si>
  <si>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</si>
  <si>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</si>
  <si>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</si>
  <si>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</si>
  <si>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</si>
  <si>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</si>
  <si>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</si>
  <si>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</si>
  <si>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</si>
  <si>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</si>
  <si>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</si>
  <si>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</si>
  <si>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</si>
  <si>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</si>
  <si>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</si>
  <si>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</si>
  <si>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</si>
  <si>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</si>
  <si>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</si>
  <si>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</si>
  <si>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</si>
  <si>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</si>
  <si>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</si>
  <si>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</si>
  <si>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</si>
  <si>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</si>
  <si>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</si>
  <si>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</si>
  <si>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</si>
  <si>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</si>
  <si>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</si>
  <si>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</si>
  <si>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</si>
  <si>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</si>
  <si>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</si>
  <si>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</si>
  <si>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</si>
  <si>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по мероприятиям</t>
  </si>
  <si>
    <t>Модернизация ЦТП № 9</t>
  </si>
  <si>
    <t>33</t>
  </si>
  <si>
    <t>Модернизация ЦТП № 6 (Мальцевский тракт)</t>
  </si>
  <si>
    <t>34</t>
  </si>
  <si>
    <t>Модернизация ЦТП № 16</t>
  </si>
  <si>
    <t>35</t>
  </si>
  <si>
    <t>36</t>
  </si>
  <si>
    <t>37</t>
  </si>
  <si>
    <t>38</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</si>
  <si>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</si>
  <si>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</si>
  <si>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</si>
  <si>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</si>
  <si>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</si>
  <si>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</si>
  <si>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</si>
  <si>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</si>
  <si>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</si>
  <si>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</si>
  <si>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</si>
  <si>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</si>
  <si>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</si>
  <si>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</si>
  <si>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</si>
  <si>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</si>
  <si>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</si>
  <si>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</si>
  <si>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</si>
  <si>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</si>
  <si>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</si>
  <si>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</si>
  <si>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</si>
  <si>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</si>
  <si>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</si>
  <si>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</si>
  <si>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</si>
  <si>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</si>
  <si>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</si>
  <si>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</si>
  <si>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</si>
  <si>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</si>
  <si>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</si>
  <si>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</si>
  <si>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</si>
  <si>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</si>
  <si>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</si>
  <si>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</si>
  <si>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</si>
  <si>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</si>
  <si>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</si>
  <si>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</si>
  <si>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</si>
  <si>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</si>
  <si>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</si>
  <si>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</si>
  <si>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</si>
  <si>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</si>
  <si>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</si>
  <si>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</si>
  <si>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</si>
  <si>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</si>
  <si>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</si>
  <si>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</si>
  <si>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</si>
  <si>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</si>
  <si>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</si>
  <si>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</si>
  <si>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</si>
  <si>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</si>
  <si>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</si>
  <si>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</si>
  <si>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</si>
  <si>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</si>
  <si>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</si>
  <si>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</si>
  <si>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</si>
  <si>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</si>
  <si>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</si>
  <si>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</si>
  <si>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</si>
  <si>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</si>
  <si>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</si>
  <si>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</si>
  <si>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</si>
  <si>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</si>
  <si>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</si>
  <si>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</si>
  <si>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</si>
  <si>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</si>
  <si>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</si>
  <si>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</si>
  <si>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</si>
  <si>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</si>
  <si>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</si>
  <si>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</si>
  <si>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</si>
  <si>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</si>
  <si>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</si>
  <si>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</si>
  <si>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</si>
  <si>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</si>
  <si>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</si>
  <si>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</si>
  <si>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</si>
  <si>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</si>
  <si>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</si>
  <si>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</si>
  <si>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</si>
  <si>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</si>
  <si>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</si>
  <si>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</si>
  <si>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</si>
  <si>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</si>
  <si>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</si>
  <si>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</si>
  <si>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</si>
  <si>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</si>
  <si>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</si>
  <si>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</si>
  <si>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</si>
  <si>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</si>
  <si>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</si>
  <si>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</si>
  <si>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</si>
  <si>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</si>
  <si>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</si>
  <si>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</si>
  <si>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</si>
  <si>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</si>
  <si>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</si>
  <si>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</si>
  <si>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</si>
  <si>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</si>
  <si>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</si>
  <si>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</si>
  <si>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</si>
  <si>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</si>
  <si>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</si>
  <si>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</si>
  <si>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</si>
  <si>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</si>
  <si>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</si>
  <si>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</si>
  <si>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</si>
  <si>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</si>
  <si>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</si>
  <si>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</si>
  <si>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</si>
  <si>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</si>
  <si>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</si>
  <si>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</si>
  <si>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</si>
  <si>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</si>
  <si>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</si>
  <si>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</si>
  <si>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</si>
  <si>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</si>
  <si>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</si>
  <si>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</si>
  <si>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</si>
  <si>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</si>
  <si>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</si>
  <si>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</si>
  <si>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</si>
  <si>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</si>
  <si>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</si>
  <si>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</si>
  <si>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</si>
  <si>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</si>
  <si>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</si>
  <si>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</si>
  <si>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</si>
  <si>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</si>
  <si>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</si>
  <si>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</si>
  <si>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</si>
  <si>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</si>
  <si>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</si>
  <si>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</si>
  <si>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</si>
  <si>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</si>
  <si>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</si>
  <si>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</si>
  <si>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</si>
  <si>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</si>
  <si>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</si>
  <si>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</si>
  <si>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</si>
  <si>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</si>
  <si>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</si>
  <si>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</si>
  <si>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</si>
  <si>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</si>
  <si>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</si>
  <si>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</si>
  <si>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</si>
  <si>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</si>
  <si>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</si>
  <si>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</si>
  <si>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</si>
  <si>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</si>
  <si>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</si>
  <si>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</si>
  <si>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</si>
  <si>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</si>
  <si>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</si>
  <si>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</si>
  <si>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</si>
  <si>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</si>
  <si>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</si>
  <si>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</si>
  <si>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</si>
  <si>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</si>
  <si>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</si>
  <si>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</si>
  <si>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</si>
  <si>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</si>
  <si>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</si>
  <si>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</si>
  <si>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</si>
  <si>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</si>
  <si>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</si>
  <si>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</si>
  <si>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</si>
  <si>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</si>
  <si>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</si>
  <si>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</si>
  <si>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</si>
  <si>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</si>
  <si>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</si>
  <si>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</si>
  <si>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</si>
  <si>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</si>
  <si>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</si>
  <si>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</si>
  <si>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</si>
  <si>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</si>
  <si>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</si>
  <si>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</si>
  <si>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</si>
  <si>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</si>
  <si>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</si>
  <si>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</si>
  <si>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</si>
  <si>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</si>
  <si>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</si>
  <si>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</si>
  <si>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</si>
  <si>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</si>
  <si>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</si>
  <si>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</si>
  <si>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</si>
  <si>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</si>
  <si>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</si>
  <si>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</si>
  <si>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</si>
  <si>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</si>
  <si>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</si>
  <si>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</si>
  <si>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</si>
  <si>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</si>
  <si>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</si>
  <si>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</si>
  <si>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</si>
  <si>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</si>
  <si>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</si>
  <si>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</si>
  <si>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</si>
  <si>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</si>
  <si>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</si>
  <si>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</si>
  <si>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</si>
  <si>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</si>
  <si>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</si>
  <si>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</si>
  <si>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</si>
  <si>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</si>
  <si>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</si>
  <si>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</si>
  <si>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</si>
  <si>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</si>
  <si>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</si>
  <si>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</si>
  <si>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</si>
  <si>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</si>
  <si>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</si>
  <si>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</si>
  <si>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</si>
  <si>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</si>
  <si>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</si>
  <si>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</si>
  <si>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</si>
  <si>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</si>
  <si>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</si>
  <si>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</si>
  <si>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</si>
  <si>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</si>
  <si>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</si>
  <si>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</si>
  <si>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</si>
  <si>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</si>
  <si>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</si>
  <si>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</si>
  <si>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</si>
  <si>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</si>
  <si>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</si>
  <si>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</si>
  <si>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</si>
  <si>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</si>
  <si>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</si>
  <si>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</si>
  <si>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</si>
  <si>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</si>
  <si>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</si>
  <si>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</si>
  <si>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</si>
  <si>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</si>
  <si>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</si>
  <si>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</si>
  <si>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</si>
  <si>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</si>
  <si>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</si>
  <si>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</si>
  <si>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</si>
  <si>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</si>
  <si>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</si>
  <si>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</si>
  <si>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</si>
  <si>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</si>
  <si>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</si>
  <si>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</si>
  <si>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</si>
  <si>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</si>
  <si>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</si>
  <si>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</si>
  <si>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</si>
  <si>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</si>
  <si>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</si>
  <si>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</si>
  <si>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</si>
  <si>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</si>
  <si>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</si>
  <si>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</si>
  <si>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</si>
  <si>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</si>
  <si>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</si>
  <si>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</si>
  <si>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</si>
  <si>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</si>
  <si>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</si>
  <si>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</si>
  <si>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</si>
  <si>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</si>
  <si>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</si>
  <si>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</si>
  <si>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</si>
  <si>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</si>
  <si>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</si>
  <si>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</si>
  <si>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</si>
  <si>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</si>
  <si>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</si>
  <si>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</si>
  <si>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</si>
  <si>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</si>
  <si>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</si>
  <si>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</si>
  <si>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</si>
  <si>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</si>
  <si>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</si>
  <si>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</si>
  <si>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</si>
  <si>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</si>
  <si>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</si>
  <si>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</si>
  <si>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</si>
  <si>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</si>
  <si>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</si>
  <si>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</si>
  <si>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</si>
  <si>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</si>
  <si>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</si>
  <si>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</si>
  <si>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</si>
  <si>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</si>
  <si>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</si>
  <si>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</si>
  <si>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</si>
  <si>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</si>
  <si>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</si>
  <si>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</si>
  <si>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</si>
  <si>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</si>
  <si>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</si>
  <si>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</si>
  <si>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</si>
  <si>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</si>
  <si>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</si>
  <si>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</si>
  <si>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</si>
  <si>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</si>
  <si>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</si>
  <si>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</si>
  <si>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</si>
  <si>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</si>
  <si>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</si>
  <si>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</si>
  <si>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</si>
  <si>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</si>
  <si>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</si>
  <si>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</si>
  <si>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</si>
  <si>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</si>
  <si>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</si>
  <si>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</si>
  <si>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</si>
  <si>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</si>
  <si>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Передача. Теплоноситель</t>
  </si>
  <si>
    <t>Транспортировка. Подвозная вода</t>
  </si>
  <si>
    <t>Транспортирование твердых коммунальных отходов</t>
  </si>
  <si>
    <t>Камчатский край</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</si>
  <si>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</si>
  <si>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</si>
  <si>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</si>
  <si>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</si>
  <si>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</si>
  <si>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</si>
  <si>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</si>
  <si>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</si>
  <si>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</si>
  <si>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</si>
  <si>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</si>
  <si>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</si>
  <si>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</si>
  <si>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</si>
  <si>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</si>
  <si>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</si>
  <si>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</si>
  <si>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</si>
  <si>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</si>
  <si>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</si>
  <si>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</si>
  <si>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население</t>
  </si>
  <si>
    <t xml:space="preserve">  Иные бюджетные средства</t>
  </si>
  <si>
    <t>Виды деятельности</t>
  </si>
  <si>
    <t>https://appsrv.regportal-tariff.ru/procwsxls/</t>
  </si>
  <si>
    <t>Курская область</t>
  </si>
  <si>
    <t>Ленинградская область</t>
  </si>
  <si>
    <t>Липецкая область</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</si>
  <si>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</si>
  <si>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</si>
  <si>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</si>
  <si>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</si>
  <si>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</si>
  <si>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</si>
  <si>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</si>
  <si>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</si>
  <si>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</si>
  <si>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</si>
  <si>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</si>
  <si>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</si>
  <si>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</si>
  <si>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</si>
  <si>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</si>
  <si>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</si>
  <si>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</si>
  <si>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</si>
  <si>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</si>
  <si>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</si>
  <si>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</si>
  <si>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</si>
  <si>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</si>
  <si>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</si>
  <si>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</si>
  <si>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</si>
  <si>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</si>
  <si>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</si>
  <si>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</si>
  <si>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</si>
  <si>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</si>
  <si>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</si>
  <si>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</si>
  <si>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</si>
  <si>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</si>
  <si>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</si>
  <si>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</si>
  <si>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</si>
  <si>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</si>
  <si>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</si>
  <si>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</si>
  <si>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</si>
  <si>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</si>
  <si>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</si>
  <si>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</si>
  <si>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</si>
  <si>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</si>
  <si>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</si>
  <si>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</si>
  <si>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</si>
  <si>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</si>
  <si>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</si>
  <si>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</si>
  <si>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</si>
  <si>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</si>
  <si>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</si>
  <si>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</si>
  <si>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</si>
  <si>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</si>
  <si>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</si>
  <si>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</si>
  <si>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</si>
  <si>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</si>
  <si>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</si>
  <si>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</si>
  <si>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</si>
  <si>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</si>
  <si>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</si>
  <si>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</si>
  <si>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</si>
  <si>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</si>
  <si>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</si>
  <si>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</si>
  <si>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</si>
  <si>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</si>
  <si>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</si>
  <si>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</si>
  <si>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</si>
  <si>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</si>
  <si>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</si>
  <si>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</si>
  <si>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</si>
  <si>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</si>
  <si>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</si>
  <si>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</si>
  <si>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</si>
  <si>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</si>
  <si>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</si>
  <si>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</si>
  <si>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</si>
  <si>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</si>
  <si>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</si>
  <si>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</si>
  <si>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</si>
  <si>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</si>
  <si>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</si>
  <si>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</si>
  <si>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</si>
  <si>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</si>
  <si>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</si>
  <si>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</si>
  <si>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</si>
  <si>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</si>
  <si>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</si>
  <si>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</si>
  <si>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</si>
  <si>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</si>
  <si>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</si>
  <si>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</si>
  <si>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</si>
  <si>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</si>
  <si>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</si>
  <si>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</si>
  <si>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</si>
  <si>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</si>
  <si>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</si>
  <si>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</si>
  <si>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</si>
  <si>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</si>
  <si>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</si>
  <si>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</si>
  <si>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</si>
  <si>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</si>
  <si>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</si>
  <si>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</si>
  <si>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</si>
  <si>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</si>
  <si>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</si>
  <si>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</si>
  <si>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</si>
  <si>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</si>
  <si>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</si>
  <si>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</si>
  <si>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</si>
  <si>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</si>
  <si>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</si>
  <si>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</si>
  <si>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</si>
  <si>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</si>
  <si>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</si>
  <si>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</si>
  <si>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</si>
  <si>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</si>
  <si>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</si>
  <si>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</si>
  <si>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</si>
  <si>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</si>
  <si>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</si>
  <si>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</si>
  <si>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</si>
  <si>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</si>
  <si>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</si>
  <si>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</si>
  <si>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</si>
  <si>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</si>
  <si>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</si>
  <si>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</si>
  <si>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</si>
  <si>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</si>
  <si>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</si>
  <si>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</si>
  <si>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</si>
  <si>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</si>
  <si>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</si>
  <si>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</si>
  <si>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</si>
  <si>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</si>
  <si>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</si>
  <si>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</si>
  <si>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</si>
  <si>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</si>
  <si>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</si>
  <si>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</si>
  <si>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</si>
  <si>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</si>
  <si>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</si>
  <si>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</si>
  <si>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</si>
  <si>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</si>
  <si>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</si>
  <si>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</si>
  <si>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</si>
  <si>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</si>
  <si>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</si>
  <si>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</si>
  <si>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</si>
  <si>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</si>
  <si>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</si>
  <si>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</si>
  <si>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</si>
  <si>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</si>
  <si>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</si>
  <si>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</si>
  <si>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</si>
  <si>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</si>
  <si>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</si>
  <si>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</si>
  <si>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</si>
  <si>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</si>
  <si>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</si>
  <si>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</si>
  <si>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</si>
  <si>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</si>
  <si>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</si>
  <si>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</si>
  <si>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</si>
  <si>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</si>
  <si>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</si>
  <si>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</si>
  <si>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</si>
  <si>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</si>
  <si>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</si>
  <si>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</si>
  <si>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</si>
  <si>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</si>
  <si>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</si>
  <si>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</si>
  <si>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</si>
  <si>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</si>
  <si>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</si>
  <si>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</si>
  <si>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</si>
  <si>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</si>
  <si>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</si>
  <si>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</si>
  <si>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</si>
  <si>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</si>
  <si>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</si>
  <si>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</si>
  <si>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</si>
  <si>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</si>
  <si>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</si>
  <si>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</si>
  <si>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</si>
  <si>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</si>
  <si>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</si>
  <si>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</si>
  <si>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</si>
  <si>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</si>
  <si>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</si>
  <si>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</si>
  <si>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</si>
  <si>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</si>
  <si>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</si>
  <si>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</si>
  <si>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</si>
  <si>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</si>
  <si>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</si>
  <si>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</si>
  <si>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</si>
  <si>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</si>
  <si>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</si>
  <si>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</si>
  <si>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</si>
  <si>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</si>
  <si>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</si>
  <si>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</si>
  <si>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</si>
  <si>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</si>
  <si>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</si>
  <si>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</si>
  <si>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</si>
  <si>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</si>
  <si>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</si>
  <si>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</si>
  <si>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</si>
  <si>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</si>
  <si>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</si>
  <si>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</si>
  <si>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</si>
  <si>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</si>
  <si>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</si>
  <si>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</si>
  <si>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</si>
  <si>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</si>
  <si>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</si>
  <si>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</si>
  <si>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</si>
  <si>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</si>
  <si>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</si>
  <si>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</si>
  <si>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</si>
  <si>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</si>
  <si>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</si>
  <si>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</si>
  <si>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</si>
  <si>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</si>
  <si>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</si>
  <si>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</si>
  <si>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</si>
  <si>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</si>
  <si>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</si>
  <si>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</si>
  <si>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</si>
  <si>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</si>
  <si>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</si>
  <si>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</si>
  <si>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</si>
  <si>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</si>
  <si>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</si>
  <si>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</si>
  <si>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</si>
  <si>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</si>
  <si>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</si>
  <si>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</si>
  <si>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</si>
  <si>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</si>
  <si>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</si>
  <si>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</si>
  <si>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</si>
  <si>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</si>
  <si>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</si>
  <si>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</si>
  <si>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</si>
  <si>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</si>
  <si>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</si>
  <si>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</si>
  <si>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</si>
  <si>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</si>
  <si>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</si>
  <si>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</si>
  <si>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</si>
  <si>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</si>
  <si>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</si>
  <si>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</si>
  <si>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</si>
  <si>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</si>
  <si>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</si>
  <si>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</si>
  <si>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</si>
  <si>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</si>
  <si>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</si>
  <si>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</si>
  <si>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</si>
  <si>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</si>
  <si>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</si>
  <si>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</si>
  <si>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</si>
  <si>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</si>
  <si>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</si>
  <si>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</si>
  <si>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</si>
  <si>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</si>
  <si>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</si>
  <si>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</si>
  <si>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</si>
  <si>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</si>
  <si>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</si>
  <si>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</si>
  <si>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</si>
  <si>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</si>
  <si>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</si>
  <si>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</si>
  <si>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</si>
  <si>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</si>
  <si>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</si>
  <si>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</si>
  <si>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</si>
  <si>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</si>
  <si>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</si>
  <si>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</si>
  <si>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</si>
  <si>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</si>
  <si>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</si>
  <si>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</si>
  <si>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</si>
  <si>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</si>
  <si>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</si>
  <si>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</si>
  <si>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</si>
  <si>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</si>
  <si>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</si>
  <si>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</si>
  <si>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</si>
  <si>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</si>
  <si>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</si>
  <si>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</si>
  <si>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</si>
  <si>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</si>
  <si>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</si>
  <si>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</si>
  <si>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</si>
  <si>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</si>
  <si>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</si>
  <si>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</si>
  <si>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</si>
  <si>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</si>
  <si>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</si>
  <si>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</si>
  <si>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</si>
  <si>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</si>
  <si>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</si>
  <si>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</si>
  <si>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</si>
  <si>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</si>
  <si>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</si>
  <si>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</si>
  <si>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</si>
  <si>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</si>
  <si>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</si>
  <si>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</si>
  <si>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</si>
  <si>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</si>
  <si>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</si>
  <si>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</si>
  <si>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</si>
  <si>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</si>
  <si>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</si>
  <si>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</si>
  <si>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</si>
  <si>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</si>
  <si>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</si>
  <si>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</si>
  <si>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</si>
  <si>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</si>
  <si>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</si>
  <si>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</si>
  <si>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</si>
  <si>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</si>
  <si>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</si>
  <si>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</si>
  <si>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</si>
  <si>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</si>
  <si>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</si>
  <si>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</si>
  <si>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</si>
  <si>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</si>
  <si>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</si>
  <si>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</si>
  <si>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</si>
  <si>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</si>
  <si>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</si>
  <si>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</si>
  <si>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</si>
  <si>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</si>
  <si>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</si>
  <si>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</si>
  <si>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</si>
  <si>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</si>
  <si>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</si>
  <si>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</si>
  <si>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</si>
  <si>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</si>
  <si>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</si>
  <si>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</si>
  <si>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</si>
  <si>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</si>
  <si>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</si>
  <si>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</si>
  <si>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</si>
  <si>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</si>
  <si>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</si>
  <si>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</si>
  <si>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</si>
  <si>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</si>
  <si>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</si>
  <si>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</si>
  <si>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</si>
  <si>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</si>
  <si>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</si>
  <si>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</si>
  <si>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</si>
  <si>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</si>
  <si>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</si>
  <si>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</si>
  <si>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</si>
  <si>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</si>
  <si>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</si>
  <si>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</si>
  <si>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</si>
  <si>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</si>
  <si>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</si>
  <si>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</si>
  <si>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</si>
  <si>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</si>
  <si>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</si>
  <si>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</si>
  <si>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</si>
  <si>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</si>
  <si>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</si>
  <si>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</si>
  <si>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</si>
  <si>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</si>
  <si>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</si>
  <si>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</si>
  <si>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</si>
  <si>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</si>
  <si>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</si>
  <si>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</si>
  <si>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</si>
  <si>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</si>
  <si>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</si>
  <si>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</si>
  <si>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</si>
  <si>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</si>
  <si>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</si>
  <si>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</si>
  <si>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</si>
  <si>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</si>
  <si>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</si>
  <si>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</si>
  <si>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</si>
  <si>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</si>
  <si>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</si>
  <si>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</si>
  <si>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</si>
  <si>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</si>
  <si>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</si>
  <si>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</si>
  <si>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</si>
  <si>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</si>
  <si>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</si>
  <si>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</si>
  <si>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</si>
  <si>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</si>
  <si>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</si>
  <si>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</si>
  <si>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</si>
  <si>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</si>
  <si>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</si>
  <si>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</si>
  <si>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</si>
  <si>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</si>
  <si>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</si>
  <si>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</si>
  <si>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</si>
  <si>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</si>
  <si>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</si>
  <si>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</si>
  <si>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</si>
  <si>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</si>
  <si>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</si>
  <si>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</si>
  <si>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</si>
  <si>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</si>
  <si>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</si>
  <si>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</si>
  <si>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</si>
  <si>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</si>
  <si>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</si>
  <si>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</si>
  <si>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</si>
  <si>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</si>
  <si>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</si>
  <si>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</si>
  <si>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</si>
  <si>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</si>
  <si>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</si>
  <si>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</si>
  <si>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</si>
  <si>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</si>
  <si>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</si>
  <si>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</si>
  <si>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</si>
  <si>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</si>
  <si>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</si>
  <si>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</si>
  <si>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</si>
  <si>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</si>
  <si>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</si>
  <si>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</si>
  <si>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</si>
  <si>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</si>
  <si>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</si>
  <si>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</si>
  <si>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</si>
  <si>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</si>
  <si>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</si>
  <si>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</si>
  <si>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</si>
  <si>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</si>
  <si>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</si>
  <si>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</si>
  <si>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</si>
  <si>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</si>
  <si>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</si>
  <si>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</si>
  <si>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</si>
  <si>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</si>
  <si>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</si>
  <si>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</si>
  <si>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</si>
  <si>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</si>
  <si>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</si>
  <si>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</si>
  <si>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</si>
  <si>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</si>
  <si>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</si>
  <si>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</si>
  <si>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</si>
  <si>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</si>
  <si>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</si>
  <si>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</si>
  <si>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</si>
  <si>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</si>
  <si>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</si>
  <si>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</si>
  <si>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</si>
  <si>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</si>
  <si>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</si>
  <si>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</si>
  <si>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</si>
  <si>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</si>
  <si>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</si>
  <si>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</si>
  <si>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</si>
  <si>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</si>
  <si>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</si>
  <si>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</si>
  <si>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</si>
  <si>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</si>
  <si>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</si>
  <si>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</si>
  <si>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</si>
  <si>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</si>
  <si>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</si>
  <si>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</si>
  <si>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</si>
  <si>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</si>
  <si>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</si>
  <si>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</si>
  <si>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</si>
  <si>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</si>
  <si>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</si>
  <si>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</si>
  <si>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</si>
  <si>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</si>
  <si>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</si>
  <si>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</si>
  <si>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</si>
  <si>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</si>
  <si>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</si>
  <si>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</si>
  <si>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</si>
  <si>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</si>
  <si>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</si>
  <si>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</si>
  <si>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</si>
  <si>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</si>
  <si>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</si>
  <si>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</si>
  <si>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</si>
  <si>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</si>
  <si>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</si>
  <si>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</si>
  <si>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</si>
  <si>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</si>
  <si>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</si>
  <si>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</si>
  <si>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</si>
  <si>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</si>
  <si>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</si>
  <si>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</si>
  <si>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</si>
  <si>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</si>
  <si>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</si>
  <si>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</si>
  <si>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</si>
  <si>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</si>
  <si>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</si>
  <si>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</si>
  <si>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</si>
  <si>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</si>
  <si>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</si>
  <si>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</si>
  <si>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</si>
  <si>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</si>
  <si>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</si>
  <si>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</si>
  <si>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</si>
  <si>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</si>
  <si>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</si>
  <si>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</si>
  <si>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</si>
  <si>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</si>
  <si>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</si>
  <si>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</si>
  <si>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</si>
  <si>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</si>
  <si>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</si>
  <si>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</si>
  <si>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</si>
  <si>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</si>
  <si>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</si>
  <si>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</si>
  <si>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</si>
  <si>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</si>
  <si>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</si>
  <si>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</si>
  <si>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</si>
  <si>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</si>
  <si>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</si>
  <si>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</si>
  <si>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</si>
  <si>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</si>
  <si>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</si>
  <si>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</si>
  <si>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</si>
  <si>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</si>
  <si>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</si>
  <si>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</si>
  <si>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</si>
  <si>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</si>
  <si>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</si>
  <si>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</si>
  <si>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</si>
  <si>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</si>
  <si>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</si>
  <si>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</si>
  <si>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</si>
  <si>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</si>
  <si>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</si>
  <si>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</si>
  <si>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</si>
  <si>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</si>
  <si>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</si>
  <si>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</si>
  <si>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</si>
  <si>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</si>
  <si>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</si>
  <si>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</si>
  <si>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</si>
  <si>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</si>
  <si>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</si>
  <si>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</si>
  <si>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</si>
  <si>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</si>
  <si>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</si>
  <si>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</si>
  <si>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</si>
  <si>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</si>
  <si>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</si>
  <si>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</si>
  <si>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</si>
  <si>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</si>
  <si>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</si>
  <si>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</si>
  <si>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</si>
  <si>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</si>
  <si>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</si>
  <si>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</si>
  <si>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</si>
  <si>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</si>
  <si>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</si>
  <si>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</si>
  <si>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</si>
  <si>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</si>
  <si>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</si>
  <si>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</si>
  <si>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</si>
  <si>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</si>
  <si>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</si>
  <si>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</si>
  <si>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</si>
  <si>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</si>
  <si>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</si>
  <si>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</si>
  <si>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</si>
  <si>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</si>
  <si>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</si>
  <si>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</si>
  <si>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</si>
  <si>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</si>
  <si>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</si>
  <si>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</si>
  <si>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</si>
  <si>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</si>
  <si>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</si>
  <si>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</si>
  <si>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</si>
  <si>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</si>
  <si>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</si>
  <si>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</si>
  <si>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</si>
  <si>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</si>
  <si>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</si>
  <si>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</si>
  <si>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</si>
  <si>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</si>
  <si>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</si>
  <si>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</si>
  <si>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</si>
  <si>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</si>
  <si>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</si>
  <si>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</si>
  <si>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</si>
  <si>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</si>
  <si>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</si>
  <si>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</si>
  <si>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</si>
  <si>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</si>
  <si>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</si>
  <si>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</si>
  <si>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</si>
  <si>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</si>
  <si>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</si>
  <si>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</si>
  <si>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</si>
  <si>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</si>
  <si>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</si>
  <si>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</si>
  <si>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</si>
  <si>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</si>
  <si>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</si>
  <si>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</si>
  <si>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</si>
  <si>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</si>
  <si>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</si>
  <si>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</si>
  <si>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</si>
  <si>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</si>
  <si>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</si>
  <si>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</si>
  <si>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</si>
  <si>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</si>
  <si>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</si>
  <si>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</si>
  <si>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</si>
  <si>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</si>
  <si>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</si>
  <si>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</si>
  <si>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</si>
  <si>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</si>
  <si>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</si>
  <si>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</si>
  <si>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</si>
  <si>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</si>
  <si>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</si>
  <si>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</si>
  <si>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</si>
  <si>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</si>
  <si>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</si>
  <si>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</si>
  <si>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</si>
  <si>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</si>
  <si>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</si>
  <si>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</si>
  <si>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</si>
  <si>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</si>
  <si>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</si>
  <si>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</si>
  <si>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</si>
  <si>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</si>
  <si>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</si>
  <si>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</si>
  <si>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</si>
  <si>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</si>
  <si>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</si>
  <si>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</si>
  <si>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</si>
  <si>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</si>
  <si>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</si>
  <si>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</si>
  <si>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</si>
  <si>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</si>
  <si>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</si>
  <si>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</si>
  <si>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</si>
  <si>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</si>
  <si>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</si>
  <si>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</si>
  <si>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</si>
  <si>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</si>
  <si>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</si>
  <si>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</si>
  <si>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</si>
  <si>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</si>
  <si>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</si>
  <si>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</si>
  <si>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</si>
  <si>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</si>
  <si>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</si>
  <si>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</si>
  <si>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</si>
  <si>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</si>
  <si>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</si>
  <si>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</si>
  <si>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</si>
  <si>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</si>
  <si>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</si>
  <si>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</si>
  <si>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</si>
  <si>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</si>
  <si>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</si>
  <si>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</si>
  <si>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</si>
  <si>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</si>
  <si>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</si>
  <si>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</si>
  <si>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</si>
  <si>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</si>
  <si>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</si>
  <si>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</si>
  <si>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</si>
  <si>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</si>
  <si>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</si>
  <si>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</si>
  <si>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</si>
  <si>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</si>
  <si>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</si>
  <si>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</si>
  <si>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</si>
  <si>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</si>
  <si>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</si>
  <si>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</si>
  <si>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</si>
  <si>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</si>
  <si>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</si>
  <si>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</si>
  <si>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</si>
  <si>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</si>
  <si>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</si>
  <si>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</si>
  <si>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</si>
  <si>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</si>
  <si>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</si>
  <si>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</si>
  <si>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</si>
  <si>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</si>
  <si>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</si>
  <si>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</si>
  <si>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</si>
  <si>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</si>
  <si>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</si>
  <si>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</si>
  <si>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</si>
  <si>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</si>
  <si>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</si>
  <si>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</si>
  <si>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</si>
  <si>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</si>
  <si>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</si>
  <si>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</si>
  <si>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</si>
  <si>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</si>
  <si>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</si>
  <si>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</si>
  <si>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</si>
  <si>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</si>
  <si>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</si>
  <si>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</si>
  <si>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</si>
  <si>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</si>
  <si>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</si>
  <si>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</si>
  <si>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</si>
  <si>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</si>
  <si>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</si>
  <si>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</si>
  <si>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</si>
  <si>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</si>
  <si>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</si>
  <si>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</si>
  <si>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</si>
  <si>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</si>
  <si>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</si>
  <si>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</si>
  <si>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</si>
  <si>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</si>
  <si>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</si>
  <si>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</si>
  <si>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</si>
  <si>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</si>
  <si>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</si>
  <si>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</si>
  <si>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</si>
  <si>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</si>
  <si>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</si>
  <si>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</si>
  <si>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</si>
  <si>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</si>
  <si>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</si>
  <si>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</si>
  <si>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</si>
  <si>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</si>
  <si>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</si>
  <si>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</si>
  <si>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</si>
  <si>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</si>
  <si>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</si>
  <si>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</si>
  <si>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</si>
  <si>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</si>
  <si>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</si>
  <si>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</si>
  <si>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</si>
  <si>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</si>
  <si>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</si>
  <si>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</si>
  <si>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</si>
  <si>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</si>
  <si>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</si>
  <si>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</si>
  <si>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</si>
  <si>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</si>
  <si>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</si>
  <si>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</si>
  <si>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</si>
  <si>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</si>
  <si>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</si>
  <si>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</si>
  <si>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</si>
  <si>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</si>
  <si>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</si>
  <si>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</si>
  <si>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</si>
  <si>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</si>
  <si>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</si>
  <si>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</si>
  <si>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</si>
  <si>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</si>
  <si>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</si>
  <si>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</si>
  <si>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</si>
  <si>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</si>
  <si>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</si>
  <si>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</si>
  <si>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</si>
  <si>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</si>
  <si>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</si>
  <si>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</si>
  <si>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</si>
  <si>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</si>
  <si>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</si>
  <si>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</si>
  <si>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</si>
  <si>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</si>
  <si>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</si>
  <si>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</si>
  <si>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</si>
  <si>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</si>
  <si>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</si>
  <si>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</si>
  <si>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</si>
  <si>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</si>
  <si>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</si>
  <si>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</si>
  <si>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</si>
  <si>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</si>
  <si>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</si>
  <si>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</si>
  <si>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</si>
  <si>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</si>
  <si>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</si>
  <si>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</si>
  <si>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</si>
  <si>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</si>
  <si>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</si>
  <si>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</si>
  <si>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</si>
  <si>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</si>
  <si>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</si>
  <si>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</si>
  <si>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</si>
  <si>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</si>
  <si>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</si>
  <si>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</si>
  <si>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</si>
  <si>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</si>
  <si>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</si>
  <si>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</si>
  <si>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</si>
  <si>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</si>
  <si>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</si>
  <si>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</si>
  <si>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</si>
  <si>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</si>
  <si>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</si>
  <si>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</si>
  <si>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</si>
  <si>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</si>
  <si>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</si>
  <si>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</si>
  <si>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</si>
  <si>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</si>
  <si>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</si>
  <si>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</si>
  <si>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</si>
  <si>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</si>
  <si>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</si>
  <si>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</si>
  <si>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</si>
  <si>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</si>
  <si>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</si>
  <si>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</si>
  <si>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</si>
  <si>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</si>
  <si>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</si>
  <si>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</si>
  <si>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</si>
  <si>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</si>
  <si>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</si>
  <si>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</si>
  <si>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</si>
  <si>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</si>
  <si>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</si>
  <si>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</si>
  <si>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</si>
  <si>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</si>
  <si>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</si>
  <si>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</si>
  <si>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</si>
  <si>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</si>
  <si>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</si>
  <si>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</si>
  <si>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</si>
  <si>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</si>
  <si>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</si>
  <si>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</si>
  <si>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</si>
  <si>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</si>
  <si>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</si>
  <si>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</si>
  <si>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</si>
  <si>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</si>
  <si>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</si>
  <si>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</si>
  <si>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</si>
  <si>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</si>
  <si>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</si>
  <si>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</si>
  <si>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</si>
  <si>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</si>
  <si>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</si>
  <si>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</si>
  <si>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</si>
  <si>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</si>
  <si>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</si>
  <si>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</si>
  <si>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</si>
  <si>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</si>
  <si>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</si>
  <si>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</si>
  <si>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</si>
  <si>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</si>
  <si>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</si>
  <si>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</si>
  <si>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</si>
  <si>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</si>
  <si>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</si>
  <si>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</si>
  <si>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</si>
  <si>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</si>
  <si>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</si>
  <si>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</si>
  <si>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</si>
  <si>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</si>
  <si>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</si>
  <si>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</si>
  <si>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</si>
  <si>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</si>
  <si>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</si>
  <si>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</si>
  <si>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</si>
  <si>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</si>
  <si>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</si>
  <si>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</si>
  <si>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</si>
  <si>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</si>
  <si>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</si>
  <si>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</si>
  <si>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</si>
  <si>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</si>
  <si>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</si>
  <si>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</si>
  <si>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</si>
  <si>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</si>
  <si>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</si>
  <si>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</si>
  <si>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</si>
  <si>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</si>
  <si>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</si>
  <si>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</si>
  <si>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</si>
  <si>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</si>
  <si>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</si>
  <si>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</si>
  <si>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</si>
  <si>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</si>
  <si>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</si>
  <si>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</si>
  <si>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</si>
  <si>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</si>
  <si>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</si>
  <si>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</si>
  <si>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</si>
  <si>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</si>
  <si>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</si>
  <si>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</si>
  <si>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</si>
  <si>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</si>
  <si>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</si>
  <si>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</si>
  <si>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</si>
  <si>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</si>
  <si>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</si>
  <si>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</si>
  <si>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</si>
  <si>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</si>
  <si>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</si>
  <si>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</si>
  <si>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</si>
  <si>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</si>
  <si>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</si>
  <si>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</si>
  <si>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</si>
  <si>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</si>
  <si>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</si>
  <si>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</si>
  <si>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</si>
  <si>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</si>
  <si>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</si>
  <si>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</si>
  <si>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</si>
  <si>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</si>
  <si>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</si>
  <si>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</si>
  <si>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</si>
  <si>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</si>
  <si>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</si>
  <si>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</si>
  <si>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</si>
  <si>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</si>
  <si>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</si>
  <si>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</si>
  <si>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</si>
  <si>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</si>
  <si>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</si>
  <si>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</si>
  <si>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</si>
  <si>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</si>
  <si>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</si>
  <si>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</si>
  <si>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</si>
  <si>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</si>
  <si>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</si>
  <si>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</si>
  <si>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</si>
  <si>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</si>
  <si>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</si>
  <si>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</si>
  <si>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</si>
  <si>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</si>
  <si>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</si>
  <si>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</si>
  <si>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</si>
  <si>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</si>
  <si>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</si>
  <si>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</si>
  <si>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</si>
  <si>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</si>
  <si>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</si>
  <si>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</si>
  <si>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</si>
  <si>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</si>
  <si>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</si>
  <si>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</si>
  <si>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</si>
  <si>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</si>
  <si>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</si>
  <si>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</si>
  <si>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</si>
  <si>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</si>
  <si>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</si>
  <si>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</si>
  <si>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</si>
  <si>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</si>
  <si>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</si>
  <si>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</si>
  <si>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</si>
  <si>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</si>
  <si>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</si>
  <si>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</si>
  <si>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</si>
  <si>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</si>
  <si>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</si>
  <si>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</si>
  <si>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</si>
  <si>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</si>
  <si>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</si>
  <si>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</si>
  <si>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</si>
  <si>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</si>
  <si>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</si>
  <si>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</si>
  <si>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</si>
  <si>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</si>
  <si>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</si>
  <si>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</si>
  <si>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</si>
  <si>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</si>
  <si>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</si>
  <si>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</si>
  <si>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</si>
  <si>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</si>
  <si>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</si>
  <si>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</si>
  <si>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</si>
  <si>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</si>
  <si>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</si>
  <si>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</si>
  <si>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</si>
  <si>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</si>
  <si>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</si>
  <si>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</si>
  <si>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</si>
  <si>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</si>
  <si>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</si>
  <si>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</si>
  <si>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</si>
  <si>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</si>
  <si>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</si>
  <si>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</si>
  <si>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</si>
  <si>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</si>
  <si>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</si>
  <si>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</si>
  <si>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</si>
  <si>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</si>
  <si>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</si>
  <si>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</si>
  <si>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</si>
  <si>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</si>
  <si>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</si>
  <si>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</si>
  <si>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</si>
  <si>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</si>
  <si>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</si>
  <si>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</si>
  <si>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</si>
  <si>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</si>
  <si>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</si>
  <si>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</si>
  <si>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</si>
  <si>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</si>
  <si>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</si>
  <si>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</si>
  <si>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</si>
  <si>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</si>
  <si>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</si>
  <si>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</si>
  <si>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</si>
  <si>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</si>
  <si>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</si>
  <si>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</si>
  <si>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</si>
  <si>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</si>
  <si>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</si>
  <si>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</si>
  <si>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</si>
  <si>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</si>
  <si>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</si>
  <si>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</si>
  <si>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</si>
  <si>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</si>
  <si>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</si>
  <si>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</si>
  <si>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</si>
  <si>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</si>
  <si>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</si>
  <si>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</si>
  <si>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</si>
  <si>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</si>
  <si>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</si>
  <si>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</si>
  <si>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</si>
  <si>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</si>
  <si>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</si>
  <si>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</si>
  <si>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</si>
  <si>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</si>
  <si>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</si>
  <si>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</si>
  <si>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</si>
  <si>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</si>
  <si>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</si>
  <si>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</si>
  <si>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</si>
  <si>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</si>
  <si>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</si>
  <si>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</si>
  <si>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</si>
  <si>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</si>
  <si>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</si>
  <si>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</si>
  <si>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</si>
  <si>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</si>
  <si>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</si>
  <si>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</si>
  <si>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</si>
  <si>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</si>
  <si>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</si>
  <si>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</si>
  <si>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</si>
  <si>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</si>
  <si>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</si>
  <si>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</si>
  <si>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</si>
  <si>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</si>
  <si>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</si>
  <si>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</si>
  <si>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</si>
  <si>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</si>
  <si>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</si>
  <si>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</si>
  <si>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</si>
  <si>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</si>
  <si>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</si>
  <si>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</si>
  <si>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</si>
  <si>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</si>
  <si>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</si>
  <si>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</si>
  <si>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</si>
  <si>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</si>
  <si>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</si>
  <si>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</si>
  <si>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</si>
  <si>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</si>
  <si>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</si>
  <si>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</si>
  <si>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</si>
  <si>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</si>
  <si>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</si>
  <si>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</si>
  <si>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</si>
  <si>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</si>
  <si>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</si>
  <si>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</si>
  <si>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</si>
  <si>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</si>
  <si>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</si>
  <si>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</si>
  <si>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</si>
  <si>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</si>
  <si>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</si>
  <si>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</si>
  <si>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</si>
  <si>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</si>
  <si>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</si>
  <si>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</si>
  <si>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</si>
  <si>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</si>
  <si>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</si>
  <si>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</si>
  <si>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</si>
  <si>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</si>
  <si>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</si>
  <si>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</si>
  <si>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</si>
  <si>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</si>
  <si>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</si>
  <si>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</si>
  <si>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</si>
  <si>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</si>
  <si>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</si>
  <si>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</si>
  <si>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</si>
  <si>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</si>
  <si>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</si>
  <si>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</si>
  <si>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</si>
  <si>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</si>
  <si>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</si>
  <si>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</si>
  <si>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</si>
  <si>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</si>
  <si>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</si>
  <si>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</si>
  <si>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</si>
  <si>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</si>
  <si>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</si>
  <si>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</si>
  <si>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</si>
  <si>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</si>
  <si>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</si>
  <si>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</si>
  <si>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</si>
  <si>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</si>
  <si>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</si>
  <si>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</si>
  <si>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</si>
  <si>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</si>
  <si>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</si>
  <si>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</si>
  <si>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</si>
  <si>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</si>
  <si>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</si>
  <si>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</si>
  <si>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</si>
  <si>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</si>
  <si>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</si>
  <si>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</si>
  <si>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</si>
  <si>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</si>
  <si>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</si>
  <si>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</si>
  <si>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</si>
  <si>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</si>
  <si>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</si>
  <si>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</si>
  <si>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</si>
  <si>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</si>
  <si>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</si>
  <si>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</si>
  <si>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</si>
  <si>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</si>
  <si>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</si>
  <si>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</si>
  <si>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</si>
  <si>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</si>
  <si>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</si>
  <si>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</si>
  <si>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</si>
  <si>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</si>
  <si>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</si>
  <si>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</si>
  <si>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</si>
  <si>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</si>
  <si>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</si>
  <si>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</si>
  <si>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</si>
  <si>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</si>
  <si>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</si>
  <si>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</si>
  <si>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</si>
  <si>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</si>
  <si>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</si>
  <si>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</si>
  <si>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</si>
  <si>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</si>
  <si>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</si>
  <si>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</si>
  <si>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</si>
  <si>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</si>
  <si>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</si>
  <si>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</si>
  <si>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</si>
  <si>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</si>
  <si>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</si>
  <si>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</si>
  <si>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</si>
  <si>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</si>
  <si>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</si>
  <si>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</si>
  <si>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</si>
  <si>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</si>
  <si>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</si>
  <si>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</si>
  <si>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</si>
  <si>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</si>
  <si>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</si>
  <si>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</si>
  <si>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</si>
  <si>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</si>
  <si>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</si>
  <si>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</si>
  <si>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</si>
  <si>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</si>
  <si>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</si>
  <si>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</si>
  <si>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</si>
  <si>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</si>
  <si>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</si>
  <si>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</si>
  <si>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</si>
  <si>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</si>
  <si>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</si>
  <si>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</si>
  <si>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</si>
  <si>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</si>
  <si>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</si>
  <si>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</si>
  <si>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</si>
  <si>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</si>
  <si>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</si>
  <si>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</si>
  <si>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</si>
  <si>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</si>
  <si>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</si>
  <si>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</si>
  <si>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</si>
  <si>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</si>
  <si>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</si>
  <si>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</si>
  <si>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</si>
  <si>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</si>
  <si>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</si>
  <si>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</si>
  <si>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</si>
  <si>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</si>
  <si>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7104318384</t>
  </si>
  <si>
    <t>Об утверждении инвестиционной программы в сфере теплоснабжения Публичного акционерного общества «Курганская генерирующая компания» на 2023 - 2028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</si>
  <si>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постановление</t>
  </si>
  <si>
    <t>28.10.2022</t>
  </si>
  <si>
    <t>Об утверждении инвестиционной программы в сфере теплоснабжения Публичного акционерного общества "Курганская генерирующая компания" на 2023-2028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</si>
  <si>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NOMER2_NAME</t>
  </si>
  <si>
    <t>NMOB_NAME</t>
  </si>
  <si>
    <t>DET_NAME</t>
  </si>
  <si>
    <t>L_ADDRESS_MR</t>
  </si>
  <si>
    <t>L_ADDRESS_MO</t>
  </si>
  <si>
    <t>L_ADDRESS_OKTMO</t>
  </si>
  <si>
    <t>L_ADDRESS_LOCATION</t>
  </si>
  <si>
    <t>L_ADDRESS_LOC_OKTMO</t>
  </si>
  <si>
    <t>L_ADDRESS_STREET</t>
  </si>
  <si>
    <t>L_ADDRESS_BUILDING</t>
  </si>
  <si>
    <t>DET2_NAME</t>
  </si>
  <si>
    <t>LOCATION_NAME</t>
  </si>
  <si>
    <t>LOCATION_OKTMO_NAME</t>
  </si>
  <si>
    <t>L_OWNERSHIP_TYPE</t>
  </si>
  <si>
    <t>L_BASE_OF_CONTRACT</t>
  </si>
  <si>
    <t>L_URL</t>
  </si>
  <si>
    <t>L_CURRENT_STATE</t>
  </si>
  <si>
    <t>L_EXPLOIT_DOC_TYPE</t>
  </si>
  <si>
    <t>L_EXPLOIT_DOC_BASE</t>
  </si>
  <si>
    <t>L_EXPLOIT_DOC_NUMBER</t>
  </si>
  <si>
    <t>L_EXPLOIT_DOC_DATE</t>
  </si>
  <si>
    <t>L_EXPLOIT_DOC_URL</t>
  </si>
  <si>
    <t>L_SERVICE_PRODUCTION</t>
  </si>
  <si>
    <t>L_SERVICE_TRANSMISSION</t>
  </si>
  <si>
    <t>L_SERVICE_SALE</t>
  </si>
  <si>
    <t>L_PR_IC</t>
  </si>
  <si>
    <t>L_PR_CL</t>
  </si>
  <si>
    <t>L_TR_IC</t>
  </si>
  <si>
    <t>L_TR_CL</t>
  </si>
  <si>
    <t>L_SL_IC</t>
  </si>
  <si>
    <t>L_SL_CL</t>
  </si>
  <si>
    <t>FUEL_LIST</t>
  </si>
  <si>
    <t>Город Курган</t>
  </si>
  <si>
    <t>частная собственность</t>
  </si>
  <si>
    <t>аренда</t>
  </si>
  <si>
    <t>https://portal.eias.ru/Portal/DownloadPage.aspx?type=12&amp;guid=7b8a80d6-7c95-43ff-9988-170b48730c70</t>
  </si>
  <si>
    <t>эксплуатируется</t>
  </si>
  <si>
    <t>договор</t>
  </si>
  <si>
    <t>45:25:030304:196-45/051/2020-3;45:25:030304:197-45/051/2020-3;</t>
  </si>
  <si>
    <t>01.03.2024</t>
  </si>
  <si>
    <t>29.225</t>
  </si>
  <si>
    <t>[Газ природный] :: [Мазут М-100]</t>
  </si>
  <si>
    <t>ул. Школьная</t>
  </si>
  <si>
    <t>45:25:010306:428-45/051/2020-2</t>
  </si>
  <si>
    <t>2.79915</t>
  </si>
  <si>
    <t>ул. Пархоменко</t>
  </si>
  <si>
    <t>60а</t>
  </si>
  <si>
    <t>45:25:030305:521-45/051/2020-3</t>
  </si>
  <si>
    <t>13.14</t>
  </si>
  <si>
    <t>6.996</t>
  </si>
  <si>
    <t>45:25:040307:76-45/051/2020-3</t>
  </si>
  <si>
    <t>10.7</t>
  </si>
  <si>
    <t>4.855</t>
  </si>
  <si>
    <t>ул. Перова</t>
  </si>
  <si>
    <t>59/1</t>
  </si>
  <si>
    <t>45:25:090504:112</t>
  </si>
  <si>
    <t>16.6</t>
  </si>
  <si>
    <t>6.374</t>
  </si>
  <si>
    <t>11а</t>
  </si>
  <si>
    <t>45:25:030308:414-45/051/2020-2</t>
  </si>
  <si>
    <t>30.4</t>
  </si>
  <si>
    <t>6.302</t>
  </si>
  <si>
    <t>35/3</t>
  </si>
  <si>
    <t>45:25:000000:24556-45/051/2020-2</t>
  </si>
  <si>
    <t>10.78</t>
  </si>
  <si>
    <t>2.736</t>
  </si>
  <si>
    <t>[Газ природный] :: [Уголь длиннопламенный]</t>
  </si>
  <si>
    <t>мкр. Мостостроителей</t>
  </si>
  <si>
    <t>СМП-290</t>
  </si>
  <si>
    <t>45:25:010106:316-45/051/2020-1</t>
  </si>
  <si>
    <t>.181</t>
  </si>
  <si>
    <t>[Уголь длиннопламенный] :: [Уголь длиннопламенный]</t>
  </si>
  <si>
    <t>16а</t>
  </si>
  <si>
    <t>45:25:040318:650-45/051/2020-3</t>
  </si>
  <si>
    <t>1.764</t>
  </si>
  <si>
    <t>мкр. Пригородный</t>
  </si>
  <si>
    <t>Юбилейная 1в</t>
  </si>
  <si>
    <t>45:25:110101:408-45/051/2020-2</t>
  </si>
  <si>
    <t>1.29</t>
  </si>
  <si>
    <t>.48</t>
  </si>
  <si>
    <t>[Газ природный] :: [Дизельное топливо А (арктическое)]</t>
  </si>
  <si>
    <t>п. Затобольный</t>
  </si>
  <si>
    <t>Заводская 9</t>
  </si>
  <si>
    <t>45:25:050308:308-45/051/2020-3</t>
  </si>
  <si>
    <t>2.345</t>
  </si>
  <si>
    <t>.592</t>
  </si>
  <si>
    <t>мкр. Глинки</t>
  </si>
  <si>
    <t>Центральная 10</t>
  </si>
  <si>
    <t>45:25:050303:102-45/051/2020-3</t>
  </si>
  <si>
    <t>5.383</t>
  </si>
  <si>
    <t>Промышленная</t>
  </si>
  <si>
    <t>45:25:030605:716-45/051/2020-2</t>
  </si>
  <si>
    <t>.258</t>
  </si>
  <si>
    <t>.11</t>
  </si>
  <si>
    <t>[Электроэнергия]</t>
  </si>
  <si>
    <t>45:25:060403:322-45/051/2020-3</t>
  </si>
  <si>
    <t>34.2</t>
  </si>
  <si>
    <t>4.678</t>
  </si>
  <si>
    <t>собственное имущество</t>
  </si>
  <si>
    <t>https://portal.eias.ru/Portal/DownloadPage.aspx?type=12&amp;guid=b5948536-5dff-45dc-bf8a-62569a82ff77</t>
  </si>
  <si>
    <t>свидетельство</t>
  </si>
  <si>
    <t>собственность</t>
  </si>
  <si>
    <t>45 АА 543077</t>
  </si>
  <si>
    <t>05.02.2013</t>
  </si>
  <si>
    <t>1117</t>
  </si>
  <si>
    <t>644.4143</t>
  </si>
  <si>
    <t>[Газ природный]</t>
  </si>
  <si>
    <t>ТЭЦ-3 (мини ТЭЦ)</t>
  </si>
  <si>
    <t>ТИ</t>
  </si>
  <si>
    <t>ул. Невежина</t>
  </si>
  <si>
    <t>https://portal.eias.ru/Portal/DownloadPage.aspx?type=12&amp;guid=14bf11c2-ac12-4ed9-a544-2ee8ba093195</t>
  </si>
  <si>
    <t>0011915</t>
  </si>
  <si>
    <t>30.03.2016</t>
  </si>
  <si>
    <t>48.45</t>
  </si>
  <si>
    <t>48.4</t>
  </si>
  <si>
    <t>45:25:040105:100-45/051/2020-3</t>
  </si>
  <si>
    <t>38.07</t>
  </si>
  <si>
    <t>14.893</t>
  </si>
  <si>
    <t>[Газ природный] :: [Газ сжиженный]</t>
  </si>
  <si>
    <t>котельная №18</t>
  </si>
  <si>
    <t>ул. Сиреневая</t>
  </si>
  <si>
    <t>13а</t>
  </si>
  <si>
    <t>45:25:030406:485</t>
  </si>
  <si>
    <t>9.44</t>
  </si>
  <si>
    <t>8.527</t>
  </si>
  <si>
    <t>котельная №39</t>
  </si>
  <si>
    <t>мкр. Утяк</t>
  </si>
  <si>
    <t>Советская 41а</t>
  </si>
  <si>
    <t>45:25:060605:183-45/051/2020-2</t>
  </si>
  <si>
    <t>3.268</t>
  </si>
  <si>
    <t>1.921</t>
  </si>
  <si>
    <t>котельная №5</t>
  </si>
  <si>
    <t>п. Увал</t>
  </si>
  <si>
    <t>Миронова 47</t>
  </si>
  <si>
    <t>45:25:000000:24943-45/051/2020-2</t>
  </si>
  <si>
    <t>7.83</t>
  </si>
  <si>
    <t>3.05</t>
  </si>
  <si>
    <t>https://portal.eias.ru/Portal/DownloadPage.aspx?type=12&amp;guid=ab8f896f-84ab-4621-a48b-42e19e9c529a</t>
  </si>
  <si>
    <t>б/н</t>
  </si>
  <si>
    <t>5.25</t>
  </si>
  <si>
    <t>.1185</t>
  </si>
  <si>
    <t>Котельная Красная звезда - 2</t>
  </si>
  <si>
    <t>ул. Ефремова</t>
  </si>
  <si>
    <t>1а</t>
  </si>
  <si>
    <t>.172</t>
  </si>
  <si>
    <t>2.55</t>
  </si>
  <si>
    <t>1.812</t>
  </si>
  <si>
    <t>1.2563</t>
  </si>
  <si>
    <t>Котельная Чистопрудное</t>
  </si>
  <si>
    <t>с Чистопрудное</t>
  </si>
  <si>
    <t>37538000536</t>
  </si>
  <si>
    <t>ул. Пушкина</t>
  </si>
  <si>
    <t>.301</t>
  </si>
  <si>
    <t>.2399</t>
  </si>
  <si>
    <t>Город Шадринск</t>
  </si>
  <si>
    <t>3.29</t>
  </si>
  <si>
    <t>2.221</t>
  </si>
  <si>
    <t>ул. Тюменская</t>
  </si>
  <si>
    <t>14.13</t>
  </si>
  <si>
    <t>9.982</t>
  </si>
  <si>
    <t>3.7316</t>
  </si>
  <si>
    <t>ул. Треугольник депо</t>
  </si>
  <si>
    <t>14.6455</t>
  </si>
  <si>
    <t>6.4</t>
  </si>
  <si>
    <t>3.92</t>
  </si>
  <si>
    <t>1.5739</t>
  </si>
  <si>
    <t>ул. Батуринская</t>
  </si>
  <si>
    <t>11.18</t>
  </si>
  <si>
    <t>7.148</t>
  </si>
  <si>
    <t>260</t>
  </si>
  <si>
    <t>91.5413</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</si>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</sst>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2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179" fontId="0" fillId="36" borderId="13" xfId="0" applyFont="1" applyFill="1" applyBorder="1" applyNumberFormat="1">
      <alignment horizontal="left" vertical="center" wrapText="1"/>
      <protection locked="0"/>
    </xf>
    <xf numFmtId="179"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1"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7" fillId="39" borderId="12" xfId="0" applyFont="1" applyFill="1" applyBorder="1" applyNumberFormat="1">
      <alignment horizontal="left" vertical="center" wrapText="1" indent="1"/>
      <protection locked="0"/>
    </xf>
    <xf numFmtId="0" fontId="29" fillId="0" borderId="0" xfId="0" applyFont="1"/>
    <xf numFmtId="0" fontId="29" fillId="0" borderId="0" xfId="0" applyFont="1"/>
    <xf numFmtId="0" fontId="29" fillId="0" borderId="0" xfId="0" applyFont="1"/>
    <xf numFmtId="49" fontId="22" fillId="35"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35"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9" fillId="0" borderId="0" xfId="0" applyFont="1"/>
    <xf numFmtId="1" fontId="22" fillId="39" borderId="12" xfId="0" applyFont="1" applyFill="1" applyBorder="1" applyNumberFormat="1">
      <alignment horizontal="center" vertical="center" wrapText="1"/>
      <protection locked="0"/>
    </xf>
    <xf numFmtId="49" fontId="22" fillId="40" borderId="12" xfId="0" applyFont="1" applyFill="1" applyBorder="1" applyNumberFormat="1">
      <alignment horizontal="left" vertical="center" wrapText="1"/>
    </xf>
    <xf numFmtId="1" fontId="22" fillId="36" borderId="12" xfId="0" applyFont="1" applyFill="1" applyBorder="1" applyNumberFormat="1">
      <alignment horizontal="center" vertical="center" wrapText="1"/>
      <protection locked="0"/>
    </xf>
    <xf numFmtId="1" fontId="22" fillId="36" borderId="63" xfId="0" applyFont="1" applyFill="1" applyBorder="1" applyNumberFormat="1">
      <alignment vertical="center" wrapText="1"/>
      <protection locked="0"/>
    </xf>
    <xf numFmtId="0" fontId="29" fillId="0" borderId="0" xfId="0" applyFont="1"/>
    <xf numFmtId="49" fontId="22" fillId="35"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2" xfId="0" applyFont="1" applyFill="1" applyBorder="1" applyNumberFormat="1">
      <alignment horizontal="left" vertical="center" wrapText="1"/>
    </xf>
    <xf numFmtId="49" fontId="22" fillId="34"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1" fontId="22" fillId="36" borderId="12" xfId="0" applyFont="1" applyFill="1" applyBorder="1" applyNumberFormat="1">
      <alignment horizontal="center" vertical="center" wrapText="1"/>
      <protection locked="0"/>
    </xf>
    <xf numFmtId="1" fontId="22" fillId="36" borderId="63" xfId="0" applyFont="1" applyFill="1" applyBorder="1" applyNumberFormat="1">
      <alignment vertical="center" wrapText="1"/>
      <protection locked="0"/>
    </xf>
    <xf numFmtId="1" fontId="22" fillId="39" borderId="63" xfId="0" applyFont="1" applyFill="1" applyBorder="1" applyNumberFormat="1">
      <alignment vertical="center" wrapText="1"/>
      <protection locked="0"/>
    </xf>
    <xf numFmtId="49" fontId="0" fillId="40" borderId="36" xfId="0" applyFont="1" applyFill="1" applyBorder="1" applyNumberFormat="1">
      <alignment vertical="top"/>
    </xf>
    <xf numFmtId="49" fontId="22" fillId="35"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fb474a60-39ed-4d31-b190-0db3d294e998" TargetMode="External"/><Relationship Id="rId2" Type="http://schemas.openxmlformats.org/officeDocument/2006/relationships/hyperlink" Target="https://portal.eias.ru/Portal/DownloadPage.aspx?type=12&amp;guid=fb474a60-39ed-4d31-b190-0db3d294e998" TargetMode="External"/><Relationship Id="rId3" Type="http://schemas.openxmlformats.org/officeDocument/2006/relationships/hyperlink" Target="https://portal.eias.ru/Portal/DownloadPage.aspx?type=12&amp;guid=fb474a60-39ed-4d31-b190-0db3d294e998" TargetMode="External"/><Relationship Id="rId4" Type="http://schemas.openxmlformats.org/officeDocument/2006/relationships/hyperlink" Target="https://portal.eias.ru/Portal/DownloadPage.aspx?type=12&amp;guid=fb474a60-39ed-4d31-b190-0db3d294e998"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06165-F868-C3C8-FFA5-D20972EC3E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24" width="5.421875" customWidth="1"/>
    <col min="2" max="2" style="2924" width="9.140625" customWidth="1"/>
    <col min="3" max="3" style="2924" width="16.421875" customWidth="1"/>
    <col min="4" max="25" style="2924" width="6.28125" customWidth="1"/>
    <col min="26" max="28" style="2924"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107" t="s">
        <v>1</v>
      </c>
      <c r="C2" s="2107"/>
      <c r="D2" s="2107"/>
      <c r="E2" s="2107"/>
      <c r="F2" s="2107"/>
      <c r="G2" s="2107"/>
      <c r="H2" s="2107"/>
      <c r="I2" s="2107"/>
      <c r="J2" s="2107"/>
      <c r="K2" s="2107"/>
      <c r="L2" s="2107"/>
      <c r="M2" s="2107"/>
      <c r="N2" s="2107"/>
      <c r="O2" s="2107"/>
      <c r="P2" s="2107"/>
      <c r="Q2" s="1715"/>
      <c r="R2" s="1715"/>
      <c r="S2" s="1715"/>
      <c r="T2" s="1715"/>
      <c r="U2" s="1715"/>
      <c r="V2" s="1716"/>
      <c r="W2" s="1715"/>
      <c r="X2" s="1715"/>
      <c r="Y2" s="1712"/>
      <c r="Z2" s="1711"/>
      <c r="AA2" s="1713"/>
      <c r="AB2" s="1711"/>
    </row>
    <row customHeight="1" ht="15.75">
      <c r="A3" s="1711"/>
      <c r="B3" s="2108" t="s">
        <v>2</v>
      </c>
      <c r="C3" s="2108"/>
      <c r="D3" s="2108"/>
      <c r="E3" s="2108"/>
      <c r="F3" s="2108"/>
      <c r="G3" s="2108"/>
      <c r="H3" s="2108"/>
      <c r="I3" s="2108"/>
      <c r="J3" s="2108"/>
      <c r="K3" s="2108"/>
      <c r="L3" s="2108"/>
      <c r="M3" s="2108"/>
      <c r="N3" s="2108"/>
      <c r="O3" s="2108"/>
      <c r="P3" s="210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109"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10"/>
      <c r="D5" s="2110"/>
      <c r="E5" s="2110"/>
      <c r="F5" s="2110"/>
      <c r="G5" s="2110"/>
      <c r="H5" s="2110"/>
      <c r="I5" s="2110"/>
      <c r="J5" s="2110"/>
      <c r="K5" s="2110"/>
      <c r="L5" s="2110"/>
      <c r="M5" s="2110"/>
      <c r="N5" s="2110"/>
      <c r="O5" s="2110"/>
      <c r="P5" s="2110"/>
      <c r="Q5" s="2110"/>
      <c r="R5" s="2110"/>
      <c r="S5" s="2110"/>
      <c r="T5" s="2110"/>
      <c r="U5" s="2110"/>
      <c r="V5" s="2110"/>
      <c r="W5" s="2110"/>
      <c r="X5" s="2110"/>
      <c r="Y5" s="2111"/>
      <c r="Z5" s="1718"/>
      <c r="AA5" s="1713"/>
      <c r="AB5" s="1718"/>
    </row>
    <row customHeight="1" ht="15">
      <c r="A6" s="1719"/>
      <c r="B6" s="2112" t="s">
        <v>3</v>
      </c>
      <c r="C6" s="211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112"/>
      <c r="C7" s="211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112"/>
      <c r="C8" s="2113"/>
      <c r="D8" s="1725"/>
      <c r="E8" s="1726" t="s">
        <v>4</v>
      </c>
      <c r="F8" s="2115" t="s">
        <v>5</v>
      </c>
      <c r="G8" s="2116"/>
      <c r="H8" s="2116"/>
      <c r="I8" s="2116"/>
      <c r="J8" s="2116"/>
      <c r="K8" s="2116"/>
      <c r="L8" s="2116"/>
      <c r="M8" s="2116"/>
      <c r="N8" s="1725"/>
      <c r="O8" s="1727" t="s">
        <v>4</v>
      </c>
      <c r="P8" s="2117" t="s">
        <v>6</v>
      </c>
      <c r="Q8" s="2118"/>
      <c r="R8" s="2118"/>
      <c r="S8" s="2118"/>
      <c r="T8" s="2118"/>
      <c r="U8" s="2118"/>
      <c r="V8" s="2118"/>
      <c r="W8" s="2118"/>
      <c r="X8" s="2118"/>
      <c r="Y8" s="1721"/>
      <c r="Z8" s="1722"/>
      <c r="AA8" s="1723"/>
      <c r="AB8" s="1723"/>
    </row>
    <row customHeight="1" ht="15">
      <c r="A9" s="1719"/>
      <c r="B9" s="2112"/>
      <c r="C9" s="2113"/>
      <c r="D9" s="1725"/>
      <c r="E9" s="1728" t="s">
        <v>4</v>
      </c>
      <c r="F9" s="2115" t="s">
        <v>7</v>
      </c>
      <c r="G9" s="2116"/>
      <c r="H9" s="2116"/>
      <c r="I9" s="2116"/>
      <c r="J9" s="2116"/>
      <c r="K9" s="2116"/>
      <c r="L9" s="2116"/>
      <c r="M9" s="2116"/>
      <c r="N9" s="1725"/>
      <c r="O9" s="1729" t="s">
        <v>4</v>
      </c>
      <c r="P9" s="2117" t="s">
        <v>8</v>
      </c>
      <c r="Q9" s="2118"/>
      <c r="R9" s="2118"/>
      <c r="S9" s="2118"/>
      <c r="T9" s="2118"/>
      <c r="U9" s="2118"/>
      <c r="V9" s="2118"/>
      <c r="W9" s="2118"/>
      <c r="X9" s="2118"/>
      <c r="Y9" s="1721"/>
      <c r="Z9" s="1722"/>
      <c r="AA9" s="1723"/>
      <c r="AB9" s="1723"/>
    </row>
    <row customHeight="1" ht="30">
      <c r="A10" s="1719"/>
      <c r="B10" s="2112"/>
      <c r="C10" s="211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119" t="s">
        <v>9</v>
      </c>
      <c r="C11" s="212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112"/>
      <c r="C12" s="2114"/>
      <c r="D12" s="1733"/>
      <c r="E12" s="2116" t="s">
        <v>10</v>
      </c>
      <c r="F12" s="2116"/>
      <c r="G12" s="2116"/>
      <c r="H12" s="2116"/>
      <c r="I12" s="2116"/>
      <c r="J12" s="2116"/>
      <c r="K12" s="2116"/>
      <c r="L12" s="2116"/>
      <c r="M12" s="2116"/>
      <c r="N12" s="2116"/>
      <c r="O12" s="2116"/>
      <c r="P12" s="2116"/>
      <c r="Q12" s="2116"/>
      <c r="R12" s="2116"/>
      <c r="S12" s="2116"/>
      <c r="T12" s="2116"/>
      <c r="U12" s="2116"/>
      <c r="V12" s="2116"/>
      <c r="W12" s="2116"/>
      <c r="X12" s="2116"/>
      <c r="Y12" s="1721"/>
      <c r="Z12" s="1722"/>
      <c r="AA12" s="1723"/>
      <c r="AB12" s="1723"/>
    </row>
    <row customHeight="1" ht="15">
      <c r="A13" s="1719"/>
      <c r="B13" s="2119" t="s">
        <v>11</v>
      </c>
      <c r="C13" s="212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112"/>
      <c r="C14" s="2113"/>
      <c r="D14" s="1725"/>
      <c r="E14" s="2123" t="s">
        <v>12</v>
      </c>
      <c r="F14" s="2123"/>
      <c r="G14" s="2123"/>
      <c r="H14" s="2123"/>
      <c r="I14" s="2123"/>
      <c r="J14" s="2123"/>
      <c r="K14" s="2123"/>
      <c r="L14" s="2123"/>
      <c r="M14" s="2123"/>
      <c r="N14" s="2123"/>
      <c r="O14" s="2123"/>
      <c r="P14" s="2123"/>
      <c r="Q14" s="2123"/>
      <c r="R14" s="2123"/>
      <c r="S14" s="2123"/>
      <c r="T14" s="2123"/>
      <c r="U14" s="2123"/>
      <c r="V14" s="2123"/>
      <c r="W14" s="2123"/>
      <c r="X14" s="2123"/>
      <c r="Y14" s="1721"/>
      <c r="Z14" s="1722"/>
      <c r="AA14" s="1723"/>
      <c r="AB14" s="1723"/>
    </row>
    <row customHeight="1" ht="16.5">
      <c r="A15" s="1719"/>
      <c r="B15" s="2121"/>
      <c r="C15" s="212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23"/>
      <c r="C16" s="2124"/>
      <c r="D16" s="2124"/>
      <c r="E16" s="2124"/>
      <c r="F16" s="2124"/>
      <c r="G16" s="2124"/>
      <c r="H16" s="2124"/>
      <c r="I16" s="2124"/>
      <c r="J16" s="2124"/>
      <c r="K16" s="2124"/>
      <c r="L16" s="2124"/>
      <c r="M16" s="2124"/>
      <c r="N16" s="2124"/>
      <c r="O16" s="2124"/>
      <c r="P16" s="2124"/>
      <c r="Q16" s="2124"/>
      <c r="R16" s="2124"/>
      <c r="S16" s="2124"/>
      <c r="T16" s="2124"/>
      <c r="U16" s="2124"/>
      <c r="V16" s="2124"/>
      <c r="W16" s="2124"/>
      <c r="X16" s="2124"/>
      <c r="Y16" s="212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71708-023B-8905-E868-9F34D572899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3" width="9.140625" hidden="1" customWidth="1"/>
    <col min="2" max="3" style="1646" width="9.140625" hidden="1" customWidth="1"/>
    <col min="4" max="4" style="1850" width="3.00390625" customWidth="1"/>
    <col min="5" max="5" style="1646" width="6.00390625" customWidth="1"/>
    <col min="6" max="6" style="1646" width="1.7109375" hidden="1" customWidth="1"/>
    <col min="7" max="8" style="1646" width="30.00390625" customWidth="1"/>
    <col min="9" max="9" style="1646" width="8.00390625" customWidth="1"/>
    <col min="10" max="10" style="1646" width="12.140625" customWidth="1"/>
    <col min="11" max="11" style="1646" width="46.00390625" customWidth="1"/>
    <col min="12" max="12" style="1646" width="100.00390625" customWidth="1"/>
    <col min="13" max="13" style="1829" width="7.00390625" customWidth="1"/>
    <col min="14" max="22" style="1646" width="10.00390625" customWidth="1"/>
    <col min="23" max="23" style="1646" width="10.57421875" hidden="1"/>
  </cols>
  <sheetData>
    <row s="1653" customFormat="1" customHeight="1" ht="5.25" hidden="1">
      <c r="C1" s="522"/>
      <c r="D1" s="505"/>
      <c r="F1" s="522"/>
      <c r="G1" s="500" t="s">
        <v>84</v>
      </c>
      <c r="H1" s="500" t="s">
        <v>85</v>
      </c>
      <c r="I1" s="500" t="s">
        <v>86</v>
      </c>
      <c r="P1" s="500" t="s">
        <v>84</v>
      </c>
      <c r="Q1" s="500" t="s">
        <v>85</v>
      </c>
      <c r="R1" s="500" t="s">
        <v>86</v>
      </c>
      <c r="W1" s="500" t="s">
        <v>14</v>
      </c>
    </row>
    <row s="1653" customFormat="1" customHeight="1" ht="5.25" hidden="1">
      <c r="C2" s="522"/>
      <c r="D2" s="505"/>
      <c r="F2" s="522"/>
      <c r="W2" s="500">
        <v>0</v>
      </c>
    </row>
    <row s="1623" customFormat="1" customHeight="1" ht="5.25">
      <c r="A3" s="490"/>
      <c r="D3" s="497"/>
      <c r="E3" s="492"/>
      <c r="F3" s="492"/>
      <c r="G3" s="492"/>
      <c r="H3" s="492"/>
      <c r="I3" s="493"/>
      <c r="J3" s="494"/>
      <c r="K3" s="494"/>
      <c r="L3" s="494"/>
      <c r="W3" s="491">
        <v>5</v>
      </c>
    </row>
    <row customHeight="1" ht="23.25">
      <c r="D4" s="461"/>
      <c r="E4" s="2268" t="s">
        <v>402</v>
      </c>
      <c r="F4" s="2268"/>
      <c r="G4" s="2269"/>
      <c r="H4" s="2269"/>
      <c r="I4" s="2270"/>
      <c r="J4" s="502"/>
      <c r="K4" s="464"/>
      <c r="L4" s="464"/>
      <c r="W4" s="458">
        <v>22</v>
      </c>
    </row>
    <row s="1646" customFormat="1" customHeight="1" ht="18">
      <c r="A5" s="770"/>
      <c r="D5" s="833"/>
      <c r="E5" s="2244" t="str">
        <f>IF(org=0,"Не определено",org)</f>
        <v>ПАО "КГК"</v>
      </c>
      <c r="F5" s="2244"/>
      <c r="G5" s="2245"/>
      <c r="H5" s="2245"/>
      <c r="I5" s="2246"/>
      <c r="J5" s="502"/>
      <c r="K5" s="464"/>
      <c r="L5" s="464"/>
      <c r="M5" s="518"/>
      <c r="W5" s="769">
        <v>17</v>
      </c>
    </row>
    <row s="1623" customFormat="1" customHeight="1" ht="11.549999999999999">
      <c r="A6" s="490"/>
      <c r="D6" s="497"/>
      <c r="E6" s="492"/>
      <c r="F6" s="492"/>
      <c r="G6" s="495"/>
      <c r="H6" s="495"/>
      <c r="I6" s="496"/>
      <c r="J6" s="496"/>
      <c r="K6" s="763"/>
      <c r="L6" s="496"/>
      <c r="W6" s="491">
        <v>11</v>
      </c>
    </row>
    <row customHeight="1" ht="14.699999999999998">
      <c r="D7" s="461"/>
      <c r="E7" s="2238" t="s">
        <v>314</v>
      </c>
      <c r="F7" s="2238"/>
      <c r="G7" s="2239"/>
      <c r="H7" s="2239"/>
      <c r="I7" s="2239"/>
      <c r="J7" s="2239"/>
      <c r="K7" s="2239"/>
      <c r="L7" s="2253" t="s">
        <v>315</v>
      </c>
      <c r="W7" s="458">
        <v>14</v>
      </c>
    </row>
    <row customHeight="1" ht="48.29999999999999">
      <c r="D8" s="461"/>
      <c r="E8" s="484" t="s">
        <v>89</v>
      </c>
      <c r="F8" s="834"/>
      <c r="G8" s="476" t="s">
        <v>87</v>
      </c>
      <c r="H8" s="476" t="s">
        <v>88</v>
      </c>
      <c r="I8" s="425" t="s">
        <v>86</v>
      </c>
      <c r="J8" s="425" t="s">
        <v>403</v>
      </c>
      <c r="K8" s="425" t="s">
        <v>404</v>
      </c>
      <c r="L8" s="2253"/>
      <c r="W8" s="458">
        <v>46</v>
      </c>
    </row>
    <row customHeight="1" ht="12" hidden="1">
      <c r="D9" s="498"/>
      <c r="E9" s="504"/>
      <c r="F9" s="841"/>
      <c r="G9" s="504"/>
      <c r="H9" s="504"/>
      <c r="I9" s="504"/>
      <c r="J9" s="504"/>
      <c r="K9" s="504"/>
      <c r="L9" s="504"/>
      <c r="M9" s="458"/>
      <c r="W9" s="458">
        <v>0</v>
      </c>
    </row>
    <row customHeight="1" ht="14.25" hidden="1">
      <c r="A10" s="516"/>
      <c r="B10" s="516"/>
      <c r="D10" s="517"/>
      <c r="E10" s="523">
        <v>0</v>
      </c>
      <c r="F10" s="832"/>
      <c r="G10" s="519"/>
      <c r="H10" s="519"/>
      <c r="I10" s="519"/>
      <c r="J10" s="519"/>
      <c r="K10" s="519"/>
      <c r="L10" s="2251" t="s">
        <v>405</v>
      </c>
      <c r="M10" s="518"/>
      <c r="N10" s="516"/>
      <c r="O10" s="516"/>
      <c r="P10" s="516"/>
      <c r="Q10" s="516"/>
      <c r="R10" s="516"/>
      <c r="S10" s="516"/>
      <c r="T10" s="516"/>
      <c r="U10" s="516"/>
      <c r="V10" s="516"/>
      <c r="W10" s="458">
        <v>0</v>
      </c>
    </row>
    <row customHeight="1" ht="15" hidden="1">
      <c r="A11" s="2129"/>
      <c r="B11" s="515"/>
      <c r="C11" s="515"/>
      <c r="D11" s="876"/>
      <c r="E11" s="524"/>
      <c r="F11" s="524"/>
      <c r="G11" s="524"/>
      <c r="H11" s="524"/>
      <c r="I11" s="525"/>
      <c r="J11" s="526"/>
      <c r="K11" s="724"/>
      <c r="L11" s="2271"/>
      <c r="M11" s="522"/>
      <c r="N11" s="522"/>
      <c r="O11" s="522"/>
      <c r="P11" s="527"/>
      <c r="Q11" s="527"/>
      <c r="R11" s="528"/>
      <c r="S11" s="522"/>
      <c r="T11" s="522"/>
      <c r="U11" s="522"/>
      <c r="V11" s="522"/>
      <c r="W11" s="458">
        <v>0</v>
      </c>
    </row>
    <row s="1623" customFormat="1" customHeight="1" ht="15">
      <c r="A12" s="2129"/>
      <c r="B12" s="515"/>
      <c r="C12" s="515"/>
      <c r="D12" s="877"/>
      <c r="E12" s="834">
        <v>1</v>
      </c>
      <c r="F12" s="875">
        <v>23</v>
      </c>
      <c r="G12" s="874"/>
      <c r="H12" s="804"/>
      <c r="I12" s="802"/>
      <c r="J12" s="531" t="s">
        <v>63</v>
      </c>
      <c r="K12" s="1175" t="s">
        <v>22</v>
      </c>
      <c r="L12" s="2271"/>
      <c r="M12" s="522"/>
      <c r="N12" s="522"/>
      <c r="O12" s="522"/>
      <c r="P12" s="527" t="s">
        <v>406</v>
      </c>
      <c r="Q12" s="527" t="s">
        <v>407</v>
      </c>
      <c r="R12" s="528" t="s">
        <v>408</v>
      </c>
      <c r="S12" s="522" t="s">
        <v>409</v>
      </c>
      <c r="T12" s="522"/>
      <c r="U12" s="522"/>
      <c r="V12" s="522"/>
      <c r="W12" s="491">
        <v>14</v>
      </c>
    </row>
    <row customHeight="1" ht="15.75">
      <c r="A13" s="2129"/>
      <c r="B13" s="516"/>
      <c r="D13" s="517"/>
      <c r="E13" s="416"/>
      <c r="F13" s="540"/>
      <c r="G13" s="427" t="s">
        <v>103</v>
      </c>
      <c r="H13" s="415"/>
      <c r="I13" s="415"/>
      <c r="J13" s="415"/>
      <c r="K13" s="414"/>
      <c r="L13" s="2252"/>
      <c r="M13" s="520"/>
      <c r="N13" s="516"/>
      <c r="O13" s="516"/>
      <c r="P13" s="516"/>
      <c r="Q13" s="516"/>
      <c r="R13" s="516"/>
      <c r="S13" s="516"/>
      <c r="T13" s="516"/>
      <c r="U13" s="516"/>
      <c r="V13" s="516"/>
      <c r="W13" s="458">
        <v>15</v>
      </c>
    </row>
    <row customHeight="1" ht="11.549999999999999">
      <c r="A14" s="490"/>
      <c r="B14" s="491"/>
      <c r="C14" s="491"/>
      <c r="D14" s="506"/>
      <c r="E14" s="491"/>
      <c r="F14" s="491"/>
      <c r="G14" s="491"/>
      <c r="H14" s="491"/>
      <c r="I14" s="491"/>
      <c r="J14" s="491"/>
      <c r="K14" s="491"/>
      <c r="L14" s="491"/>
      <c r="M14" s="491"/>
      <c r="N14" s="491"/>
      <c r="O14" s="491"/>
      <c r="P14" s="491"/>
      <c r="Q14" s="491"/>
      <c r="R14" s="491"/>
      <c r="S14" s="491"/>
      <c r="T14" s="491"/>
      <c r="U14" s="491"/>
      <c r="V14" s="491"/>
      <c r="W14" s="458">
        <v>11</v>
      </c>
    </row>
    <row customHeight="1" ht="14.699999999999998">
      <c r="D15" s="477"/>
      <c r="E15" s="347"/>
      <c r="F15" s="347"/>
      <c r="G15" s="67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7"/>
      <c r="I15" s="477"/>
      <c r="J15" s="477"/>
      <c r="K15" s="477"/>
      <c r="L15" s="477"/>
      <c r="W15" s="458">
        <v>14</v>
      </c>
    </row>
    <row customHeight="1" ht="14.699999999999998">
      <c r="W16" s="458">
        <v>14</v>
      </c>
    </row>
    <row customHeight="1" ht="14.699999999999998">
      <c r="W17" s="458">
        <v>14</v>
      </c>
    </row>
    <row customHeight="1" ht="14.699999999999998">
      <c r="G18" s="516"/>
      <c r="W18" s="458">
        <v>14</v>
      </c>
    </row>
    <row customHeight="1" ht="22.5" hidden="1">
      <c r="A19" s="460" t="s">
        <v>83</v>
      </c>
      <c r="B19" s="458">
        <v>0</v>
      </c>
      <c r="C19" s="769">
        <v>0</v>
      </c>
      <c r="D19" s="462">
        <v>3</v>
      </c>
      <c r="E19" s="458">
        <v>6</v>
      </c>
      <c r="F19" s="769">
        <v>0</v>
      </c>
      <c r="G19" s="458">
        <v>30</v>
      </c>
      <c r="H19" s="458">
        <v>30</v>
      </c>
      <c r="I19" s="458">
        <v>8</v>
      </c>
      <c r="J19" s="458">
        <v>12</v>
      </c>
      <c r="K19" s="458">
        <v>46</v>
      </c>
      <c r="L19" s="458">
        <v>100</v>
      </c>
      <c r="M19" s="463">
        <v>7</v>
      </c>
      <c r="N19" s="458">
        <v>10</v>
      </c>
      <c r="O19" s="458">
        <v>10</v>
      </c>
      <c r="P19" s="458">
        <v>10</v>
      </c>
      <c r="Q19" s="458">
        <v>10</v>
      </c>
      <c r="R19" s="458">
        <v>10</v>
      </c>
      <c r="S19" s="458">
        <v>10</v>
      </c>
      <c r="T19" s="458">
        <v>10</v>
      </c>
      <c r="U19" s="458">
        <v>10</v>
      </c>
      <c r="V19" s="458">
        <v>10</v>
      </c>
      <c r="W19" s="45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4A0A8-3646-AD75-66D9-1E8FA81CF2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20">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15"/>
      <c r="Q3" s="363"/>
      <c r="R3" s="364"/>
      <c r="S3" s="1320">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1320">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364"/>
      <c r="S5" s="1320">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511"/>
      <c r="AP5" s="511" t="str">
        <f>IF(T5="","",T5)</f>
        <v>Источник тепловой энергии  </v>
      </c>
      <c r="AQ5" s="511"/>
      <c r="AR5" s="511"/>
      <c r="AS5" s="1166">
        <v>0</v>
      </c>
    </row>
    <row customHeight="1" ht="47.25" hidden="1">
      <c r="A6" s="1374"/>
      <c r="B6" s="1374"/>
      <c r="C6" s="1374"/>
      <c r="D6" s="1374"/>
      <c r="E6" s="2289"/>
      <c r="F6" s="2289"/>
      <c r="G6" s="2289"/>
      <c r="H6" s="2289"/>
      <c r="I6" s="2286">
        <f>S5&amp;".1"</f>
      </c>
      <c r="J6" s="1374"/>
      <c r="K6" s="1374"/>
      <c r="L6" s="1375" t="s">
        <v>417</v>
      </c>
      <c r="M6" s="548"/>
      <c r="P6" s="2287">
        <v>1</v>
      </c>
      <c r="Q6" s="1316"/>
      <c r="R6" s="367"/>
      <c r="S6" s="1320">
        <f>$I6</f>
      </c>
      <c r="T6" s="296" t="s">
        <v>418</v>
      </c>
      <c r="U6" s="311"/>
      <c r="V6" s="2275"/>
      <c r="W6" s="2276"/>
      <c r="X6" s="2276"/>
      <c r="Y6" s="2276"/>
      <c r="Z6" s="2276"/>
      <c r="AA6" s="2276"/>
      <c r="AB6" s="2276"/>
      <c r="AC6" s="2277"/>
      <c r="AD6" s="2275"/>
      <c r="AE6" s="2276"/>
      <c r="AF6" s="2276"/>
      <c r="AG6" s="2276"/>
      <c r="AH6" s="2276"/>
      <c r="AI6" s="2276"/>
      <c r="AJ6" s="2276"/>
      <c r="AK6" s="2276"/>
      <c r="AL6" s="2277"/>
      <c r="AM6" s="1269" t="s">
        <v>419</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89"/>
      <c r="F7" s="2289"/>
      <c r="G7" s="2289"/>
      <c r="H7" s="2289"/>
      <c r="I7" s="2316"/>
      <c r="J7" s="2286">
        <f>I6&amp;".1"</f>
      </c>
      <c r="K7" s="1374"/>
      <c r="L7" s="1375" t="s">
        <v>420</v>
      </c>
      <c r="M7" s="548"/>
      <c r="N7" s="1377"/>
      <c r="P7" s="2287"/>
      <c r="Q7" s="2287">
        <v>1</v>
      </c>
      <c r="R7" s="368"/>
      <c r="S7" s="1320">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511"/>
      <c r="AP7" s="511" t="str">
        <f>IF(T7="","",T7)</f>
        <v>Группа потребителей</v>
      </c>
      <c r="AQ7" s="511"/>
      <c r="AR7" s="511"/>
      <c r="AS7" s="1166">
        <v>0</v>
      </c>
    </row>
    <row customHeight="1" ht="21" hidden="1">
      <c r="A8" s="1374"/>
      <c r="B8" s="1374"/>
      <c r="C8" s="1374"/>
      <c r="D8" s="1374"/>
      <c r="E8" s="2289"/>
      <c r="F8" s="2289"/>
      <c r="G8" s="2289"/>
      <c r="H8" s="2289"/>
      <c r="I8" s="2316"/>
      <c r="J8" s="2316"/>
      <c r="K8" s="2286">
        <f>J7&amp;".1"</f>
      </c>
      <c r="L8" s="1375" t="s">
        <v>423</v>
      </c>
      <c r="M8" s="548"/>
      <c r="N8" s="1377"/>
      <c r="O8" s="1377"/>
      <c r="P8" s="2287"/>
      <c r="Q8" s="2287"/>
      <c r="R8" s="368">
        <v>1</v>
      </c>
      <c r="S8" s="1320">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522">
        <f>STRCHECKDATE(V9:AL9)</f>
      </c>
      <c r="AO8" s="511"/>
      <c r="AP8" s="511" t="str">
        <f>IF(T8="","",T8)</f>
        <v/>
      </c>
      <c r="AQ8" s="511"/>
      <c r="AR8" s="511"/>
      <c r="AS8" s="1166">
        <v>0</v>
      </c>
    </row>
    <row customHeight="1" ht="0.75" hidden="1">
      <c r="A9" s="1374"/>
      <c r="B9" s="1374"/>
      <c r="C9" s="1374"/>
      <c r="D9" s="1374"/>
      <c r="E9" s="2289"/>
      <c r="F9" s="2289"/>
      <c r="G9" s="2289"/>
      <c r="H9" s="2289"/>
      <c r="I9" s="2316"/>
      <c r="J9" s="2316"/>
      <c r="K9" s="2286"/>
      <c r="L9" s="1375"/>
      <c r="M9" s="548"/>
      <c r="N9" s="1377"/>
      <c r="O9" s="1377"/>
      <c r="P9" s="2287"/>
      <c r="Q9" s="2287"/>
      <c r="R9" s="368"/>
      <c r="S9" s="1317"/>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5" hidden="1">
      <c r="A10" s="1374"/>
      <c r="B10" s="1374"/>
      <c r="C10" s="1374"/>
      <c r="D10" s="1374"/>
      <c r="E10" s="2289"/>
      <c r="F10" s="2289"/>
      <c r="G10" s="2289"/>
      <c r="H10" s="2289"/>
      <c r="I10" s="2316"/>
      <c r="J10" s="2286"/>
      <c r="K10" s="1374"/>
      <c r="L10" s="1375"/>
      <c r="M10" s="548"/>
      <c r="N10" s="1377"/>
      <c r="P10" s="2287"/>
      <c r="Q10" s="2287"/>
      <c r="R10" s="367"/>
      <c r="S10" s="1289"/>
      <c r="T10" s="299"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89"/>
      <c r="F11" s="2289"/>
      <c r="G11" s="2289"/>
      <c r="H11" s="2289"/>
      <c r="I11" s="2286"/>
      <c r="J11" s="1374"/>
      <c r="K11" s="1374"/>
      <c r="L11" s="1375"/>
      <c r="M11" s="548"/>
      <c r="P11" s="2287"/>
      <c r="Q11" s="1316"/>
      <c r="R11" s="367"/>
      <c r="S11" s="1289"/>
      <c r="T11" s="298"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89"/>
      <c r="F12" s="2289"/>
      <c r="G12" s="2289"/>
      <c r="H12" s="2288"/>
      <c r="I12" s="1374"/>
      <c r="J12" s="1374"/>
      <c r="K12" s="1374"/>
      <c r="L12" s="1375"/>
      <c r="M12" s="1376"/>
      <c r="N12" s="1376"/>
      <c r="O12" s="548"/>
      <c r="P12" s="371"/>
      <c r="Q12" s="386"/>
      <c r="R12" s="366"/>
      <c r="S12" s="1289"/>
      <c r="T12" s="376" t="s">
        <v>427</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P17" s="1322"/>
      <c r="AD17" s="1371"/>
      <c r="AE17" s="1371"/>
      <c r="AF17" s="1371"/>
      <c r="AG17" s="1372"/>
      <c r="AH17" s="2297"/>
      <c r="AI17" s="2298" t="s">
        <v>63</v>
      </c>
      <c r="AJ17" s="2297"/>
      <c r="AK17" s="2298" t="s">
        <v>63</v>
      </c>
      <c r="AS17" s="1166">
        <v>0</v>
      </c>
    </row>
    <row customHeight="1" ht="14.25" hidden="1">
      <c r="P18" s="1322"/>
      <c r="AD18" s="1371"/>
      <c r="AE18" s="1371"/>
      <c r="AF18" s="1371"/>
      <c r="AG18" s="339" t="str">
        <f>AH17&amp;"-"&amp;AJ17</f>
        <v>-</v>
      </c>
      <c r="AH18" s="2298"/>
      <c r="AI18" s="2298"/>
      <c r="AJ18" s="2298"/>
      <c r="AK18" s="2298"/>
      <c r="AS18" s="1166">
        <v>0</v>
      </c>
    </row>
    <row customHeight="1" ht="14.25" hidden="1">
      <c r="P19" s="1322"/>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P23" s="1322"/>
      <c r="AS23" s="1166">
        <v>0</v>
      </c>
    </row>
    <row customHeight="1" ht="14.25" hidden="1">
      <c r="O24" s="1375"/>
      <c r="P24" s="1322"/>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14.699999999999998">
      <c r="Q26" s="387"/>
      <c r="R26" s="387"/>
      <c r="S26" s="227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8"/>
      <c r="U26" s="2278"/>
      <c r="V26" s="2278"/>
      <c r="W26" s="2278"/>
      <c r="X26" s="2278"/>
      <c r="Y26" s="2278"/>
      <c r="Z26" s="2278"/>
      <c r="AA26" s="2278"/>
      <c r="AB26" s="2278"/>
      <c r="AC26" s="2278"/>
      <c r="AD26" s="2278"/>
      <c r="AE26" s="2278"/>
      <c r="AF26" s="2278"/>
      <c r="AG26" s="2278"/>
      <c r="AH26" s="2278"/>
      <c r="AI26" s="2278"/>
      <c r="AJ26" s="2278"/>
      <c r="AK26" s="1254"/>
      <c r="AS26" s="1166">
        <v>14</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P33" s="1339"/>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18.7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230"/>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166">
        <v>14</v>
      </c>
    </row>
    <row customHeight="1" ht="35.699999999999996">
      <c r="Q40" s="387"/>
      <c r="R40" s="387"/>
      <c r="S40" s="2303"/>
      <c r="T40" s="2239"/>
      <c r="U40" s="1042"/>
      <c r="V40" s="2290" t="s">
        <v>443</v>
      </c>
      <c r="W40" s="2644" t="s">
        <v>444</v>
      </c>
      <c r="X40" s="2292" t="s">
        <v>445</v>
      </c>
      <c r="Y40" s="2293"/>
      <c r="Z40" s="2292" t="s">
        <v>446</v>
      </c>
      <c r="AA40" s="2299"/>
      <c r="AB40" s="2293"/>
      <c r="AC40" s="2308"/>
      <c r="AD40" s="2290" t="s">
        <v>443</v>
      </c>
      <c r="AE40" s="2313" t="s">
        <v>444</v>
      </c>
      <c r="AF40" s="2292" t="s">
        <v>445</v>
      </c>
      <c r="AG40" s="2293"/>
      <c r="AH40" s="2292" t="s">
        <v>446</v>
      </c>
      <c r="AI40" s="2299"/>
      <c r="AJ40" s="2293"/>
      <c r="AK40" s="2308"/>
      <c r="AL40" s="2311"/>
      <c r="AM40" s="2157"/>
      <c r="AS40" s="1166">
        <v>34</v>
      </c>
    </row>
    <row customHeight="1" ht="35.699999999999996">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Q41" s="387"/>
      <c r="R41" s="387"/>
      <c r="S41" s="2303"/>
      <c r="T41" s="2239"/>
      <c r="U41" s="313"/>
      <c r="V41" s="2291"/>
      <c r="W41" s="2314"/>
      <c r="X41" s="1233" t="s">
        <v>454</v>
      </c>
      <c r="Y41" s="1233" t="s">
        <v>455</v>
      </c>
      <c r="Z41" s="1232" t="s">
        <v>456</v>
      </c>
      <c r="AA41" s="2300" t="s">
        <v>457</v>
      </c>
      <c r="AB41" s="2301"/>
      <c r="AC41" s="2309"/>
      <c r="AD41" s="2291"/>
      <c r="AE41" s="2314"/>
      <c r="AF41" s="1233" t="s">
        <v>454</v>
      </c>
      <c r="AG41" s="1233" t="s">
        <v>455</v>
      </c>
      <c r="AH41" s="1324" t="s">
        <v>456</v>
      </c>
      <c r="AI41" s="2300" t="s">
        <v>457</v>
      </c>
      <c r="AJ41" s="2301"/>
      <c r="AK41" s="2309"/>
      <c r="AL41" s="2312"/>
      <c r="AM41" s="2157"/>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267">
        <f>OFFSET(V42,0,-1)+1</f>
        <v>3</v>
      </c>
      <c r="W42" s="1267"/>
      <c r="X42" s="1267">
        <f>OFFSET(X42,0,-1)+1</f>
        <v>1</v>
      </c>
      <c r="Y42" s="1267">
        <f>OFFSET(Y42,0,-1)+1</f>
        <v>2</v>
      </c>
      <c r="Z42" s="1267">
        <f>OFFSET(Z42,0,-1)+1</f>
        <v>3</v>
      </c>
      <c r="AA42" s="2302">
        <f>OFFSET(AA42,0,-1)+1</f>
        <v>4</v>
      </c>
      <c r="AB42" s="2302"/>
      <c r="AC42" s="1267">
        <f>OFFSET(AC42,0,-2)+1</f>
        <v>5</v>
      </c>
      <c r="AD42" s="1323">
        <f>OFFSET(AD42,0,-1)+1</f>
        <v>6</v>
      </c>
      <c r="AE42" s="1323"/>
      <c r="AF42" s="1323">
        <f>OFFSET(AF42,0,-1)+1</f>
        <v>1</v>
      </c>
      <c r="AG42" s="1323">
        <f>OFFSET(AG42,0,-1)+1</f>
        <v>2</v>
      </c>
      <c r="AH42" s="1323">
        <f>OFFSET(AH42,0,-1)+1</f>
        <v>3</v>
      </c>
      <c r="AI42" s="2302">
        <f>OFFSET(AI42,0,-1)+1</f>
        <v>4</v>
      </c>
      <c r="AJ42" s="2302"/>
      <c r="AK42" s="1323">
        <f>OFFSET(AK42,0,-2)+1</f>
        <v>5</v>
      </c>
      <c r="AL42" s="1256">
        <f>OFFSET(AL42,0,-1)</f>
        <v>5</v>
      </c>
      <c r="AM42" s="1267">
        <f>OFFSET(AM42,0,-1)+1</f>
        <v>6</v>
      </c>
      <c r="AN42" s="522"/>
      <c r="AO42" s="522"/>
      <c r="AP42" s="522"/>
      <c r="AQ42" s="522"/>
      <c r="AR42" s="522"/>
      <c r="AS42" s="507">
        <v>0</v>
      </c>
    </row>
    <row customHeight="1" ht="24">
      <c r="A43" s="1374" t="s">
        <v>172</v>
      </c>
      <c r="B43" s="1374"/>
      <c r="C43" s="1374"/>
      <c r="D43" s="1374"/>
      <c r="E43" s="2288">
        <v>1</v>
      </c>
      <c r="F43" s="1374"/>
      <c r="G43" s="1374"/>
      <c r="H43" s="1374"/>
      <c r="I43" s="1374"/>
      <c r="J43" s="1374"/>
      <c r="K43" s="1374"/>
      <c r="L43" s="1375"/>
      <c r="M43" s="1376"/>
      <c r="N43" s="1376"/>
      <c r="O43" s="1376"/>
      <c r="P43" s="372"/>
      <c r="Q43" s="371"/>
      <c r="R43" s="366"/>
      <c r="S43" s="1235">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23</v>
      </c>
    </row>
    <row customHeight="1" ht="24">
      <c r="A44" s="1374" t="s">
        <v>172</v>
      </c>
      <c r="B44" s="1374" t="s">
        <v>173</v>
      </c>
      <c r="C44" s="1374"/>
      <c r="D44" s="1374"/>
      <c r="E44" s="2289"/>
      <c r="F44" s="2288">
        <v>1</v>
      </c>
      <c r="G44" s="1374"/>
      <c r="H44" s="1374"/>
      <c r="I44" s="1374"/>
      <c r="J44" s="1374"/>
      <c r="K44" s="1374"/>
      <c r="L44" s="1375"/>
      <c r="M44" s="1376"/>
      <c r="N44" s="1376"/>
      <c r="O44" s="1376"/>
      <c r="P44" s="533"/>
      <c r="Q44" s="363"/>
      <c r="R44" s="364"/>
      <c r="S44" s="1235"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23</v>
      </c>
    </row>
    <row customHeight="1" ht="24">
      <c r="A45" s="1374" t="s">
        <v>172</v>
      </c>
      <c r="B45" s="1374" t="s">
        <v>173</v>
      </c>
      <c r="C45" s="1374" t="s">
        <v>174</v>
      </c>
      <c r="D45" s="1374"/>
      <c r="E45" s="2289"/>
      <c r="F45" s="2289"/>
      <c r="G45" s="2288">
        <v>1</v>
      </c>
      <c r="H45" s="1374"/>
      <c r="I45" s="1374"/>
      <c r="J45" s="1374"/>
      <c r="K45" s="1374"/>
      <c r="L45" s="1375"/>
      <c r="M45" s="1376"/>
      <c r="N45" s="1376"/>
      <c r="O45" s="1376"/>
      <c r="P45" s="365"/>
      <c r="Q45" s="363"/>
      <c r="R45" s="364"/>
      <c r="S45" s="1235"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4">
      <c r="A46" s="1374" t="s">
        <v>172</v>
      </c>
      <c r="B46" s="1374" t="s">
        <v>173</v>
      </c>
      <c r="C46" s="1374" t="s">
        <v>174</v>
      </c>
      <c r="D46" s="1374" t="s">
        <v>175</v>
      </c>
      <c r="E46" s="2289"/>
      <c r="F46" s="2289"/>
      <c r="G46" s="2289"/>
      <c r="H46" s="2288">
        <v>1</v>
      </c>
      <c r="I46" s="1374"/>
      <c r="J46" s="1374"/>
      <c r="K46" s="1374"/>
      <c r="L46" s="1375"/>
      <c r="M46" s="1376"/>
      <c r="N46" s="1376"/>
      <c r="O46" s="1376"/>
      <c r="P46" s="365"/>
      <c r="Q46" s="363"/>
      <c r="R46" s="364"/>
      <c r="S46" s="1235"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23</v>
      </c>
    </row>
    <row customHeight="1" ht="49.5">
      <c r="A47" s="1374" t="s">
        <v>172</v>
      </c>
      <c r="B47" s="1374" t="s">
        <v>173</v>
      </c>
      <c r="C47" s="1374" t="s">
        <v>174</v>
      </c>
      <c r="D47" s="1374" t="s">
        <v>175</v>
      </c>
      <c r="E47" s="2289"/>
      <c r="F47" s="2289"/>
      <c r="G47" s="2289"/>
      <c r="H47" s="2289"/>
      <c r="I47" s="2286" t="str">
        <f>S46&amp;".1"</f>
        <v>....1</v>
      </c>
      <c r="J47" s="1374"/>
      <c r="K47" s="1374"/>
      <c r="L47" s="1375" t="s">
        <v>417</v>
      </c>
      <c r="P47" s="2287">
        <v>1</v>
      </c>
      <c r="Q47" s="1231"/>
      <c r="R47" s="367"/>
      <c r="S47" s="1235" t="str">
        <f>$I47</f>
        <v>....1</v>
      </c>
      <c r="T47" s="296" t="s">
        <v>418</v>
      </c>
      <c r="U47" s="311"/>
      <c r="V47" s="2275"/>
      <c r="W47" s="2276"/>
      <c r="X47" s="2276"/>
      <c r="Y47" s="2276"/>
      <c r="Z47" s="2276"/>
      <c r="AA47" s="2276"/>
      <c r="AB47" s="2276"/>
      <c r="AC47" s="2277"/>
      <c r="AD47" s="2275"/>
      <c r="AE47" s="2276"/>
      <c r="AF47" s="2276"/>
      <c r="AG47" s="2276"/>
      <c r="AH47" s="2276"/>
      <c r="AI47" s="2276"/>
      <c r="AJ47" s="2276"/>
      <c r="AK47" s="2276"/>
      <c r="AL47" s="2277"/>
      <c r="AM47" s="1269" t="s">
        <v>419</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4">
      <c r="A48" s="1374" t="s">
        <v>172</v>
      </c>
      <c r="B48" s="1374" t="s">
        <v>173</v>
      </c>
      <c r="C48" s="1374" t="s">
        <v>174</v>
      </c>
      <c r="D48" s="1374" t="s">
        <v>175</v>
      </c>
      <c r="E48" s="2289"/>
      <c r="F48" s="2289"/>
      <c r="G48" s="2289"/>
      <c r="H48" s="2289"/>
      <c r="I48" s="2316"/>
      <c r="J48" s="2286" t="str">
        <f>I47&amp;".1"</f>
        <v>....1.1</v>
      </c>
      <c r="K48" s="1374"/>
      <c r="L48" s="1375" t="s">
        <v>420</v>
      </c>
      <c r="P48" s="2287"/>
      <c r="Q48" s="2287">
        <v>1</v>
      </c>
      <c r="R48" s="368"/>
      <c r="S48" s="1235" t="str">
        <f>$J48</f>
        <v>....1.1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23</v>
      </c>
    </row>
    <row customHeight="1" ht="24">
      <c r="A49" s="1374" t="s">
        <v>172</v>
      </c>
      <c r="B49" s="1374" t="s">
        <v>173</v>
      </c>
      <c r="C49" s="1374" t="s">
        <v>174</v>
      </c>
      <c r="D49" s="1374" t="s">
        <v>175</v>
      </c>
      <c r="E49" s="2289"/>
      <c r="F49" s="2289"/>
      <c r="G49" s="2289"/>
      <c r="H49" s="2289"/>
      <c r="I49" s="2316"/>
      <c r="J49" s="2316"/>
      <c r="K49" s="2286" t="str">
        <f>J48&amp;".1"</f>
        <v>....1.1.1</v>
      </c>
      <c r="L49" s="1375" t="s">
        <v>423</v>
      </c>
      <c r="P49" s="2287"/>
      <c r="Q49" s="2287"/>
      <c r="R49" s="368">
        <v>1</v>
      </c>
      <c r="S49" s="1235" t="str">
        <f>$K49</f>
        <v>....1.1.1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424</v>
      </c>
      <c r="AN49" s="522">
        <f>STRCHECKDATE(V50:AL50)</f>
      </c>
      <c r="AO49" s="511"/>
      <c r="AP49" s="511" t="str">
        <f>IF(T49="","",T49)</f>
        <v/>
      </c>
      <c r="AQ49" s="511"/>
      <c r="AR49" s="511"/>
      <c r="AS49" s="1166">
        <v>23</v>
      </c>
    </row>
    <row customHeight="1" ht="1.05">
      <c r="A50" s="1374" t="s">
        <v>172</v>
      </c>
      <c r="B50" s="1374" t="s">
        <v>173</v>
      </c>
      <c r="C50" s="1374" t="s">
        <v>174</v>
      </c>
      <c r="D50" s="1374" t="s">
        <v>175</v>
      </c>
      <c r="E50" s="2289"/>
      <c r="F50" s="2289"/>
      <c r="G50" s="2289"/>
      <c r="H50" s="2289"/>
      <c r="I50" s="2316"/>
      <c r="J50" s="2316"/>
      <c r="K50" s="2286"/>
      <c r="L50" s="1375"/>
      <c r="P50" s="2287"/>
      <c r="Q50" s="2287"/>
      <c r="R50" s="368"/>
      <c r="S50" s="1234"/>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1</v>
      </c>
    </row>
    <row customHeight="1" ht="11.549999999999999">
      <c r="A51" s="1374" t="s">
        <v>172</v>
      </c>
      <c r="B51" s="1374" t="s">
        <v>173</v>
      </c>
      <c r="C51" s="1374" t="s">
        <v>174</v>
      </c>
      <c r="D51" s="1374" t="s">
        <v>175</v>
      </c>
      <c r="E51" s="2289"/>
      <c r="F51" s="2289"/>
      <c r="G51" s="2289"/>
      <c r="H51" s="2289"/>
      <c r="I51" s="2316"/>
      <c r="J51" s="2286"/>
      <c r="K51" s="1374"/>
      <c r="L51" s="1375"/>
      <c r="P51" s="2287"/>
      <c r="Q51" s="2287"/>
      <c r="R51" s="367"/>
      <c r="S51" s="1289"/>
      <c r="T51" s="299"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172</v>
      </c>
      <c r="B52" s="1374" t="s">
        <v>173</v>
      </c>
      <c r="C52" s="1374" t="s">
        <v>174</v>
      </c>
      <c r="D52" s="1374" t="s">
        <v>175</v>
      </c>
      <c r="E52" s="2289"/>
      <c r="F52" s="2289"/>
      <c r="G52" s="2289"/>
      <c r="H52" s="2289"/>
      <c r="I52" s="2286"/>
      <c r="J52" s="1374"/>
      <c r="K52" s="1374"/>
      <c r="L52" s="1375"/>
      <c r="P52" s="2287"/>
      <c r="Q52" s="1231"/>
      <c r="R52" s="367"/>
      <c r="S52" s="1289"/>
      <c r="T52" s="298"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172</v>
      </c>
      <c r="B53" s="1374" t="s">
        <v>173</v>
      </c>
      <c r="C53" s="1374" t="s">
        <v>174</v>
      </c>
      <c r="D53" s="1374" t="s">
        <v>175</v>
      </c>
      <c r="E53" s="2289"/>
      <c r="F53" s="2289"/>
      <c r="G53" s="2289"/>
      <c r="H53" s="2288"/>
      <c r="I53" s="1374"/>
      <c r="J53" s="1374"/>
      <c r="K53" s="1374"/>
      <c r="L53" s="1375"/>
      <c r="M53" s="1376"/>
      <c r="N53" s="1376"/>
      <c r="O53" s="548"/>
      <c r="P53" s="371"/>
      <c r="Q53" s="386"/>
      <c r="R53" s="366"/>
      <c r="S53" s="1289"/>
      <c r="T53" s="376" t="s">
        <v>427</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172</v>
      </c>
      <c r="B54" s="1354" t="s">
        <v>173</v>
      </c>
      <c r="C54" s="1354" t="s">
        <v>174</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172</v>
      </c>
      <c r="B55" s="1354" t="s">
        <v>173</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172</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27</v>
      </c>
    </row>
    <row customHeight="1" ht="67.2">
      <c r="O60" s="548"/>
      <c r="P60" s="1314"/>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64</v>
      </c>
    </row>
    <row customHeight="1" ht="14.699999999999998">
      <c r="O61" s="548"/>
      <c r="AS61" s="1166">
        <v>14</v>
      </c>
    </row>
    <row customHeight="1" ht="18.75">
      <c r="O62" s="548"/>
      <c r="P62" s="1339"/>
      <c r="S62" s="1264"/>
      <c r="T62" s="2315"/>
      <c r="U62" s="2315"/>
      <c r="V62" s="2315"/>
      <c r="W62" s="2315"/>
      <c r="X62" s="2315"/>
      <c r="Y62" s="2315"/>
      <c r="Z62" s="2315"/>
      <c r="AA62" s="2315"/>
      <c r="AB62" s="2315"/>
      <c r="AC62" s="2315"/>
      <c r="AD62" s="2315"/>
      <c r="AE62" s="2315"/>
      <c r="AF62" s="2315"/>
      <c r="AG62" s="2315"/>
      <c r="AH62" s="2315"/>
      <c r="AI62" s="2315"/>
      <c r="AJ62" s="2315"/>
      <c r="AK62" s="2315"/>
      <c r="AL62" s="2315"/>
      <c r="AM62" s="2315"/>
      <c r="AS62" s="1166">
        <v>18</v>
      </c>
    </row>
    <row customHeight="1" ht="18.75">
      <c r="O63" s="548"/>
      <c r="P63" s="1339"/>
      <c r="T63" s="2315"/>
      <c r="U63" s="2315"/>
      <c r="V63" s="2315"/>
      <c r="W63" s="2315"/>
      <c r="X63" s="2315"/>
      <c r="Y63" s="2315"/>
      <c r="Z63" s="2315"/>
      <c r="AA63" s="2315"/>
      <c r="AB63" s="2315"/>
      <c r="AC63" s="2315"/>
      <c r="AD63" s="2315"/>
      <c r="AE63" s="2315"/>
      <c r="AF63" s="2315"/>
      <c r="AG63" s="2315"/>
      <c r="AH63" s="2315"/>
      <c r="AI63" s="2315"/>
      <c r="AJ63" s="2315"/>
      <c r="AK63" s="2315"/>
      <c r="AL63" s="2315"/>
      <c r="AM63" s="2315"/>
      <c r="AS63" s="1166">
        <v>18</v>
      </c>
    </row>
    <row customHeight="1" ht="29.25">
      <c r="O64" s="548"/>
      <c r="P64" s="1339"/>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28</v>
      </c>
    </row>
    <row customHeight="1" ht="22.5" hidden="1">
      <c r="A65" s="1171" t="s">
        <v>83</v>
      </c>
      <c r="B65" s="1171">
        <v>0</v>
      </c>
      <c r="C65" s="1171">
        <v>0</v>
      </c>
      <c r="D65" s="1171">
        <v>0</v>
      </c>
      <c r="E65" s="1171">
        <v>0</v>
      </c>
      <c r="F65" s="1171">
        <v>0</v>
      </c>
      <c r="G65" s="1171">
        <v>0</v>
      </c>
      <c r="H65" s="1171">
        <v>0</v>
      </c>
      <c r="I65" s="1171">
        <v>0</v>
      </c>
      <c r="J65" s="1171">
        <v>0</v>
      </c>
      <c r="K65" s="1171">
        <v>0</v>
      </c>
      <c r="L65" s="1340">
        <v>0</v>
      </c>
      <c r="M65" s="1373">
        <v>0</v>
      </c>
      <c r="N65" s="1373">
        <v>0</v>
      </c>
      <c r="O65" s="1373">
        <v>0</v>
      </c>
      <c r="P65" s="1229">
        <v>3</v>
      </c>
      <c r="Q65" s="355">
        <v>3</v>
      </c>
      <c r="R65" s="355">
        <v>3</v>
      </c>
      <c r="S65" s="592">
        <v>12</v>
      </c>
      <c r="T65" s="1166">
        <v>35</v>
      </c>
      <c r="U65" s="1166">
        <v>0</v>
      </c>
      <c r="V65" s="1166">
        <v>0</v>
      </c>
      <c r="W65" s="1166">
        <v>0</v>
      </c>
      <c r="X65" s="1166">
        <v>0</v>
      </c>
      <c r="Y65" s="1166">
        <v>0</v>
      </c>
      <c r="Z65" s="1166">
        <v>0</v>
      </c>
      <c r="AA65" s="1166">
        <v>0</v>
      </c>
      <c r="AB65" s="1166">
        <v>0</v>
      </c>
      <c r="AC65" s="1166">
        <v>0</v>
      </c>
      <c r="AD65" s="1166">
        <v>24</v>
      </c>
      <c r="AE65" s="1166">
        <v>0</v>
      </c>
      <c r="AF65" s="1166">
        <v>24</v>
      </c>
      <c r="AG65" s="1166">
        <v>24</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F6166-A6B5-DF86-7704-2508CD25C60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47">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43"/>
      <c r="Q3" s="363"/>
      <c r="R3" s="364"/>
      <c r="S3" s="1347">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1347">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364"/>
      <c r="S5" s="1347">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511"/>
      <c r="AP5" s="511" t="str">
        <f>IF(T5="","",T5)</f>
        <v>Источник тепловой энергии  </v>
      </c>
      <c r="AQ5" s="511"/>
      <c r="AR5" s="511"/>
      <c r="AS5" s="1166">
        <v>0</v>
      </c>
    </row>
    <row customHeight="1" ht="47.25" hidden="1">
      <c r="A6" s="1374"/>
      <c r="B6" s="1374"/>
      <c r="C6" s="1374"/>
      <c r="D6" s="1374"/>
      <c r="E6" s="2289"/>
      <c r="F6" s="2289"/>
      <c r="G6" s="2289"/>
      <c r="H6" s="2289"/>
      <c r="I6" s="2286">
        <f>S5&amp;".1"</f>
      </c>
      <c r="J6" s="1374"/>
      <c r="K6" s="1374"/>
      <c r="L6" s="1375" t="s">
        <v>417</v>
      </c>
      <c r="M6" s="548"/>
      <c r="P6" s="2287">
        <v>1</v>
      </c>
      <c r="Q6" s="1342"/>
      <c r="R6" s="367"/>
      <c r="S6" s="1347">
        <f>$I6</f>
      </c>
      <c r="T6" s="296" t="s">
        <v>418</v>
      </c>
      <c r="U6" s="311"/>
      <c r="V6" s="2275"/>
      <c r="W6" s="2276"/>
      <c r="X6" s="2276"/>
      <c r="Y6" s="2276"/>
      <c r="Z6" s="2276"/>
      <c r="AA6" s="2276"/>
      <c r="AB6" s="2276"/>
      <c r="AC6" s="2277"/>
      <c r="AD6" s="2275"/>
      <c r="AE6" s="2276"/>
      <c r="AF6" s="2276"/>
      <c r="AG6" s="2276"/>
      <c r="AH6" s="2276"/>
      <c r="AI6" s="2276"/>
      <c r="AJ6" s="2276"/>
      <c r="AK6" s="2276"/>
      <c r="AL6" s="2277"/>
      <c r="AM6" s="1269" t="s">
        <v>419</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89"/>
      <c r="F7" s="2289"/>
      <c r="G7" s="2289"/>
      <c r="H7" s="2289"/>
      <c r="I7" s="2316"/>
      <c r="J7" s="2286">
        <f>I6&amp;".1"</f>
      </c>
      <c r="K7" s="1374"/>
      <c r="L7" s="1375" t="s">
        <v>420</v>
      </c>
      <c r="M7" s="548"/>
      <c r="N7" s="1377"/>
      <c r="P7" s="2287"/>
      <c r="Q7" s="2287">
        <v>1</v>
      </c>
      <c r="R7" s="368"/>
      <c r="S7" s="1347">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511"/>
      <c r="AP7" s="511" t="str">
        <f>IF(T7="","",T7)</f>
        <v>Группа потребителей</v>
      </c>
      <c r="AQ7" s="511"/>
      <c r="AR7" s="511"/>
      <c r="AS7" s="1166">
        <v>0</v>
      </c>
    </row>
    <row customHeight="1" ht="21" hidden="1">
      <c r="A8" s="1374"/>
      <c r="B8" s="1374"/>
      <c r="C8" s="1374"/>
      <c r="D8" s="1374"/>
      <c r="E8" s="2289"/>
      <c r="F8" s="2289"/>
      <c r="G8" s="2289"/>
      <c r="H8" s="2289"/>
      <c r="I8" s="2316"/>
      <c r="J8" s="2316"/>
      <c r="K8" s="2286">
        <f>J7&amp;".1"</f>
      </c>
      <c r="L8" s="1375" t="s">
        <v>423</v>
      </c>
      <c r="M8" s="548"/>
      <c r="N8" s="1377"/>
      <c r="O8" s="1377"/>
      <c r="P8" s="2287"/>
      <c r="Q8" s="2287"/>
      <c r="R8" s="368">
        <v>1</v>
      </c>
      <c r="S8" s="1347">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522">
        <f>STRCHECKDATE(V9:AL9)</f>
      </c>
      <c r="AO8" s="511"/>
      <c r="AP8" s="511" t="str">
        <f>IF(T8="","",T8)</f>
        <v/>
      </c>
      <c r="AQ8" s="511"/>
      <c r="AR8" s="511"/>
      <c r="AS8" s="1166">
        <v>0</v>
      </c>
    </row>
    <row customHeight="1" ht="0.75" hidden="1">
      <c r="A9" s="1374"/>
      <c r="B9" s="1374"/>
      <c r="C9" s="1374"/>
      <c r="D9" s="1374"/>
      <c r="E9" s="2289"/>
      <c r="F9" s="2289"/>
      <c r="G9" s="2289"/>
      <c r="H9" s="2289"/>
      <c r="I9" s="2316"/>
      <c r="J9" s="2316"/>
      <c r="K9" s="2286"/>
      <c r="L9" s="1375"/>
      <c r="M9" s="548"/>
      <c r="N9" s="1377"/>
      <c r="O9" s="1377"/>
      <c r="P9" s="2287"/>
      <c r="Q9" s="2287"/>
      <c r="R9" s="368"/>
      <c r="S9" s="1353"/>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5" hidden="1">
      <c r="A10" s="1374"/>
      <c r="B10" s="1374"/>
      <c r="C10" s="1374"/>
      <c r="D10" s="1374"/>
      <c r="E10" s="2289"/>
      <c r="F10" s="2289"/>
      <c r="G10" s="2289"/>
      <c r="H10" s="2289"/>
      <c r="I10" s="2316"/>
      <c r="J10" s="2286"/>
      <c r="K10" s="1374"/>
      <c r="L10" s="1375"/>
      <c r="M10" s="548"/>
      <c r="N10" s="1377"/>
      <c r="P10" s="2287"/>
      <c r="Q10" s="2287"/>
      <c r="R10" s="367"/>
      <c r="S10" s="1289"/>
      <c r="T10" s="299"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89"/>
      <c r="F11" s="2289"/>
      <c r="G11" s="2289"/>
      <c r="H11" s="2289"/>
      <c r="I11" s="2286"/>
      <c r="J11" s="1374"/>
      <c r="K11" s="1374"/>
      <c r="L11" s="1375"/>
      <c r="M11" s="548"/>
      <c r="P11" s="2287"/>
      <c r="Q11" s="1342"/>
      <c r="R11" s="367"/>
      <c r="S11" s="1289"/>
      <c r="T11" s="298"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89"/>
      <c r="F12" s="2289"/>
      <c r="G12" s="2289"/>
      <c r="H12" s="2288"/>
      <c r="I12" s="1374"/>
      <c r="J12" s="1374"/>
      <c r="K12" s="1374"/>
      <c r="L12" s="1375"/>
      <c r="M12" s="1376"/>
      <c r="N12" s="1376"/>
      <c r="O12" s="548"/>
      <c r="P12" s="371"/>
      <c r="Q12" s="386"/>
      <c r="R12" s="366"/>
      <c r="S12" s="1289"/>
      <c r="T12" s="376" t="s">
        <v>427</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97"/>
      <c r="AI17" s="2298" t="s">
        <v>63</v>
      </c>
      <c r="AJ17" s="2297"/>
      <c r="AK17" s="2298" t="s">
        <v>63</v>
      </c>
      <c r="AS17" s="1166">
        <v>0</v>
      </c>
    </row>
    <row customHeight="1" ht="14.25" hidden="1">
      <c r="AD18" s="1371"/>
      <c r="AE18" s="1371"/>
      <c r="AF18" s="1371"/>
      <c r="AG18" s="339" t="str">
        <f>AH17&amp;"-"&amp;AJ17</f>
        <v>-</v>
      </c>
      <c r="AH18" s="2298"/>
      <c r="AI18" s="2298"/>
      <c r="AJ18" s="2298"/>
      <c r="AK18" s="2298"/>
      <c r="AS18" s="1166">
        <v>0</v>
      </c>
    </row>
    <row customHeight="1" ht="14.25" hidden="1">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14.699999999999998">
      <c r="Q26" s="387"/>
      <c r="R26" s="387"/>
      <c r="S26" s="227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8"/>
      <c r="U26" s="2278"/>
      <c r="V26" s="2278"/>
      <c r="W26" s="2278"/>
      <c r="X26" s="2278"/>
      <c r="Y26" s="2278"/>
      <c r="Z26" s="2278"/>
      <c r="AA26" s="2278"/>
      <c r="AB26" s="2278"/>
      <c r="AC26" s="2278"/>
      <c r="AD26" s="2278"/>
      <c r="AE26" s="2278"/>
      <c r="AF26" s="2278"/>
      <c r="AG26" s="2278"/>
      <c r="AH26" s="2278"/>
      <c r="AI26" s="2278"/>
      <c r="AJ26" s="2278"/>
      <c r="AK26" s="1254"/>
      <c r="AS26" s="1166">
        <v>14</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18.7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166">
        <v>14</v>
      </c>
    </row>
    <row customHeight="1" ht="35.699999999999996">
      <c r="Q40" s="387"/>
      <c r="R40" s="387"/>
      <c r="S40" s="2303"/>
      <c r="T40" s="2239"/>
      <c r="U40" s="1042"/>
      <c r="V40" s="2290" t="s">
        <v>443</v>
      </c>
      <c r="W40" s="2313" t="s">
        <v>444</v>
      </c>
      <c r="X40" s="2292" t="s">
        <v>445</v>
      </c>
      <c r="Y40" s="2293"/>
      <c r="Z40" s="2292" t="s">
        <v>459</v>
      </c>
      <c r="AA40" s="2299"/>
      <c r="AB40" s="2293"/>
      <c r="AC40" s="2308"/>
      <c r="AD40" s="2290" t="s">
        <v>443</v>
      </c>
      <c r="AE40" s="2313" t="s">
        <v>444</v>
      </c>
      <c r="AF40" s="2292" t="s">
        <v>445</v>
      </c>
      <c r="AG40" s="2293"/>
      <c r="AH40" s="2292" t="s">
        <v>446</v>
      </c>
      <c r="AI40" s="2299"/>
      <c r="AJ40" s="2293"/>
      <c r="AK40" s="2308"/>
      <c r="AL40" s="2311"/>
      <c r="AM40" s="2157"/>
      <c r="AS40" s="1166">
        <v>34</v>
      </c>
    </row>
    <row customHeight="1" ht="35.699999999999996">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Q41" s="387"/>
      <c r="R41" s="387"/>
      <c r="S41" s="2303"/>
      <c r="T41" s="2239"/>
      <c r="U41" s="313"/>
      <c r="V41" s="2291"/>
      <c r="W41" s="2314"/>
      <c r="X41" s="1233" t="s">
        <v>454</v>
      </c>
      <c r="Y41" s="1233" t="s">
        <v>455</v>
      </c>
      <c r="Z41" s="1349" t="s">
        <v>456</v>
      </c>
      <c r="AA41" s="2300" t="s">
        <v>457</v>
      </c>
      <c r="AB41" s="2301"/>
      <c r="AC41" s="2309"/>
      <c r="AD41" s="2291"/>
      <c r="AE41" s="2314"/>
      <c r="AF41" s="1233" t="s">
        <v>454</v>
      </c>
      <c r="AG41" s="1233" t="s">
        <v>455</v>
      </c>
      <c r="AH41" s="1349" t="s">
        <v>456</v>
      </c>
      <c r="AI41" s="2300" t="s">
        <v>457</v>
      </c>
      <c r="AJ41" s="2301"/>
      <c r="AK41" s="2309"/>
      <c r="AL41" s="2312"/>
      <c r="AM41" s="2157"/>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346">
        <f>OFFSET(V42,0,-1)+1</f>
        <v>3</v>
      </c>
      <c r="W42" s="1346"/>
      <c r="X42" s="1346">
        <f>OFFSET(X42,0,-1)+1</f>
        <v>1</v>
      </c>
      <c r="Y42" s="1346">
        <f>OFFSET(Y42,0,-1)+1</f>
        <v>2</v>
      </c>
      <c r="Z42" s="1346">
        <f>OFFSET(Z42,0,-1)+1</f>
        <v>3</v>
      </c>
      <c r="AA42" s="2302">
        <f>OFFSET(AA42,0,-1)+1</f>
        <v>4</v>
      </c>
      <c r="AB42" s="2302"/>
      <c r="AC42" s="1346">
        <f>OFFSET(AC42,0,-2)+1</f>
        <v>5</v>
      </c>
      <c r="AD42" s="1346">
        <f>OFFSET(AD42,0,-1)+1</f>
        <v>6</v>
      </c>
      <c r="AE42" s="1346"/>
      <c r="AF42" s="1346">
        <f>OFFSET(AF42,0,-1)+1</f>
        <v>1</v>
      </c>
      <c r="AG42" s="1346">
        <f>OFFSET(AG42,0,-1)+1</f>
        <v>2</v>
      </c>
      <c r="AH42" s="1346">
        <f>OFFSET(AH42,0,-1)+1</f>
        <v>3</v>
      </c>
      <c r="AI42" s="2302">
        <f>OFFSET(AI42,0,-1)+1</f>
        <v>4</v>
      </c>
      <c r="AJ42" s="2302"/>
      <c r="AK42" s="1346">
        <f>OFFSET(AK42,0,-2)+1</f>
        <v>5</v>
      </c>
      <c r="AL42" s="1256">
        <f>OFFSET(AL42,0,-1)</f>
        <v>5</v>
      </c>
      <c r="AM42" s="1346">
        <f>OFFSET(AM42,0,-1)+1</f>
        <v>6</v>
      </c>
      <c r="AN42" s="522"/>
      <c r="AO42" s="522"/>
      <c r="AP42" s="522"/>
      <c r="AQ42" s="522"/>
      <c r="AR42" s="522"/>
      <c r="AS42" s="507">
        <v>0</v>
      </c>
    </row>
    <row customHeight="1" ht="22.049999999999997">
      <c r="A43" s="1374" t="s">
        <v>177</v>
      </c>
      <c r="B43" s="1374"/>
      <c r="C43" s="1374"/>
      <c r="D43" s="1374"/>
      <c r="E43" s="2288">
        <v>1</v>
      </c>
      <c r="F43" s="1374"/>
      <c r="G43" s="1374"/>
      <c r="H43" s="1374"/>
      <c r="I43" s="1374"/>
      <c r="J43" s="1374"/>
      <c r="K43" s="1374"/>
      <c r="L43" s="1375"/>
      <c r="M43" s="1376"/>
      <c r="N43" s="1376"/>
      <c r="O43" s="1376"/>
      <c r="P43" s="372"/>
      <c r="Q43" s="371"/>
      <c r="R43" s="366"/>
      <c r="S43" s="1347">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177</v>
      </c>
      <c r="B44" s="1374" t="s">
        <v>178</v>
      </c>
      <c r="C44" s="1374"/>
      <c r="D44" s="1374"/>
      <c r="E44" s="2289"/>
      <c r="F44" s="2288">
        <v>1</v>
      </c>
      <c r="G44" s="1374"/>
      <c r="H44" s="1374"/>
      <c r="I44" s="1374"/>
      <c r="J44" s="1374"/>
      <c r="K44" s="1374"/>
      <c r="L44" s="1375"/>
      <c r="M44" s="1376"/>
      <c r="N44" s="1376"/>
      <c r="O44" s="1376"/>
      <c r="P44" s="1343"/>
      <c r="Q44" s="363"/>
      <c r="R44" s="364"/>
      <c r="S44" s="1347"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21</v>
      </c>
    </row>
    <row customHeight="1" ht="24">
      <c r="A45" s="1374" t="s">
        <v>177</v>
      </c>
      <c r="B45" s="1374" t="s">
        <v>178</v>
      </c>
      <c r="C45" s="1374" t="s">
        <v>179</v>
      </c>
      <c r="D45" s="1374"/>
      <c r="E45" s="2289"/>
      <c r="F45" s="2289"/>
      <c r="G45" s="2288">
        <v>1</v>
      </c>
      <c r="H45" s="1374"/>
      <c r="I45" s="1374"/>
      <c r="J45" s="1374"/>
      <c r="K45" s="1374"/>
      <c r="L45" s="1375"/>
      <c r="M45" s="1376"/>
      <c r="N45" s="1376"/>
      <c r="O45" s="1376"/>
      <c r="P45" s="365"/>
      <c r="Q45" s="363"/>
      <c r="R45" s="364"/>
      <c r="S45" s="1347"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2.049999999999997">
      <c r="A46" s="1374" t="s">
        <v>177</v>
      </c>
      <c r="B46" s="1374" t="s">
        <v>178</v>
      </c>
      <c r="C46" s="1374" t="s">
        <v>179</v>
      </c>
      <c r="D46" s="1374" t="s">
        <v>180</v>
      </c>
      <c r="E46" s="2289"/>
      <c r="F46" s="2289"/>
      <c r="G46" s="2289"/>
      <c r="H46" s="2288">
        <v>1</v>
      </c>
      <c r="I46" s="1374"/>
      <c r="J46" s="1374"/>
      <c r="K46" s="1374"/>
      <c r="L46" s="1375"/>
      <c r="M46" s="1376"/>
      <c r="N46" s="1376"/>
      <c r="O46" s="1376"/>
      <c r="P46" s="365"/>
      <c r="Q46" s="363"/>
      <c r="R46" s="364"/>
      <c r="S46" s="1347"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21</v>
      </c>
    </row>
    <row customHeight="1" ht="49.5">
      <c r="A47" s="1374" t="s">
        <v>177</v>
      </c>
      <c r="B47" s="1374" t="s">
        <v>178</v>
      </c>
      <c r="C47" s="1374" t="s">
        <v>179</v>
      </c>
      <c r="D47" s="1374" t="s">
        <v>180</v>
      </c>
      <c r="E47" s="2289"/>
      <c r="F47" s="2289"/>
      <c r="G47" s="2289"/>
      <c r="H47" s="2289"/>
      <c r="I47" s="2286" t="str">
        <f>S46&amp;".1"</f>
        <v>....1</v>
      </c>
      <c r="J47" s="1374"/>
      <c r="K47" s="1374"/>
      <c r="L47" s="1375" t="s">
        <v>417</v>
      </c>
      <c r="P47" s="2287">
        <v>1</v>
      </c>
      <c r="Q47" s="1342"/>
      <c r="R47" s="367"/>
      <c r="S47" s="1347" t="str">
        <f>$I47</f>
        <v>....1</v>
      </c>
      <c r="T47" s="296" t="s">
        <v>418</v>
      </c>
      <c r="U47" s="311"/>
      <c r="V47" s="2275"/>
      <c r="W47" s="2276"/>
      <c r="X47" s="2276"/>
      <c r="Y47" s="2276"/>
      <c r="Z47" s="2276"/>
      <c r="AA47" s="2276"/>
      <c r="AB47" s="2276"/>
      <c r="AC47" s="2277"/>
      <c r="AD47" s="2275"/>
      <c r="AE47" s="2276"/>
      <c r="AF47" s="2276"/>
      <c r="AG47" s="2276"/>
      <c r="AH47" s="2276"/>
      <c r="AI47" s="2276"/>
      <c r="AJ47" s="2276"/>
      <c r="AK47" s="2276"/>
      <c r="AL47" s="2277"/>
      <c r="AM47" s="1269" t="s">
        <v>419</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2.049999999999997">
      <c r="A48" s="1374" t="s">
        <v>177</v>
      </c>
      <c r="B48" s="1374" t="s">
        <v>178</v>
      </c>
      <c r="C48" s="1374" t="s">
        <v>179</v>
      </c>
      <c r="D48" s="1374" t="s">
        <v>180</v>
      </c>
      <c r="E48" s="2289"/>
      <c r="F48" s="2289"/>
      <c r="G48" s="2289"/>
      <c r="H48" s="2289"/>
      <c r="I48" s="2316"/>
      <c r="J48" s="2286" t="str">
        <f>I47&amp;".1"</f>
        <v>....1.1</v>
      </c>
      <c r="K48" s="1374"/>
      <c r="L48" s="1375" t="s">
        <v>420</v>
      </c>
      <c r="P48" s="2287"/>
      <c r="Q48" s="2287">
        <v>1</v>
      </c>
      <c r="R48" s="368"/>
      <c r="S48" s="1347" t="str">
        <f>$J48</f>
        <v>....1.1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21</v>
      </c>
    </row>
    <row customHeight="1" ht="22.049999999999997">
      <c r="A49" s="1374" t="s">
        <v>177</v>
      </c>
      <c r="B49" s="1374" t="s">
        <v>178</v>
      </c>
      <c r="C49" s="1374" t="s">
        <v>179</v>
      </c>
      <c r="D49" s="1374" t="s">
        <v>180</v>
      </c>
      <c r="E49" s="2289"/>
      <c r="F49" s="2289"/>
      <c r="G49" s="2289"/>
      <c r="H49" s="2289"/>
      <c r="I49" s="2316"/>
      <c r="J49" s="2316"/>
      <c r="K49" s="2286" t="str">
        <f>J48&amp;".1"</f>
        <v>....1.1.1</v>
      </c>
      <c r="L49" s="1375" t="s">
        <v>423</v>
      </c>
      <c r="P49" s="2287"/>
      <c r="Q49" s="2287"/>
      <c r="R49" s="368">
        <v>1</v>
      </c>
      <c r="S49" s="1347" t="str">
        <f>$K49</f>
        <v>....1.1.1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424</v>
      </c>
      <c r="AN49" s="522">
        <f>STRCHECKDATE(V50:AL50)</f>
      </c>
      <c r="AO49" s="511"/>
      <c r="AP49" s="511" t="str">
        <f>IF(T49="","",T49)</f>
        <v/>
      </c>
      <c r="AQ49" s="511"/>
      <c r="AR49" s="511"/>
      <c r="AS49" s="1166">
        <v>21</v>
      </c>
    </row>
    <row customHeight="1" ht="1.05">
      <c r="A50" s="1374" t="s">
        <v>177</v>
      </c>
      <c r="B50" s="1374" t="s">
        <v>178</v>
      </c>
      <c r="C50" s="1374" t="s">
        <v>179</v>
      </c>
      <c r="D50" s="1374" t="s">
        <v>180</v>
      </c>
      <c r="E50" s="2289"/>
      <c r="F50" s="2289"/>
      <c r="G50" s="2289"/>
      <c r="H50" s="2289"/>
      <c r="I50" s="2316"/>
      <c r="J50" s="2316"/>
      <c r="K50" s="2286"/>
      <c r="L50" s="1375"/>
      <c r="P50" s="2287"/>
      <c r="Q50" s="2287"/>
      <c r="R50" s="368"/>
      <c r="S50" s="1353"/>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1</v>
      </c>
    </row>
    <row customHeight="1" ht="11.549999999999999">
      <c r="A51" s="1374" t="s">
        <v>177</v>
      </c>
      <c r="B51" s="1374" t="s">
        <v>178</v>
      </c>
      <c r="C51" s="1374" t="s">
        <v>179</v>
      </c>
      <c r="D51" s="1374" t="s">
        <v>180</v>
      </c>
      <c r="E51" s="2289"/>
      <c r="F51" s="2289"/>
      <c r="G51" s="2289"/>
      <c r="H51" s="2289"/>
      <c r="I51" s="2316"/>
      <c r="J51" s="2286"/>
      <c r="K51" s="1374"/>
      <c r="L51" s="1375"/>
      <c r="P51" s="2287"/>
      <c r="Q51" s="2287"/>
      <c r="R51" s="367"/>
      <c r="S51" s="1289"/>
      <c r="T51" s="299"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177</v>
      </c>
      <c r="B52" s="1374" t="s">
        <v>178</v>
      </c>
      <c r="C52" s="1374" t="s">
        <v>179</v>
      </c>
      <c r="D52" s="1374" t="s">
        <v>180</v>
      </c>
      <c r="E52" s="2289"/>
      <c r="F52" s="2289"/>
      <c r="G52" s="2289"/>
      <c r="H52" s="2289"/>
      <c r="I52" s="2286"/>
      <c r="J52" s="1374"/>
      <c r="K52" s="1374"/>
      <c r="L52" s="1375"/>
      <c r="P52" s="2287"/>
      <c r="Q52" s="1342"/>
      <c r="R52" s="367"/>
      <c r="S52" s="1289"/>
      <c r="T52" s="298"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177</v>
      </c>
      <c r="B53" s="1374" t="s">
        <v>178</v>
      </c>
      <c r="C53" s="1374" t="s">
        <v>179</v>
      </c>
      <c r="D53" s="1374" t="s">
        <v>180</v>
      </c>
      <c r="E53" s="2289"/>
      <c r="F53" s="2289"/>
      <c r="G53" s="2289"/>
      <c r="H53" s="2288"/>
      <c r="I53" s="1374"/>
      <c r="J53" s="1374"/>
      <c r="K53" s="1374"/>
      <c r="L53" s="1375"/>
      <c r="M53" s="1376"/>
      <c r="N53" s="1376"/>
      <c r="O53" s="548"/>
      <c r="P53" s="371"/>
      <c r="Q53" s="386"/>
      <c r="R53" s="366"/>
      <c r="S53" s="1289"/>
      <c r="T53" s="376" t="s">
        <v>427</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177</v>
      </c>
      <c r="B54" s="1354" t="s">
        <v>178</v>
      </c>
      <c r="C54" s="1354" t="s">
        <v>179</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177</v>
      </c>
      <c r="B55" s="1354" t="s">
        <v>178</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177</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27</v>
      </c>
    </row>
    <row customHeight="1" ht="65.25">
      <c r="O60" s="548"/>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62</v>
      </c>
    </row>
    <row customHeight="1" ht="14.699999999999998">
      <c r="O61" s="548"/>
      <c r="AS61" s="1166">
        <v>14</v>
      </c>
    </row>
    <row customHeight="1" ht="18.75">
      <c r="O62" s="548"/>
      <c r="S62" s="1264"/>
      <c r="T62" s="2315"/>
      <c r="U62" s="2315"/>
      <c r="V62" s="2315"/>
      <c r="W62" s="2315"/>
      <c r="X62" s="2315"/>
      <c r="Y62" s="2315"/>
      <c r="Z62" s="2315"/>
      <c r="AA62" s="2315"/>
      <c r="AB62" s="2315"/>
      <c r="AC62" s="2315"/>
      <c r="AD62" s="2315"/>
      <c r="AE62" s="2315"/>
      <c r="AF62" s="2315"/>
      <c r="AG62" s="2315"/>
      <c r="AH62" s="2315"/>
      <c r="AI62" s="2315"/>
      <c r="AJ62" s="2315"/>
      <c r="AK62" s="2315"/>
      <c r="AL62" s="2315"/>
      <c r="AM62" s="2315"/>
      <c r="AS62" s="1166">
        <v>18</v>
      </c>
    </row>
    <row customHeight="1" ht="18.75">
      <c r="O63" s="548"/>
      <c r="T63" s="2315"/>
      <c r="U63" s="2315"/>
      <c r="V63" s="2315"/>
      <c r="W63" s="2315"/>
      <c r="X63" s="2315"/>
      <c r="Y63" s="2315"/>
      <c r="Z63" s="2315"/>
      <c r="AA63" s="2315"/>
      <c r="AB63" s="2315"/>
      <c r="AC63" s="2315"/>
      <c r="AD63" s="2315"/>
      <c r="AE63" s="2315"/>
      <c r="AF63" s="2315"/>
      <c r="AG63" s="2315"/>
      <c r="AH63" s="2315"/>
      <c r="AI63" s="2315"/>
      <c r="AJ63" s="2315"/>
      <c r="AK63" s="2315"/>
      <c r="AL63" s="2315"/>
      <c r="AM63" s="2315"/>
      <c r="AS63" s="1166">
        <v>18</v>
      </c>
    </row>
    <row customHeight="1" ht="29.25">
      <c r="O64" s="548"/>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28</v>
      </c>
    </row>
    <row customHeight="1" ht="22.5" hidden="1">
      <c r="A65" s="1171" t="s">
        <v>83</v>
      </c>
      <c r="B65" s="1171">
        <v>0</v>
      </c>
      <c r="C65" s="1171">
        <v>0</v>
      </c>
      <c r="D65" s="1171">
        <v>0</v>
      </c>
      <c r="E65" s="1171">
        <v>0</v>
      </c>
      <c r="F65" s="1171">
        <v>0</v>
      </c>
      <c r="G65" s="1171">
        <v>0</v>
      </c>
      <c r="H65" s="1171">
        <v>0</v>
      </c>
      <c r="I65" s="1171">
        <v>0</v>
      </c>
      <c r="J65" s="1171">
        <v>0</v>
      </c>
      <c r="K65" s="1171">
        <v>0</v>
      </c>
      <c r="L65" s="1340">
        <v>0</v>
      </c>
      <c r="M65" s="1373">
        <v>0</v>
      </c>
      <c r="N65" s="1373">
        <v>0</v>
      </c>
      <c r="O65" s="1373">
        <v>0</v>
      </c>
      <c r="P65" s="1339">
        <v>3</v>
      </c>
      <c r="Q65" s="355">
        <v>3</v>
      </c>
      <c r="R65" s="355">
        <v>3</v>
      </c>
      <c r="S65" s="592">
        <v>12</v>
      </c>
      <c r="T65" s="1166">
        <v>31</v>
      </c>
      <c r="U65" s="1166">
        <v>0</v>
      </c>
      <c r="V65" s="1166">
        <v>0</v>
      </c>
      <c r="W65" s="1166">
        <v>0</v>
      </c>
      <c r="X65" s="1166">
        <v>0</v>
      </c>
      <c r="Y65" s="1166">
        <v>0</v>
      </c>
      <c r="Z65" s="1166">
        <v>0</v>
      </c>
      <c r="AA65" s="1166">
        <v>0</v>
      </c>
      <c r="AB65" s="1166">
        <v>0</v>
      </c>
      <c r="AC65" s="1166">
        <v>0</v>
      </c>
      <c r="AD65" s="1166">
        <v>24</v>
      </c>
      <c r="AE65" s="1166">
        <v>0</v>
      </c>
      <c r="AF65" s="1166">
        <v>24</v>
      </c>
      <c r="AG65" s="1166">
        <v>24</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631458-C84C-D6D8-9DD8-A68A0856EBC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1" style="1646" width="11.421875" hidden="1" customWidth="1"/>
    <col min="12" max="12" style="2155" width="19.140625" hidden="1" customWidth="1"/>
    <col min="13" max="14" style="2427" width="12.28125" hidden="1" customWidth="1"/>
    <col min="15" max="15" style="2427" width="23.421875" hidden="1" customWidth="1"/>
    <col min="16" max="16" style="2427" width="3.00390625"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S1" s="1642" t="s">
        <v>14</v>
      </c>
    </row>
    <row customHeight="1" ht="21" hidden="1">
      <c r="A2" s="1278"/>
      <c r="B2" s="1278"/>
      <c r="C2" s="1278"/>
      <c r="D2" s="1278"/>
      <c r="E2" s="2319">
        <v>1</v>
      </c>
      <c r="F2" s="1278"/>
      <c r="G2" s="1278"/>
      <c r="H2" s="1278"/>
      <c r="I2" s="1278"/>
      <c r="J2" s="1278"/>
      <c r="K2" s="1278"/>
      <c r="L2" s="1321"/>
      <c r="M2" s="1621"/>
      <c r="N2" s="1621"/>
      <c r="O2" s="1621"/>
      <c r="P2" s="1601"/>
      <c r="Q2" s="371"/>
      <c r="R2" s="366"/>
      <c r="S2" s="1966">
        <f>INDEX(PT_DIFFERENTIATION_NUM_NTAR,MATCH(A2,PT_DIFFERENTIATION_NTAR_ID,0))</f>
      </c>
      <c r="T2" s="1536"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1635"/>
      <c r="AP2" s="1635" t="str">
        <f>IF(T2="","",T2)</f>
        <v>Наименование тарифа</v>
      </c>
      <c r="AQ2" s="1635"/>
      <c r="AR2" s="1635"/>
      <c r="AS2" s="1642">
        <v>0</v>
      </c>
    </row>
    <row customHeight="1" ht="21" hidden="1">
      <c r="A3" s="1278"/>
      <c r="B3" s="1278"/>
      <c r="C3" s="1278"/>
      <c r="D3" s="1278"/>
      <c r="E3" s="2320"/>
      <c r="F3" s="2319">
        <v>1</v>
      </c>
      <c r="G3" s="1278"/>
      <c r="H3" s="1278"/>
      <c r="I3" s="1278"/>
      <c r="J3" s="1278"/>
      <c r="K3" s="1278"/>
      <c r="L3" s="1321"/>
      <c r="M3" s="1621"/>
      <c r="N3" s="1621"/>
      <c r="O3" s="1621"/>
      <c r="P3" s="1948"/>
      <c r="Q3" s="363"/>
      <c r="R3" s="364"/>
      <c r="S3" s="1966">
        <f>INDEX(PT_DIFFERENTIATION_NUM_TER,MATCH(B3,PT_DIFFERENTIATION_TER_ID,0))</f>
      </c>
      <c r="T3" s="1533"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1635"/>
      <c r="AP3" s="1635" t="str">
        <f>IF(T3="","",T3)</f>
        <v>Территория действия тарифа</v>
      </c>
      <c r="AQ3" s="1635"/>
      <c r="AR3" s="1635"/>
      <c r="AS3" s="1642">
        <v>0</v>
      </c>
    </row>
    <row customHeight="1" ht="23.25" hidden="1">
      <c r="A4" s="1278"/>
      <c r="B4" s="1278"/>
      <c r="C4" s="1278"/>
      <c r="D4" s="1278"/>
      <c r="E4" s="2320"/>
      <c r="F4" s="2320"/>
      <c r="G4" s="2319">
        <v>1</v>
      </c>
      <c r="H4" s="1278"/>
      <c r="I4" s="1278"/>
      <c r="J4" s="1278"/>
      <c r="K4" s="1278"/>
      <c r="L4" s="1321"/>
      <c r="M4" s="1621"/>
      <c r="N4" s="1621"/>
      <c r="O4" s="1621"/>
      <c r="P4" s="365"/>
      <c r="Q4" s="363"/>
      <c r="R4" s="364"/>
      <c r="S4" s="1966">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1635"/>
      <c r="AP4" s="1635" t="str">
        <f>IF(T4="","",T4)</f>
        <v>Наименование системы теплоснабжения </v>
      </c>
      <c r="AQ4" s="1635"/>
      <c r="AR4" s="1635"/>
      <c r="AS4" s="1642">
        <v>0</v>
      </c>
    </row>
    <row customHeight="1" ht="21" hidden="1">
      <c r="A5" s="1278"/>
      <c r="B5" s="1278"/>
      <c r="C5" s="1278"/>
      <c r="D5" s="1278"/>
      <c r="E5" s="2320"/>
      <c r="F5" s="2320"/>
      <c r="G5" s="2320"/>
      <c r="H5" s="2319">
        <v>1</v>
      </c>
      <c r="I5" s="1278"/>
      <c r="J5" s="1278"/>
      <c r="K5" s="1278"/>
      <c r="L5" s="1321"/>
      <c r="M5" s="1621"/>
      <c r="N5" s="1621"/>
      <c r="O5" s="1621"/>
      <c r="P5" s="365"/>
      <c r="Q5" s="363"/>
      <c r="R5" s="364"/>
      <c r="S5" s="1966">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1635"/>
      <c r="AP5" s="1635" t="str">
        <f>IF(T5="","",T5)</f>
        <v>Источник тепловой энергии  </v>
      </c>
      <c r="AQ5" s="1635"/>
      <c r="AR5" s="1635"/>
      <c r="AS5" s="1642">
        <v>0</v>
      </c>
    </row>
    <row customHeight="1" ht="47.25" hidden="1">
      <c r="A6" s="1278"/>
      <c r="B6" s="1278"/>
      <c r="C6" s="1278"/>
      <c r="D6" s="1278"/>
      <c r="E6" s="2320"/>
      <c r="F6" s="2320"/>
      <c r="G6" s="2320"/>
      <c r="H6" s="2320"/>
      <c r="I6" s="2157">
        <f>S5&amp;".1"</f>
      </c>
      <c r="J6" s="1278"/>
      <c r="K6" s="1278"/>
      <c r="L6" s="1321" t="s">
        <v>417</v>
      </c>
      <c r="M6" s="1646"/>
      <c r="P6" s="2287">
        <v>1</v>
      </c>
      <c r="Q6" s="1962"/>
      <c r="R6" s="367"/>
      <c r="S6" s="1966">
        <f>$I6</f>
      </c>
      <c r="T6" s="296" t="s">
        <v>418</v>
      </c>
      <c r="U6" s="311"/>
      <c r="V6" s="2275"/>
      <c r="W6" s="2276"/>
      <c r="X6" s="2276"/>
      <c r="Y6" s="2276"/>
      <c r="Z6" s="2276"/>
      <c r="AA6" s="2276"/>
      <c r="AB6" s="2276"/>
      <c r="AC6" s="2277"/>
      <c r="AD6" s="2275"/>
      <c r="AE6" s="2276"/>
      <c r="AF6" s="2276"/>
      <c r="AG6" s="2276"/>
      <c r="AH6" s="2276"/>
      <c r="AI6" s="2276"/>
      <c r="AJ6" s="2276"/>
      <c r="AK6" s="2276"/>
      <c r="AL6" s="2277"/>
      <c r="AM6" s="1269" t="s">
        <v>419</v>
      </c>
      <c r="AO6" s="1635"/>
      <c r="AP6" s="1635" t="str">
        <f>IF(T6="","",T6)</f>
        <v>Схема подключения теплопотребляющей установки к коллектору источника тепловой энергии</v>
      </c>
      <c r="AQ6" s="1635"/>
      <c r="AR6" s="1635"/>
      <c r="AS6" s="1642">
        <v>0</v>
      </c>
    </row>
    <row customHeight="1" ht="21" hidden="1">
      <c r="A7" s="1278"/>
      <c r="B7" s="1278"/>
      <c r="C7" s="1278"/>
      <c r="D7" s="1278"/>
      <c r="E7" s="2320"/>
      <c r="F7" s="2320"/>
      <c r="G7" s="2320"/>
      <c r="H7" s="2320"/>
      <c r="I7" s="2131"/>
      <c r="J7" s="2157">
        <f>I6&amp;".1"</f>
      </c>
      <c r="K7" s="1278"/>
      <c r="L7" s="1321" t="s">
        <v>420</v>
      </c>
      <c r="M7" s="1646"/>
      <c r="N7" s="1642"/>
      <c r="P7" s="2287"/>
      <c r="Q7" s="2287">
        <v>1</v>
      </c>
      <c r="R7" s="368"/>
      <c r="S7" s="1966">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1635"/>
      <c r="AP7" s="1635" t="str">
        <f>IF(T7="","",T7)</f>
        <v>Группа потребителей</v>
      </c>
      <c r="AQ7" s="1635"/>
      <c r="AR7" s="1635"/>
      <c r="AS7" s="1642">
        <v>0</v>
      </c>
    </row>
    <row customHeight="1" ht="21" hidden="1">
      <c r="A8" s="1278"/>
      <c r="B8" s="1278"/>
      <c r="C8" s="1278"/>
      <c r="D8" s="1278"/>
      <c r="E8" s="2320"/>
      <c r="F8" s="2320"/>
      <c r="G8" s="2320"/>
      <c r="H8" s="2320"/>
      <c r="I8" s="2131"/>
      <c r="J8" s="2131"/>
      <c r="K8" s="2157">
        <f>J7&amp;".1"</f>
      </c>
      <c r="L8" s="1321" t="s">
        <v>423</v>
      </c>
      <c r="M8" s="1646"/>
      <c r="N8" s="1642"/>
      <c r="O8" s="1642"/>
      <c r="P8" s="2287"/>
      <c r="Q8" s="2287"/>
      <c r="R8" s="368">
        <v>1</v>
      </c>
      <c r="S8" s="1966">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1647">
        <f>STRCHECKDATE(V9:AL9)</f>
      </c>
      <c r="AO8" s="1635"/>
      <c r="AP8" s="1635" t="str">
        <f>IF(T8="","",T8)</f>
        <v/>
      </c>
      <c r="AQ8" s="1635"/>
      <c r="AR8" s="1635"/>
      <c r="AS8" s="1642">
        <v>0</v>
      </c>
    </row>
    <row customHeight="1" ht="0.75" hidden="1">
      <c r="A9" s="1278"/>
      <c r="B9" s="1278"/>
      <c r="C9" s="1278"/>
      <c r="D9" s="1278"/>
      <c r="E9" s="2320"/>
      <c r="F9" s="2320"/>
      <c r="G9" s="2320"/>
      <c r="H9" s="2320"/>
      <c r="I9" s="2131"/>
      <c r="J9" s="2131"/>
      <c r="K9" s="2157"/>
      <c r="L9" s="1321"/>
      <c r="M9" s="1646"/>
      <c r="N9" s="1642"/>
      <c r="O9" s="1642"/>
      <c r="P9" s="2287"/>
      <c r="Q9" s="2287"/>
      <c r="R9" s="368"/>
      <c r="S9" s="1975"/>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1635"/>
      <c r="AP9" s="1635" t="str">
        <f>IF(T9="","",T9)</f>
        <v/>
      </c>
      <c r="AQ9" s="1635"/>
      <c r="AR9" s="1635"/>
      <c r="AS9" s="1642">
        <v>0</v>
      </c>
    </row>
    <row customHeight="1" ht="15" hidden="1">
      <c r="A10" s="1278"/>
      <c r="B10" s="1278"/>
      <c r="C10" s="1278"/>
      <c r="D10" s="1278"/>
      <c r="E10" s="2320"/>
      <c r="F10" s="2320"/>
      <c r="G10" s="2320"/>
      <c r="H10" s="2320"/>
      <c r="I10" s="2131"/>
      <c r="J10" s="2157"/>
      <c r="K10" s="1278"/>
      <c r="L10" s="1321"/>
      <c r="M10" s="1646"/>
      <c r="N10" s="1642"/>
      <c r="P10" s="2287"/>
      <c r="Q10" s="2287"/>
      <c r="R10" s="367"/>
      <c r="S10" s="1289"/>
      <c r="T10" s="299" t="s">
        <v>425</v>
      </c>
      <c r="U10" s="611"/>
      <c r="V10" s="611"/>
      <c r="W10" s="611"/>
      <c r="X10" s="611"/>
      <c r="Y10" s="611"/>
      <c r="Z10" s="611"/>
      <c r="AA10" s="611"/>
      <c r="AB10" s="611"/>
      <c r="AC10" s="611"/>
      <c r="AD10" s="611"/>
      <c r="AE10" s="611"/>
      <c r="AF10" s="611"/>
      <c r="AG10" s="611"/>
      <c r="AH10" s="611"/>
      <c r="AI10" s="611"/>
      <c r="AJ10" s="611"/>
      <c r="AK10" s="611"/>
      <c r="AL10" s="335"/>
      <c r="AM10" s="2285"/>
      <c r="AO10" s="1635"/>
      <c r="AP10" s="1635" t="str">
        <f>IF(T10="","",T10)</f>
        <v>Добавить вид теплоносителя (параметры теплоносителя)</v>
      </c>
      <c r="AQ10" s="1635"/>
      <c r="AR10" s="1635"/>
      <c r="AS10" s="1642">
        <v>0</v>
      </c>
    </row>
    <row customHeight="1" ht="15" hidden="1">
      <c r="A11" s="1278"/>
      <c r="B11" s="1278"/>
      <c r="C11" s="1278"/>
      <c r="D11" s="1278"/>
      <c r="E11" s="2320"/>
      <c r="F11" s="2320"/>
      <c r="G11" s="2320"/>
      <c r="H11" s="2320"/>
      <c r="I11" s="2157"/>
      <c r="J11" s="1278"/>
      <c r="K11" s="1278"/>
      <c r="L11" s="1321"/>
      <c r="M11" s="1646"/>
      <c r="P11" s="2287"/>
      <c r="Q11" s="1962"/>
      <c r="R11" s="367"/>
      <c r="S11" s="1289"/>
      <c r="T11" s="298" t="s">
        <v>426</v>
      </c>
      <c r="U11" s="611"/>
      <c r="V11" s="611"/>
      <c r="W11" s="611"/>
      <c r="X11" s="611"/>
      <c r="Y11" s="611"/>
      <c r="Z11" s="611"/>
      <c r="AA11" s="611"/>
      <c r="AB11" s="611"/>
      <c r="AC11" s="377"/>
      <c r="AD11" s="611"/>
      <c r="AE11" s="611"/>
      <c r="AF11" s="611"/>
      <c r="AG11" s="611"/>
      <c r="AH11" s="611"/>
      <c r="AI11" s="611"/>
      <c r="AJ11" s="611"/>
      <c r="AK11" s="377"/>
      <c r="AL11" s="611"/>
      <c r="AM11" s="314"/>
      <c r="AO11" s="1635"/>
      <c r="AP11" s="1635" t="str">
        <f>IF(T11="","",T11)</f>
        <v>Добавить группу потребителей</v>
      </c>
      <c r="AQ11" s="1635"/>
      <c r="AR11" s="1635"/>
      <c r="AS11" s="1642">
        <v>0</v>
      </c>
    </row>
    <row customHeight="1" ht="14.25" hidden="1">
      <c r="A12" s="1278"/>
      <c r="B12" s="1278"/>
      <c r="C12" s="1278"/>
      <c r="D12" s="1278"/>
      <c r="E12" s="2320"/>
      <c r="F12" s="2320"/>
      <c r="G12" s="2320"/>
      <c r="H12" s="2319"/>
      <c r="I12" s="1278"/>
      <c r="J12" s="1278"/>
      <c r="K12" s="1278"/>
      <c r="L12" s="1321"/>
      <c r="M12" s="1621"/>
      <c r="N12" s="1621"/>
      <c r="O12" s="1646"/>
      <c r="P12" s="371"/>
      <c r="Q12" s="386"/>
      <c r="R12" s="366"/>
      <c r="S12" s="1289"/>
      <c r="T12" s="376" t="s">
        <v>427</v>
      </c>
      <c r="U12" s="611"/>
      <c r="V12" s="611"/>
      <c r="W12" s="611"/>
      <c r="X12" s="611"/>
      <c r="Y12" s="611"/>
      <c r="Z12" s="611"/>
      <c r="AA12" s="611"/>
      <c r="AB12" s="611"/>
      <c r="AC12" s="377"/>
      <c r="AD12" s="611"/>
      <c r="AE12" s="611"/>
      <c r="AF12" s="611"/>
      <c r="AG12" s="611"/>
      <c r="AH12" s="611"/>
      <c r="AI12" s="611"/>
      <c r="AJ12" s="611"/>
      <c r="AK12" s="377"/>
      <c r="AL12" s="611"/>
      <c r="AM12" s="314"/>
      <c r="AO12" s="1635"/>
      <c r="AP12" s="1635" t="str">
        <f>IF(T12="","",T12)</f>
        <v>Добавить схему подключения</v>
      </c>
      <c r="AQ12" s="1635"/>
      <c r="AR12" s="1635"/>
      <c r="AS12" s="1642">
        <v>0</v>
      </c>
    </row>
    <row s="1653" customFormat="1" customHeight="1" ht="0.75" hidden="1">
      <c r="A13" s="1385"/>
      <c r="B13" s="1385"/>
      <c r="C13" s="1385"/>
      <c r="D13" s="1385"/>
      <c r="E13" s="2320"/>
      <c r="F13" s="2320"/>
      <c r="G13" s="2319"/>
      <c r="H13" s="1385"/>
      <c r="I13" s="1385"/>
      <c r="J13" s="1385"/>
      <c r="K13" s="1385"/>
      <c r="L13" s="1388"/>
      <c r="M13" s="1389"/>
      <c r="N13" s="1389"/>
      <c r="O13" s="362"/>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1262"/>
      <c r="AP13" s="1262" t="str">
        <f>IF(T13="","",T13)</f>
        <v>Добавить источник для дифференциации</v>
      </c>
      <c r="AQ13" s="1262"/>
      <c r="AR13" s="1262"/>
      <c r="AS13" s="1653">
        <v>0</v>
      </c>
    </row>
    <row s="1653" customFormat="1" customHeight="1" ht="0.75" hidden="1">
      <c r="A14" s="1385"/>
      <c r="B14" s="1385"/>
      <c r="C14" s="1385"/>
      <c r="D14" s="1385"/>
      <c r="E14" s="2320"/>
      <c r="F14" s="2319"/>
      <c r="G14" s="1385"/>
      <c r="H14" s="1385"/>
      <c r="I14" s="1385"/>
      <c r="J14" s="1385"/>
      <c r="K14" s="1385"/>
      <c r="L14" s="1388"/>
      <c r="M14" s="1390"/>
      <c r="N14" s="1390"/>
      <c r="O14" s="36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1262"/>
      <c r="AP14" s="1262" t="str">
        <f>IF(T14="","",T14)</f>
        <v>Добавить централизованную систему для дифференциации</v>
      </c>
      <c r="AQ14" s="1262"/>
      <c r="AR14" s="1262"/>
      <c r="AS14" s="1653">
        <v>0</v>
      </c>
    </row>
    <row s="1653" customFormat="1" customHeight="1" ht="0.75" hidden="1">
      <c r="A15" s="1385"/>
      <c r="B15" s="1385"/>
      <c r="C15" s="1385"/>
      <c r="D15" s="1385"/>
      <c r="E15" s="2319"/>
      <c r="F15" s="1385"/>
      <c r="G15" s="1385"/>
      <c r="H15" s="1385"/>
      <c r="I15" s="1385"/>
      <c r="J15" s="1385"/>
      <c r="K15" s="1385"/>
      <c r="L15" s="1388"/>
      <c r="M15" s="1390"/>
      <c r="N15" s="1390"/>
      <c r="O15" s="36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1262"/>
      <c r="AP15" s="1262" t="str">
        <f>IF(T15="","",T15)</f>
        <v>Добавить территорию для дифференциации</v>
      </c>
      <c r="AQ15" s="1262"/>
      <c r="AR15" s="1262"/>
      <c r="AS15" s="1653">
        <v>0</v>
      </c>
    </row>
    <row customHeight="1" ht="14.25" hidden="1">
      <c r="AS16" s="1642">
        <v>0</v>
      </c>
    </row>
    <row customHeight="1" ht="14.25" hidden="1">
      <c r="AD17" s="1371"/>
      <c r="AE17" s="1371"/>
      <c r="AF17" s="1371"/>
      <c r="AG17" s="1372"/>
      <c r="AH17" s="2297"/>
      <c r="AI17" s="2298" t="s">
        <v>63</v>
      </c>
      <c r="AJ17" s="2297"/>
      <c r="AK17" s="2298" t="s">
        <v>63</v>
      </c>
      <c r="AS17" s="1642">
        <v>0</v>
      </c>
    </row>
    <row customHeight="1" ht="14.25" hidden="1">
      <c r="AD18" s="1371"/>
      <c r="AE18" s="1371"/>
      <c r="AF18" s="1371"/>
      <c r="AG18" s="339" t="str">
        <f>AH17&amp;"-"&amp;AJ17</f>
        <v>-</v>
      </c>
      <c r="AH18" s="2298"/>
      <c r="AI18" s="2298"/>
      <c r="AJ18" s="2298"/>
      <c r="AK18" s="2298"/>
      <c r="AS18" s="1642">
        <v>0</v>
      </c>
    </row>
    <row customHeight="1" ht="14.25" hidden="1">
      <c r="AS19" s="1642">
        <v>0</v>
      </c>
    </row>
    <row s="1377" customFormat="1" customHeight="1" ht="22.5" hidden="1">
      <c r="A20" s="1642"/>
      <c r="B20" s="1642"/>
      <c r="C20" s="1642"/>
      <c r="D20" s="1642"/>
      <c r="E20" s="1642"/>
      <c r="F20" s="1642"/>
      <c r="G20" s="1642"/>
      <c r="H20" s="1642"/>
      <c r="I20" s="1642"/>
      <c r="J20" s="1642"/>
      <c r="K20" s="1642"/>
      <c r="L20" s="1947"/>
      <c r="M20" s="1973"/>
      <c r="N20" s="1973"/>
      <c r="O20" s="1356" t="s">
        <v>431</v>
      </c>
      <c r="P20" s="1373"/>
      <c r="Q20" s="1382"/>
      <c r="R20" s="1382"/>
      <c r="S20" s="740"/>
      <c r="Z20" s="1378"/>
      <c r="AB20" s="1378"/>
      <c r="AH20" s="1378"/>
      <c r="AJ20" s="1378"/>
      <c r="AN20" s="1647"/>
      <c r="AO20" s="1647"/>
      <c r="AP20" s="1647"/>
      <c r="AQ20" s="1647"/>
      <c r="AR20" s="1647"/>
      <c r="AS20" s="1377">
        <v>0</v>
      </c>
    </row>
    <row s="1377" customFormat="1" customHeight="1" ht="14.25" hidden="1">
      <c r="A21" s="1642"/>
      <c r="B21" s="1642"/>
      <c r="C21" s="1642"/>
      <c r="D21" s="1642"/>
      <c r="E21" s="1642"/>
      <c r="F21" s="1642"/>
      <c r="G21" s="1642"/>
      <c r="H21" s="1642"/>
      <c r="I21" s="1642"/>
      <c r="J21" s="1642"/>
      <c r="K21" s="1642"/>
      <c r="L21" s="1947"/>
      <c r="M21" s="1973"/>
      <c r="N21" s="1973"/>
      <c r="O21" s="1973"/>
      <c r="P21" s="1373"/>
      <c r="Q21" s="1382"/>
      <c r="R21" s="1382"/>
      <c r="S21" s="740"/>
      <c r="AN21" s="1647"/>
      <c r="AO21" s="1647"/>
      <c r="AP21" s="1647"/>
      <c r="AQ21" s="1647"/>
      <c r="AR21" s="1647"/>
      <c r="AS21" s="1377">
        <v>0</v>
      </c>
    </row>
    <row s="1377" customFormat="1" customHeight="1" ht="14.25" hidden="1">
      <c r="A22" s="1642"/>
      <c r="B22" s="1642"/>
      <c r="C22" s="1642"/>
      <c r="D22" s="1642"/>
      <c r="E22" s="1642"/>
      <c r="F22" s="1642"/>
      <c r="G22" s="1642"/>
      <c r="H22" s="1642"/>
      <c r="I22" s="1642"/>
      <c r="J22" s="1642"/>
      <c r="K22" s="1642"/>
      <c r="L22" s="1947"/>
      <c r="M22" s="1973"/>
      <c r="N22" s="1973"/>
      <c r="O22" s="1321" t="s">
        <v>432</v>
      </c>
      <c r="P22" s="1373"/>
      <c r="Q22" s="1382"/>
      <c r="R22" s="1382"/>
      <c r="S22" s="740"/>
      <c r="T22" s="1377" t="s">
        <v>433</v>
      </c>
      <c r="AA22" s="606" t="s">
        <v>434</v>
      </c>
      <c r="AC22" s="606" t="s">
        <v>435</v>
      </c>
      <c r="AD22" s="1377" t="s">
        <v>433</v>
      </c>
      <c r="AI22" s="606" t="s">
        <v>436</v>
      </c>
      <c r="AK22" s="606" t="s">
        <v>435</v>
      </c>
      <c r="AN22" s="1647"/>
      <c r="AO22" s="1647"/>
      <c r="AP22" s="1647"/>
      <c r="AQ22" s="1647"/>
      <c r="AR22" s="1647"/>
      <c r="AS22" s="1377">
        <v>0</v>
      </c>
    </row>
    <row customHeight="1" ht="14.25" hidden="1">
      <c r="O23" s="1321"/>
      <c r="AS23" s="1642">
        <v>0</v>
      </c>
    </row>
    <row customHeight="1" ht="14.25" hidden="1">
      <c r="O24" s="1321"/>
      <c r="AS24" s="1642">
        <v>0</v>
      </c>
    </row>
    <row customHeight="1" ht="14.699999999999998">
      <c r="Q25" s="387"/>
      <c r="R25" s="387"/>
      <c r="S25" s="1286"/>
      <c r="T25" s="468"/>
      <c r="U25" s="468"/>
      <c r="V25" s="1646"/>
      <c r="W25" s="1646"/>
      <c r="X25" s="1646"/>
      <c r="Y25" s="1646"/>
      <c r="Z25" s="1646"/>
      <c r="AA25" s="1646"/>
      <c r="AB25" s="1646"/>
      <c r="AC25" s="1646"/>
      <c r="AD25" s="1646"/>
      <c r="AE25" s="1646"/>
      <c r="AF25" s="1646"/>
      <c r="AG25" s="1646"/>
      <c r="AH25" s="1646"/>
      <c r="AI25" s="1646"/>
      <c r="AJ25" s="1646"/>
      <c r="AK25" s="1646"/>
      <c r="AS25" s="1642">
        <v>14</v>
      </c>
    </row>
    <row customHeight="1" ht="14.699999999999998">
      <c r="Q26" s="387"/>
      <c r="R26" s="387"/>
      <c r="S26" s="227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8"/>
      <c r="U26" s="2278"/>
      <c r="V26" s="2278"/>
      <c r="W26" s="2278"/>
      <c r="X26" s="2278"/>
      <c r="Y26" s="2278"/>
      <c r="Z26" s="2278"/>
      <c r="AA26" s="2278"/>
      <c r="AB26" s="2278"/>
      <c r="AC26" s="2278"/>
      <c r="AD26" s="2278"/>
      <c r="AE26" s="2278"/>
      <c r="AF26" s="2278"/>
      <c r="AG26" s="2278"/>
      <c r="AH26" s="2278"/>
      <c r="AI26" s="2278"/>
      <c r="AJ26" s="2278"/>
      <c r="AK26" s="1254"/>
      <c r="AS26" s="1642">
        <v>14</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642">
        <v>14</v>
      </c>
    </row>
    <row customHeight="1" ht="14.25" hidden="1">
      <c r="Q28" s="387"/>
      <c r="R28" s="387"/>
      <c r="S28" s="1286"/>
      <c r="T28" s="468"/>
      <c r="U28" s="468"/>
      <c r="V28" s="333"/>
      <c r="W28" s="333"/>
      <c r="X28" s="333"/>
      <c r="Y28" s="333"/>
      <c r="Z28" s="333"/>
      <c r="AA28" s="333"/>
      <c r="AB28" s="333"/>
      <c r="AC28" s="333"/>
      <c r="AD28" s="333"/>
      <c r="AE28" s="333"/>
      <c r="AF28" s="333"/>
      <c r="AG28" s="333"/>
      <c r="AH28" s="333"/>
      <c r="AI28" s="333"/>
      <c r="AJ28" s="333"/>
      <c r="AK28" s="333"/>
      <c r="AL28" s="1646"/>
      <c r="AS28" s="1642">
        <v>0</v>
      </c>
    </row>
    <row s="1861" customFormat="1" customHeight="1" ht="25.5" hidden="1">
      <c r="A29" s="1259"/>
      <c r="B29" s="1259"/>
      <c r="C29" s="1259"/>
      <c r="D29" s="1259"/>
      <c r="E29" s="1259"/>
      <c r="F29" s="1259"/>
      <c r="G29" s="1259"/>
      <c r="H29" s="1259"/>
      <c r="I29" s="1259"/>
      <c r="J29" s="1259"/>
      <c r="K29" s="1259"/>
      <c r="L29" s="1391"/>
      <c r="M29" s="1259"/>
      <c r="N29" s="1259"/>
      <c r="O29" s="125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1646"/>
      <c r="AD29" s="2281" t="str">
        <f>IF(TITLE_NAME_OR_PR_CHANGE="",IF(TITLE_NAME_OR_PR="","",TITLE_NAME_OR_PR),TITLE_NAME_OR_PR_CHANGE)</f>
        <v/>
      </c>
      <c r="AE29" s="2281"/>
      <c r="AF29" s="2281"/>
      <c r="AG29" s="2281"/>
      <c r="AH29" s="2281"/>
      <c r="AI29" s="2281"/>
      <c r="AJ29" s="2281"/>
      <c r="AK29" s="1646"/>
      <c r="AL29" s="1646"/>
      <c r="AM29" s="291"/>
      <c r="AN29" s="379"/>
      <c r="AO29" s="379"/>
      <c r="AP29" s="379"/>
      <c r="AQ29" s="379"/>
      <c r="AR29" s="379"/>
      <c r="AS29" s="429">
        <v>0</v>
      </c>
    </row>
    <row s="1861" customFormat="1" customHeight="1" ht="18.75" hidden="1">
      <c r="A30" s="1259"/>
      <c r="B30" s="1259"/>
      <c r="C30" s="1259"/>
      <c r="D30" s="1259"/>
      <c r="E30" s="1259"/>
      <c r="F30" s="1259"/>
      <c r="G30" s="1259"/>
      <c r="H30" s="1259"/>
      <c r="I30" s="1259"/>
      <c r="J30" s="1259"/>
      <c r="K30" s="1259"/>
      <c r="L30" s="1391"/>
      <c r="M30" s="1259"/>
      <c r="N30" s="1259"/>
      <c r="O30" s="125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1646"/>
      <c r="AD30" s="2294" t="str">
        <f>IF(TITLE_DATE_PR_CHANGE="",IF(TITLE_DATE_PR="","",TITLE_DATE_PR),TITLE_DATE_PR_CHANGE)</f>
        <v/>
      </c>
      <c r="AE30" s="2294"/>
      <c r="AF30" s="2294"/>
      <c r="AG30" s="2294"/>
      <c r="AH30" s="2294"/>
      <c r="AI30" s="2294"/>
      <c r="AJ30" s="2294"/>
      <c r="AK30" s="1646"/>
      <c r="AL30" s="1646"/>
      <c r="AM30" s="291"/>
      <c r="AN30" s="379"/>
      <c r="AO30" s="379"/>
      <c r="AP30" s="379"/>
      <c r="AQ30" s="379"/>
      <c r="AR30" s="379"/>
      <c r="AS30" s="429">
        <v>0</v>
      </c>
    </row>
    <row s="1861" customFormat="1" customHeight="1" ht="18.75" hidden="1">
      <c r="A31" s="1259"/>
      <c r="B31" s="1259"/>
      <c r="C31" s="1259"/>
      <c r="D31" s="1259"/>
      <c r="E31" s="1259"/>
      <c r="F31" s="1259"/>
      <c r="G31" s="1259"/>
      <c r="H31" s="1259"/>
      <c r="I31" s="1259"/>
      <c r="J31" s="1259"/>
      <c r="K31" s="1259"/>
      <c r="L31" s="1391"/>
      <c r="M31" s="1259"/>
      <c r="N31" s="1259"/>
      <c r="O31" s="125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1646"/>
      <c r="AD31" s="2281" t="str">
        <f>IF(TITLE_NUMBER_PR_CHANGE="",IF(TITLE_NUMBER_PR="","",TITLE_NUMBER_PR),TITLE_NUMBER_PR_CHANGE)</f>
        <v/>
      </c>
      <c r="AE31" s="2281"/>
      <c r="AF31" s="2281"/>
      <c r="AG31" s="2281"/>
      <c r="AH31" s="2281"/>
      <c r="AI31" s="2281"/>
      <c r="AJ31" s="2281"/>
      <c r="AK31" s="1646"/>
      <c r="AL31" s="1646"/>
      <c r="AM31" s="291"/>
      <c r="AN31" s="379"/>
      <c r="AO31" s="379"/>
      <c r="AP31" s="379"/>
      <c r="AQ31" s="379"/>
      <c r="AR31" s="379"/>
      <c r="AS31" s="429">
        <v>0</v>
      </c>
    </row>
    <row s="1861" customFormat="1" customHeight="1" ht="18.75" hidden="1">
      <c r="A32" s="1259"/>
      <c r="B32" s="1259"/>
      <c r="C32" s="1259"/>
      <c r="D32" s="1259"/>
      <c r="E32" s="1259"/>
      <c r="F32" s="1259"/>
      <c r="G32" s="1259"/>
      <c r="H32" s="1259"/>
      <c r="I32" s="1259"/>
      <c r="J32" s="1259"/>
      <c r="K32" s="1259"/>
      <c r="L32" s="1391"/>
      <c r="M32" s="1259"/>
      <c r="N32" s="1259"/>
      <c r="O32" s="1259"/>
      <c r="S32" s="2280" t="s">
        <v>43</v>
      </c>
      <c r="T32" s="2280"/>
      <c r="U32" s="1383"/>
      <c r="V32" s="2281" t="str">
        <f>IF(TITLE_IST_PUB_CHANGE="",IF(TITLE_IST_PUB="","",TITLE_IST_PUB),TITLE_IST_PUB_CHANGE)</f>
        <v/>
      </c>
      <c r="W32" s="2281"/>
      <c r="X32" s="2281"/>
      <c r="Y32" s="2281"/>
      <c r="Z32" s="2281"/>
      <c r="AA32" s="2281"/>
      <c r="AB32" s="2281"/>
      <c r="AC32" s="1646"/>
      <c r="AD32" s="2281" t="str">
        <f>IF(TITLE_IST_PUB_CHANGE="",IF(TITLE_IST_PUB="","",TITLE_IST_PUB),TITLE_IST_PUB_CHANGE)</f>
        <v/>
      </c>
      <c r="AE32" s="2281"/>
      <c r="AF32" s="2281"/>
      <c r="AG32" s="2281"/>
      <c r="AH32" s="2281"/>
      <c r="AI32" s="2281"/>
      <c r="AJ32" s="2281"/>
      <c r="AK32" s="1646"/>
      <c r="AL32" s="1646"/>
      <c r="AM32" s="291"/>
      <c r="AN32" s="379"/>
      <c r="AO32" s="379"/>
      <c r="AP32" s="379"/>
      <c r="AQ32" s="379"/>
      <c r="AR32" s="379"/>
      <c r="AS32" s="429">
        <v>0</v>
      </c>
    </row>
    <row customHeight="1" ht="14.25" hidden="1">
      <c r="Q33" s="387"/>
      <c r="R33" s="387"/>
      <c r="S33" s="1286"/>
      <c r="T33" s="468"/>
      <c r="U33" s="468"/>
      <c r="V33" s="333"/>
      <c r="W33" s="333"/>
      <c r="X33" s="333"/>
      <c r="Y33" s="333"/>
      <c r="Z33" s="333"/>
      <c r="AA33" s="333"/>
      <c r="AB33" s="333"/>
      <c r="AC33" s="333"/>
      <c r="AD33" s="333"/>
      <c r="AE33" s="333"/>
      <c r="AF33" s="333"/>
      <c r="AG33" s="333"/>
      <c r="AH33" s="333"/>
      <c r="AI33" s="333"/>
      <c r="AJ33" s="333"/>
      <c r="AK33" s="333"/>
      <c r="AL33" s="1646"/>
      <c r="AS33" s="1642">
        <v>0</v>
      </c>
    </row>
    <row s="1861" customFormat="1" customHeight="1" ht="18.75" hidden="1">
      <c r="A34" s="1259"/>
      <c r="B34" s="1259"/>
      <c r="C34" s="1259"/>
      <c r="D34" s="1259"/>
      <c r="E34" s="1259"/>
      <c r="F34" s="1259"/>
      <c r="G34" s="1259"/>
      <c r="H34" s="1259"/>
      <c r="I34" s="1259"/>
      <c r="J34" s="1259"/>
      <c r="K34" s="1259"/>
      <c r="L34" s="1391"/>
      <c r="M34" s="1259"/>
      <c r="N34" s="1259"/>
      <c r="O34" s="125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1646"/>
      <c r="AD34" s="2294" t="str">
        <f>IF(TITLE_DATE_PR_CHANGE="",IF(TITLE_DATE_PR="","",TITLE_DATE_PR),TITLE_DATE_PR_CHANGE)</f>
        <v/>
      </c>
      <c r="AE34" s="2294"/>
      <c r="AF34" s="2294"/>
      <c r="AG34" s="2294"/>
      <c r="AH34" s="2294"/>
      <c r="AI34" s="2294"/>
      <c r="AJ34" s="2294"/>
      <c r="AK34" s="1646"/>
      <c r="AL34" s="1646"/>
      <c r="AM34" s="291"/>
      <c r="AN34" s="379"/>
      <c r="AO34" s="379"/>
      <c r="AP34" s="379"/>
      <c r="AQ34" s="379"/>
      <c r="AR34" s="379"/>
      <c r="AS34" s="429">
        <v>0</v>
      </c>
    </row>
    <row s="1861" customFormat="1" customHeight="1" ht="18.75" hidden="1">
      <c r="A35" s="1259"/>
      <c r="B35" s="1259"/>
      <c r="C35" s="1259"/>
      <c r="D35" s="1259"/>
      <c r="E35" s="1259"/>
      <c r="F35" s="1259"/>
      <c r="G35" s="1259"/>
      <c r="H35" s="1259"/>
      <c r="I35" s="1259"/>
      <c r="J35" s="1259"/>
      <c r="K35" s="1259"/>
      <c r="L35" s="1391"/>
      <c r="M35" s="1259"/>
      <c r="N35" s="1259"/>
      <c r="O35" s="125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1646"/>
      <c r="AD35" s="2281" t="str">
        <f>IF(TITLE_NUMBER_PR_CHANGE="",IF(TITLE_NUMBER_PR="","",TITLE_NUMBER_PR),TITLE_NUMBER_PR_CHANGE)</f>
        <v/>
      </c>
      <c r="AE35" s="2281"/>
      <c r="AF35" s="2281"/>
      <c r="AG35" s="2281"/>
      <c r="AH35" s="2281"/>
      <c r="AI35" s="2281"/>
      <c r="AJ35" s="2281"/>
      <c r="AK35" s="1646"/>
      <c r="AL35" s="1646"/>
      <c r="AM35" s="291"/>
      <c r="AN35" s="379"/>
      <c r="AO35" s="379"/>
      <c r="AP35" s="379"/>
      <c r="AQ35" s="379"/>
      <c r="AR35" s="379"/>
      <c r="AS35" s="429">
        <v>0</v>
      </c>
    </row>
    <row s="1861" customFormat="1" customHeight="1" ht="0">
      <c r="A36" s="1259"/>
      <c r="B36" s="1259"/>
      <c r="C36" s="1259"/>
      <c r="D36" s="1259"/>
      <c r="E36" s="1259"/>
      <c r="F36" s="1259"/>
      <c r="G36" s="1259"/>
      <c r="H36" s="1259"/>
      <c r="I36" s="1259"/>
      <c r="J36" s="1259"/>
      <c r="K36" s="1259"/>
      <c r="L36" s="1391"/>
      <c r="M36" s="1259"/>
      <c r="N36" s="1259"/>
      <c r="O36" s="1259"/>
      <c r="S36" s="1646"/>
      <c r="T36" s="1646"/>
      <c r="U36" s="1978"/>
      <c r="V36" s="1646"/>
      <c r="W36" s="1646"/>
      <c r="X36" s="1646"/>
      <c r="Y36" s="1646"/>
      <c r="Z36" s="1646"/>
      <c r="AA36" s="1646"/>
      <c r="AB36" s="1646"/>
      <c r="AC36" s="1653" t="s">
        <v>437</v>
      </c>
      <c r="AD36" s="1646"/>
      <c r="AE36" s="1646"/>
      <c r="AF36" s="1646"/>
      <c r="AG36" s="1646"/>
      <c r="AH36" s="1646"/>
      <c r="AI36" s="1646"/>
      <c r="AJ36" s="1646"/>
      <c r="AK36" s="1653" t="s">
        <v>437</v>
      </c>
      <c r="AN36" s="379"/>
      <c r="AO36" s="379"/>
      <c r="AP36" s="379"/>
      <c r="AQ36" s="379"/>
      <c r="AR36" s="379"/>
      <c r="AS36" s="429">
        <v>0</v>
      </c>
    </row>
    <row customHeight="1" ht="14.699999999999998">
      <c r="Q37" s="387"/>
      <c r="R37" s="387"/>
      <c r="S37" s="1286"/>
      <c r="T37" s="468"/>
      <c r="U37" s="1255"/>
      <c r="V37" s="2282"/>
      <c r="W37" s="2282"/>
      <c r="X37" s="2282"/>
      <c r="Y37" s="2282"/>
      <c r="Z37" s="2282"/>
      <c r="AA37" s="2282"/>
      <c r="AB37" s="2282"/>
      <c r="AC37" s="2282"/>
      <c r="AD37" s="2282"/>
      <c r="AE37" s="2282"/>
      <c r="AF37" s="2282"/>
      <c r="AG37" s="2282"/>
      <c r="AH37" s="2282"/>
      <c r="AI37" s="2282"/>
      <c r="AJ37" s="2282"/>
      <c r="AK37" s="2282"/>
      <c r="AS37" s="1642">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642">
        <v>14</v>
      </c>
    </row>
    <row customHeight="1" ht="14.699999999999998">
      <c r="Q39" s="387"/>
      <c r="R39" s="387"/>
      <c r="S39" s="2303" t="s">
        <v>89</v>
      </c>
      <c r="T39" s="2239" t="s">
        <v>438</v>
      </c>
      <c r="U39" s="348"/>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642">
        <v>14</v>
      </c>
    </row>
    <row customHeight="1" ht="35.699999999999996">
      <c r="Q40" s="387"/>
      <c r="R40" s="387"/>
      <c r="S40" s="2303"/>
      <c r="T40" s="2239"/>
      <c r="U40" s="1042"/>
      <c r="V40" s="2290" t="s">
        <v>443</v>
      </c>
      <c r="W40" s="2313" t="s">
        <v>444</v>
      </c>
      <c r="X40" s="2292" t="s">
        <v>445</v>
      </c>
      <c r="Y40" s="2293"/>
      <c r="Z40" s="2292" t="s">
        <v>459</v>
      </c>
      <c r="AA40" s="2299"/>
      <c r="AB40" s="2293"/>
      <c r="AC40" s="2308"/>
      <c r="AD40" s="2290" t="s">
        <v>443</v>
      </c>
      <c r="AE40" s="2313" t="s">
        <v>444</v>
      </c>
      <c r="AF40" s="2292" t="s">
        <v>445</v>
      </c>
      <c r="AG40" s="2293"/>
      <c r="AH40" s="2292" t="s">
        <v>446</v>
      </c>
      <c r="AI40" s="2299"/>
      <c r="AJ40" s="2293"/>
      <c r="AK40" s="2308"/>
      <c r="AL40" s="2311"/>
      <c r="AM40" s="2157"/>
      <c r="AS40" s="1642">
        <v>34</v>
      </c>
    </row>
    <row customHeight="1" ht="35.699999999999996">
      <c r="A41" s="1277"/>
      <c r="B41" s="1277" t="s">
        <v>151</v>
      </c>
      <c r="C41" s="1277" t="s">
        <v>152</v>
      </c>
      <c r="D41" s="1277" t="s">
        <v>153</v>
      </c>
      <c r="E41" s="1321" t="s">
        <v>447</v>
      </c>
      <c r="F41" s="1321" t="s">
        <v>448</v>
      </c>
      <c r="G41" s="1321" t="s">
        <v>449</v>
      </c>
      <c r="H41" s="1321" t="s">
        <v>450</v>
      </c>
      <c r="I41" s="1321" t="s">
        <v>451</v>
      </c>
      <c r="J41" s="1321" t="s">
        <v>452</v>
      </c>
      <c r="K41" s="1321" t="s">
        <v>453</v>
      </c>
      <c r="L41" s="1321" t="s">
        <v>432</v>
      </c>
      <c r="Q41" s="387"/>
      <c r="R41" s="387"/>
      <c r="S41" s="2303"/>
      <c r="T41" s="2239"/>
      <c r="U41" s="313"/>
      <c r="V41" s="2291"/>
      <c r="W41" s="2314"/>
      <c r="X41" s="1946" t="s">
        <v>454</v>
      </c>
      <c r="Y41" s="1946" t="s">
        <v>455</v>
      </c>
      <c r="Z41" s="1946" t="s">
        <v>456</v>
      </c>
      <c r="AA41" s="2300" t="s">
        <v>457</v>
      </c>
      <c r="AB41" s="2301"/>
      <c r="AC41" s="2309"/>
      <c r="AD41" s="2291"/>
      <c r="AE41" s="2314"/>
      <c r="AF41" s="1946" t="s">
        <v>454</v>
      </c>
      <c r="AG41" s="1946" t="s">
        <v>455</v>
      </c>
      <c r="AH41" s="1946" t="s">
        <v>456</v>
      </c>
      <c r="AI41" s="2300" t="s">
        <v>457</v>
      </c>
      <c r="AJ41" s="2301"/>
      <c r="AK41" s="2309"/>
      <c r="AL41" s="2312"/>
      <c r="AM41" s="2157"/>
      <c r="AS41" s="1642">
        <v>34</v>
      </c>
    </row>
    <row s="1652" customFormat="1" customHeight="1" ht="11.25" hidden="1">
      <c r="A42" s="1277"/>
      <c r="B42" s="1277"/>
      <c r="C42" s="1277"/>
      <c r="D42" s="1277"/>
      <c r="E42" s="1277"/>
      <c r="F42" s="1277"/>
      <c r="G42" s="1277"/>
      <c r="H42" s="1277"/>
      <c r="I42" s="1277"/>
      <c r="J42" s="1277"/>
      <c r="K42" s="1277"/>
      <c r="L42" s="1321"/>
      <c r="M42" s="1973"/>
      <c r="N42" s="1973"/>
      <c r="O42" s="1973"/>
      <c r="P42" s="1257"/>
      <c r="Q42" s="1258"/>
      <c r="R42" s="1265">
        <v>1</v>
      </c>
      <c r="S42" s="1288" t="s">
        <v>120</v>
      </c>
      <c r="T42" s="1266" t="s">
        <v>104</v>
      </c>
      <c r="U42" s="1256" t="str">
        <f>OFFSET(U42,0,-1)</f>
        <v>2</v>
      </c>
      <c r="V42" s="1964">
        <f>OFFSET(V42,0,-1)+1</f>
        <v>3</v>
      </c>
      <c r="W42" s="1964"/>
      <c r="X42" s="1964">
        <f>OFFSET(X42,0,-1)+1</f>
        <v>1</v>
      </c>
      <c r="Y42" s="1964">
        <f>OFFSET(Y42,0,-1)+1</f>
        <v>2</v>
      </c>
      <c r="Z42" s="1964">
        <f>OFFSET(Z42,0,-1)+1</f>
        <v>3</v>
      </c>
      <c r="AA42" s="2302">
        <f>OFFSET(AA42,0,-1)+1</f>
        <v>4</v>
      </c>
      <c r="AB42" s="2302"/>
      <c r="AC42" s="1964">
        <f>OFFSET(AC42,0,-2)+1</f>
        <v>5</v>
      </c>
      <c r="AD42" s="1964">
        <f>OFFSET(AD42,0,-1)+1</f>
        <v>6</v>
      </c>
      <c r="AE42" s="1964"/>
      <c r="AF42" s="1964">
        <f>OFFSET(AF42,0,-1)+1</f>
        <v>1</v>
      </c>
      <c r="AG42" s="1964">
        <f>OFFSET(AG42,0,-1)+1</f>
        <v>2</v>
      </c>
      <c r="AH42" s="1964">
        <f>OFFSET(AH42,0,-1)+1</f>
        <v>3</v>
      </c>
      <c r="AI42" s="2302">
        <f>OFFSET(AI42,0,-1)+1</f>
        <v>4</v>
      </c>
      <c r="AJ42" s="2302"/>
      <c r="AK42" s="1964">
        <f>OFFSET(AK42,0,-2)+1</f>
        <v>5</v>
      </c>
      <c r="AL42" s="1256">
        <f>OFFSET(AL42,0,-1)</f>
        <v>5</v>
      </c>
      <c r="AM42" s="1964">
        <f>OFFSET(AM42,0,-1)+1</f>
        <v>6</v>
      </c>
      <c r="AN42" s="1647"/>
      <c r="AO42" s="1647"/>
      <c r="AP42" s="1647"/>
      <c r="AQ42" s="1647"/>
      <c r="AR42" s="1647"/>
      <c r="AS42" s="1652">
        <v>0</v>
      </c>
    </row>
    <row customHeight="1" ht="22.049999999999997">
      <c r="A43" s="1278" t="s">
        <v>226</v>
      </c>
      <c r="B43" s="1278"/>
      <c r="C43" s="1278"/>
      <c r="D43" s="1278"/>
      <c r="E43" s="2319">
        <v>1</v>
      </c>
      <c r="F43" s="1278"/>
      <c r="G43" s="1278"/>
      <c r="H43" s="1278"/>
      <c r="I43" s="1278"/>
      <c r="J43" s="1278"/>
      <c r="K43" s="1278"/>
      <c r="L43" s="1321"/>
      <c r="M43" s="1621"/>
      <c r="N43" s="1621"/>
      <c r="O43" s="1621"/>
      <c r="P43" s="1601"/>
      <c r="Q43" s="371"/>
      <c r="R43" s="366"/>
      <c r="S43" s="1966">
        <f>INDEX(PT_DIFFERENTIATION_NUM_NTAR,MATCH(A43,PT_DIFFERENTIATION_NTAR_ID,0))</f>
        <v>0</v>
      </c>
      <c r="T43" s="1536"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5"/>
      <c r="AP43" s="1635" t="str">
        <f>IF(T43="","",T43)</f>
        <v>Наименование тарифа</v>
      </c>
      <c r="AQ43" s="1635"/>
      <c r="AR43" s="1635"/>
      <c r="AS43" s="1642">
        <v>21</v>
      </c>
    </row>
    <row customHeight="1" ht="22.049999999999997">
      <c r="A44" s="1278" t="s">
        <v>226</v>
      </c>
      <c r="B44" s="1278" t="s">
        <v>227</v>
      </c>
      <c r="C44" s="1278"/>
      <c r="D44" s="1278"/>
      <c r="E44" s="2320"/>
      <c r="F44" s="2319">
        <v>1</v>
      </c>
      <c r="G44" s="1278"/>
      <c r="H44" s="1278"/>
      <c r="I44" s="1278"/>
      <c r="J44" s="1278"/>
      <c r="K44" s="1278"/>
      <c r="L44" s="1321"/>
      <c r="M44" s="1621"/>
      <c r="N44" s="1621"/>
      <c r="O44" s="1621"/>
      <c r="P44" s="1948"/>
      <c r="Q44" s="363"/>
      <c r="R44" s="364"/>
      <c r="S44" s="1966" t="str">
        <f>INDEX(PT_DIFFERENTIATION_NUM_TER,MATCH(B44,PT_DIFFERENTIATION_TER_ID,0))</f>
        <v>.</v>
      </c>
      <c r="T44" s="1533"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1635"/>
      <c r="AP44" s="1635" t="str">
        <f>IF(T44="","",T44)</f>
        <v>Территория действия тарифа</v>
      </c>
      <c r="AQ44" s="1635"/>
      <c r="AR44" s="1635"/>
      <c r="AS44" s="1642">
        <v>21</v>
      </c>
    </row>
    <row customHeight="1" ht="24">
      <c r="A45" s="1278" t="s">
        <v>226</v>
      </c>
      <c r="B45" s="1278" t="s">
        <v>227</v>
      </c>
      <c r="C45" s="1278" t="s">
        <v>228</v>
      </c>
      <c r="D45" s="1278"/>
      <c r="E45" s="2320"/>
      <c r="F45" s="2320"/>
      <c r="G45" s="2319">
        <v>1</v>
      </c>
      <c r="H45" s="1278"/>
      <c r="I45" s="1278"/>
      <c r="J45" s="1278"/>
      <c r="K45" s="1278"/>
      <c r="L45" s="1321"/>
      <c r="M45" s="1621"/>
      <c r="N45" s="1621"/>
      <c r="O45" s="1621"/>
      <c r="P45" s="365"/>
      <c r="Q45" s="363"/>
      <c r="R45" s="364"/>
      <c r="S45" s="1966"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1635"/>
      <c r="AP45" s="1635" t="str">
        <f>IF(T45="","",T45)</f>
        <v>Наименование системы теплоснабжения </v>
      </c>
      <c r="AQ45" s="1635"/>
      <c r="AR45" s="1635"/>
      <c r="AS45" s="1642">
        <v>23</v>
      </c>
    </row>
    <row customHeight="1" ht="22.049999999999997">
      <c r="A46" s="1278" t="s">
        <v>226</v>
      </c>
      <c r="B46" s="1278" t="s">
        <v>227</v>
      </c>
      <c r="C46" s="1278" t="s">
        <v>228</v>
      </c>
      <c r="D46" s="1278" t="s">
        <v>229</v>
      </c>
      <c r="E46" s="2320"/>
      <c r="F46" s="2320"/>
      <c r="G46" s="2320"/>
      <c r="H46" s="2319">
        <v>1</v>
      </c>
      <c r="I46" s="1278"/>
      <c r="J46" s="1278"/>
      <c r="K46" s="1278"/>
      <c r="L46" s="1321"/>
      <c r="M46" s="1621"/>
      <c r="N46" s="1621"/>
      <c r="O46" s="1621"/>
      <c r="P46" s="365"/>
      <c r="Q46" s="363"/>
      <c r="R46" s="364"/>
      <c r="S46" s="1966"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1635"/>
      <c r="AP46" s="1635" t="str">
        <f>IF(T46="","",T46)</f>
        <v>Источник тепловой энергии  </v>
      </c>
      <c r="AQ46" s="1635"/>
      <c r="AR46" s="1635"/>
      <c r="AS46" s="1642">
        <v>21</v>
      </c>
    </row>
    <row customHeight="1" ht="49.5">
      <c r="A47" s="1278" t="s">
        <v>226</v>
      </c>
      <c r="B47" s="1278" t="s">
        <v>227</v>
      </c>
      <c r="C47" s="1278" t="s">
        <v>228</v>
      </c>
      <c r="D47" s="1278" t="s">
        <v>229</v>
      </c>
      <c r="E47" s="2320"/>
      <c r="F47" s="2320"/>
      <c r="G47" s="2320"/>
      <c r="H47" s="2320"/>
      <c r="I47" s="2157" t="str">
        <f>S46&amp;".1"</f>
        <v>....1</v>
      </c>
      <c r="J47" s="1278"/>
      <c r="K47" s="1278"/>
      <c r="L47" s="1321" t="s">
        <v>417</v>
      </c>
      <c r="P47" s="2287">
        <v>1</v>
      </c>
      <c r="Q47" s="1962"/>
      <c r="R47" s="367"/>
      <c r="S47" s="1966" t="str">
        <f>$I47</f>
        <v>....1</v>
      </c>
      <c r="T47" s="296" t="s">
        <v>418</v>
      </c>
      <c r="U47" s="311"/>
      <c r="V47" s="2275"/>
      <c r="W47" s="2276"/>
      <c r="X47" s="2276"/>
      <c r="Y47" s="2276"/>
      <c r="Z47" s="2276"/>
      <c r="AA47" s="2276"/>
      <c r="AB47" s="2276"/>
      <c r="AC47" s="2277"/>
      <c r="AD47" s="2275"/>
      <c r="AE47" s="2276"/>
      <c r="AF47" s="2276"/>
      <c r="AG47" s="2276"/>
      <c r="AH47" s="2276"/>
      <c r="AI47" s="2276"/>
      <c r="AJ47" s="2276"/>
      <c r="AK47" s="2276"/>
      <c r="AL47" s="2277"/>
      <c r="AM47" s="1269" t="s">
        <v>419</v>
      </c>
      <c r="AO47" s="1635"/>
      <c r="AP47" s="1635" t="str">
        <f>IF(T47="","",T47)</f>
        <v>Схема подключения теплопотребляющей установки к коллектору источника тепловой энергии</v>
      </c>
      <c r="AQ47" s="1635"/>
      <c r="AR47" s="1635"/>
      <c r="AS47" s="1642">
        <v>47</v>
      </c>
    </row>
    <row customHeight="1" ht="22.049999999999997">
      <c r="A48" s="1278" t="s">
        <v>226</v>
      </c>
      <c r="B48" s="1278" t="s">
        <v>227</v>
      </c>
      <c r="C48" s="1278" t="s">
        <v>228</v>
      </c>
      <c r="D48" s="1278" t="s">
        <v>229</v>
      </c>
      <c r="E48" s="2320"/>
      <c r="F48" s="2320"/>
      <c r="G48" s="2320"/>
      <c r="H48" s="2320"/>
      <c r="I48" s="2131"/>
      <c r="J48" s="2157" t="str">
        <f>I47&amp;".1"</f>
        <v>....1.1</v>
      </c>
      <c r="K48" s="1278"/>
      <c r="L48" s="1321" t="s">
        <v>420</v>
      </c>
      <c r="P48" s="2287"/>
      <c r="Q48" s="2287">
        <v>1</v>
      </c>
      <c r="R48" s="368"/>
      <c r="S48" s="1966" t="str">
        <f>$J48</f>
        <v>....1.1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1635"/>
      <c r="AP48" s="1635" t="str">
        <f>IF(T48="","",T48)</f>
        <v>Группа потребителей</v>
      </c>
      <c r="AQ48" s="1635"/>
      <c r="AR48" s="1635"/>
      <c r="AS48" s="1642">
        <v>21</v>
      </c>
    </row>
    <row customHeight="1" ht="22.049999999999997">
      <c r="A49" s="1278" t="s">
        <v>226</v>
      </c>
      <c r="B49" s="1278" t="s">
        <v>227</v>
      </c>
      <c r="C49" s="1278" t="s">
        <v>228</v>
      </c>
      <c r="D49" s="1278" t="s">
        <v>229</v>
      </c>
      <c r="E49" s="2320"/>
      <c r="F49" s="2320"/>
      <c r="G49" s="2320"/>
      <c r="H49" s="2320"/>
      <c r="I49" s="2131"/>
      <c r="J49" s="2131"/>
      <c r="K49" s="2157" t="str">
        <f>J48&amp;".1"</f>
        <v>....1.1.1</v>
      </c>
      <c r="L49" s="1321" t="s">
        <v>423</v>
      </c>
      <c r="P49" s="2287"/>
      <c r="Q49" s="2287"/>
      <c r="R49" s="368">
        <v>1</v>
      </c>
      <c r="S49" s="1966" t="str">
        <f>$K49</f>
        <v>....1.1.1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424</v>
      </c>
      <c r="AN49" s="1647">
        <f>STRCHECKDATE(V50:AL50)</f>
      </c>
      <c r="AO49" s="1635"/>
      <c r="AP49" s="1635" t="str">
        <f>IF(T49="","",T49)</f>
        <v/>
      </c>
      <c r="AQ49" s="1635"/>
      <c r="AR49" s="1635"/>
      <c r="AS49" s="1642">
        <v>21</v>
      </c>
    </row>
    <row customHeight="1" ht="1.05">
      <c r="A50" s="1278" t="s">
        <v>226</v>
      </c>
      <c r="B50" s="1278" t="s">
        <v>227</v>
      </c>
      <c r="C50" s="1278" t="s">
        <v>228</v>
      </c>
      <c r="D50" s="1278" t="s">
        <v>229</v>
      </c>
      <c r="E50" s="2320"/>
      <c r="F50" s="2320"/>
      <c r="G50" s="2320"/>
      <c r="H50" s="2320"/>
      <c r="I50" s="2131"/>
      <c r="J50" s="2131"/>
      <c r="K50" s="2157"/>
      <c r="L50" s="1321"/>
      <c r="P50" s="2287"/>
      <c r="Q50" s="2287"/>
      <c r="R50" s="368"/>
      <c r="S50" s="1975"/>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1635"/>
      <c r="AP50" s="1635" t="str">
        <f>IF(T50="","",T50)</f>
        <v/>
      </c>
      <c r="AQ50" s="1635"/>
      <c r="AR50" s="1635"/>
      <c r="AS50" s="1642">
        <v>1</v>
      </c>
    </row>
    <row customHeight="1" ht="11.549999999999999">
      <c r="A51" s="1278" t="s">
        <v>226</v>
      </c>
      <c r="B51" s="1278" t="s">
        <v>227</v>
      </c>
      <c r="C51" s="1278" t="s">
        <v>228</v>
      </c>
      <c r="D51" s="1278" t="s">
        <v>229</v>
      </c>
      <c r="E51" s="2320"/>
      <c r="F51" s="2320"/>
      <c r="G51" s="2320"/>
      <c r="H51" s="2320"/>
      <c r="I51" s="2131"/>
      <c r="J51" s="2157"/>
      <c r="K51" s="1278"/>
      <c r="L51" s="1321"/>
      <c r="P51" s="2287"/>
      <c r="Q51" s="2287"/>
      <c r="R51" s="367"/>
      <c r="S51" s="1289"/>
      <c r="T51" s="299" t="s">
        <v>425</v>
      </c>
      <c r="U51" s="611"/>
      <c r="V51" s="611"/>
      <c r="W51" s="611"/>
      <c r="X51" s="611"/>
      <c r="Y51" s="611"/>
      <c r="Z51" s="611"/>
      <c r="AA51" s="611"/>
      <c r="AB51" s="611"/>
      <c r="AC51" s="611"/>
      <c r="AD51" s="611"/>
      <c r="AE51" s="611"/>
      <c r="AF51" s="611"/>
      <c r="AG51" s="611"/>
      <c r="AH51" s="611"/>
      <c r="AI51" s="611"/>
      <c r="AJ51" s="611"/>
      <c r="AK51" s="611"/>
      <c r="AL51" s="335"/>
      <c r="AM51" s="2285"/>
      <c r="AO51" s="1635"/>
      <c r="AP51" s="1635" t="str">
        <f>IF(T51="","",T51)</f>
        <v>Добавить вид теплоносителя (параметры теплоносителя)</v>
      </c>
      <c r="AQ51" s="1635"/>
      <c r="AR51" s="1635"/>
      <c r="AS51" s="1642">
        <v>11</v>
      </c>
    </row>
    <row customHeight="1" ht="11.549999999999999">
      <c r="A52" s="1278" t="s">
        <v>226</v>
      </c>
      <c r="B52" s="1278" t="s">
        <v>227</v>
      </c>
      <c r="C52" s="1278" t="s">
        <v>228</v>
      </c>
      <c r="D52" s="1278" t="s">
        <v>229</v>
      </c>
      <c r="E52" s="2320"/>
      <c r="F52" s="2320"/>
      <c r="G52" s="2320"/>
      <c r="H52" s="2320"/>
      <c r="I52" s="2157"/>
      <c r="J52" s="1278"/>
      <c r="K52" s="1278"/>
      <c r="L52" s="1321"/>
      <c r="P52" s="2287"/>
      <c r="Q52" s="1962"/>
      <c r="R52" s="367"/>
      <c r="S52" s="1289"/>
      <c r="T52" s="298" t="s">
        <v>426</v>
      </c>
      <c r="U52" s="611"/>
      <c r="V52" s="611"/>
      <c r="W52" s="611"/>
      <c r="X52" s="611"/>
      <c r="Y52" s="611"/>
      <c r="Z52" s="611"/>
      <c r="AA52" s="611"/>
      <c r="AB52" s="611"/>
      <c r="AC52" s="377"/>
      <c r="AD52" s="611"/>
      <c r="AE52" s="611"/>
      <c r="AF52" s="611"/>
      <c r="AG52" s="611"/>
      <c r="AH52" s="611"/>
      <c r="AI52" s="611"/>
      <c r="AJ52" s="611"/>
      <c r="AK52" s="377"/>
      <c r="AL52" s="611"/>
      <c r="AM52" s="314"/>
      <c r="AO52" s="1635"/>
      <c r="AP52" s="1635" t="str">
        <f>IF(T52="","",T52)</f>
        <v>Добавить группу потребителей</v>
      </c>
      <c r="AQ52" s="1635"/>
      <c r="AR52" s="1635"/>
      <c r="AS52" s="1642">
        <v>11</v>
      </c>
    </row>
    <row customHeight="1" ht="14.699999999999998">
      <c r="A53" s="1278" t="s">
        <v>226</v>
      </c>
      <c r="B53" s="1278" t="s">
        <v>227</v>
      </c>
      <c r="C53" s="1278" t="s">
        <v>228</v>
      </c>
      <c r="D53" s="1278" t="s">
        <v>229</v>
      </c>
      <c r="E53" s="2320"/>
      <c r="F53" s="2320"/>
      <c r="G53" s="2320"/>
      <c r="H53" s="2319"/>
      <c r="I53" s="1278"/>
      <c r="J53" s="1278"/>
      <c r="K53" s="1278"/>
      <c r="L53" s="1321"/>
      <c r="M53" s="1621"/>
      <c r="N53" s="1621"/>
      <c r="O53" s="1646"/>
      <c r="P53" s="371"/>
      <c r="Q53" s="386"/>
      <c r="R53" s="366"/>
      <c r="S53" s="1289"/>
      <c r="T53" s="376" t="s">
        <v>427</v>
      </c>
      <c r="U53" s="611"/>
      <c r="V53" s="611"/>
      <c r="W53" s="611"/>
      <c r="X53" s="611"/>
      <c r="Y53" s="611"/>
      <c r="Z53" s="611"/>
      <c r="AA53" s="611"/>
      <c r="AB53" s="611"/>
      <c r="AC53" s="377"/>
      <c r="AD53" s="611"/>
      <c r="AE53" s="611"/>
      <c r="AF53" s="611"/>
      <c r="AG53" s="611"/>
      <c r="AH53" s="611"/>
      <c r="AI53" s="611"/>
      <c r="AJ53" s="611"/>
      <c r="AK53" s="377"/>
      <c r="AL53" s="611"/>
      <c r="AM53" s="314"/>
      <c r="AO53" s="1635"/>
      <c r="AP53" s="1635" t="str">
        <f>IF(T53="","",T53)</f>
        <v>Добавить схему подключения</v>
      </c>
      <c r="AQ53" s="1635"/>
      <c r="AR53" s="1635"/>
      <c r="AS53" s="1642">
        <v>14</v>
      </c>
    </row>
    <row s="1653" customFormat="1" customHeight="1" ht="4.2">
      <c r="A54" s="1386" t="s">
        <v>226</v>
      </c>
      <c r="B54" s="1386" t="s">
        <v>227</v>
      </c>
      <c r="C54" s="1386" t="s">
        <v>228</v>
      </c>
      <c r="D54" s="1385"/>
      <c r="E54" s="2320"/>
      <c r="F54" s="2320"/>
      <c r="G54" s="2319"/>
      <c r="H54" s="1385"/>
      <c r="I54" s="1385"/>
      <c r="J54" s="1385"/>
      <c r="K54" s="1385"/>
      <c r="L54" s="1388"/>
      <c r="M54" s="1389"/>
      <c r="N54" s="1389"/>
      <c r="O54" s="362"/>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1262"/>
      <c r="AP54" s="1262" t="str">
        <f>IF(T54="","",T54)</f>
        <v>Добавить источник для дифференциации</v>
      </c>
      <c r="AQ54" s="1262"/>
      <c r="AR54" s="1262"/>
      <c r="AS54" s="1653">
        <v>4</v>
      </c>
    </row>
    <row s="1653" customFormat="1" customHeight="1" ht="4.2">
      <c r="A55" s="1386" t="s">
        <v>226</v>
      </c>
      <c r="B55" s="1386" t="s">
        <v>227</v>
      </c>
      <c r="C55" s="1385"/>
      <c r="D55" s="1385"/>
      <c r="E55" s="2320"/>
      <c r="F55" s="2319"/>
      <c r="G55" s="1385"/>
      <c r="H55" s="1385"/>
      <c r="I55" s="1385"/>
      <c r="J55" s="1385"/>
      <c r="K55" s="1385"/>
      <c r="L55" s="1388"/>
      <c r="M55" s="1390"/>
      <c r="N55" s="1390"/>
      <c r="O55" s="36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1262"/>
      <c r="AP55" s="1262" t="str">
        <f>IF(T55="","",T55)</f>
        <v>Добавить централизованную систему для дифференциации</v>
      </c>
      <c r="AQ55" s="1262"/>
      <c r="AR55" s="1262"/>
      <c r="AS55" s="1653">
        <v>4</v>
      </c>
    </row>
    <row s="1653" customFormat="1" customHeight="1" ht="4.2">
      <c r="A56" s="1386" t="s">
        <v>226</v>
      </c>
      <c r="B56" s="1386"/>
      <c r="C56" s="1386"/>
      <c r="D56" s="1386"/>
      <c r="E56" s="2319"/>
      <c r="F56" s="1386"/>
      <c r="G56" s="1386"/>
      <c r="H56" s="1386"/>
      <c r="I56" s="1386"/>
      <c r="J56" s="1386"/>
      <c r="K56" s="1386"/>
      <c r="L56" s="1392"/>
      <c r="M56" s="1390"/>
      <c r="N56" s="1390"/>
      <c r="O56" s="362"/>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1635"/>
      <c r="AP56" s="1635" t="str">
        <f>IF(T56="","",T56)</f>
        <v>Добавить территорию для дифференциации</v>
      </c>
      <c r="AQ56" s="1635"/>
      <c r="AR56" s="1635"/>
      <c r="AS56" s="1647">
        <v>4</v>
      </c>
    </row>
    <row s="1653" customFormat="1" customHeight="1" ht="4.2">
      <c r="A57" s="1385"/>
      <c r="B57" s="1385"/>
      <c r="C57" s="1385"/>
      <c r="D57" s="1385"/>
      <c r="E57" s="1386"/>
      <c r="F57" s="1385"/>
      <c r="G57" s="1385"/>
      <c r="H57" s="1385"/>
      <c r="I57" s="1385"/>
      <c r="J57" s="1385"/>
      <c r="K57" s="1385"/>
      <c r="L57" s="1388"/>
      <c r="M57" s="1390"/>
      <c r="N57" s="1390"/>
      <c r="O57" s="36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1262"/>
      <c r="AP57" s="1262" t="str">
        <f>IF(T57="","",T57)</f>
        <v>Добавить наименование тарифа</v>
      </c>
      <c r="AQ57" s="1262"/>
      <c r="AR57" s="1262"/>
      <c r="AS57" s="1653">
        <v>4</v>
      </c>
    </row>
    <row customHeight="1" ht="11.549999999999999">
      <c r="M58" s="1642"/>
      <c r="N58" s="1642"/>
      <c r="O58" s="1646"/>
      <c r="P58" s="1642"/>
      <c r="Q58" s="1642"/>
      <c r="R58" s="1642"/>
      <c r="S58" s="1642"/>
      <c r="AN58" s="1642"/>
      <c r="AO58" s="1642"/>
      <c r="AP58" s="1642"/>
      <c r="AQ58" s="1642"/>
      <c r="AR58" s="1642"/>
      <c r="AS58" s="1642">
        <v>11</v>
      </c>
    </row>
    <row customHeight="1" ht="28.5">
      <c r="O59" s="1646"/>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642">
        <v>27</v>
      </c>
    </row>
    <row customHeight="1" ht="65.25">
      <c r="O60" s="1646"/>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642">
        <v>62</v>
      </c>
    </row>
    <row customHeight="1" ht="14.699999999999998">
      <c r="O61" s="1646"/>
      <c r="AS61" s="1642">
        <v>14</v>
      </c>
    </row>
    <row customHeight="1" ht="18.75">
      <c r="O62" s="1646"/>
      <c r="S62" s="1264"/>
      <c r="T62" s="2315"/>
      <c r="U62" s="2315"/>
      <c r="V62" s="2315"/>
      <c r="W62" s="2315"/>
      <c r="X62" s="2315"/>
      <c r="Y62" s="2315"/>
      <c r="Z62" s="2315"/>
      <c r="AA62" s="2315"/>
      <c r="AB62" s="2315"/>
      <c r="AC62" s="2315"/>
      <c r="AD62" s="2315"/>
      <c r="AE62" s="2315"/>
      <c r="AF62" s="2315"/>
      <c r="AG62" s="2315"/>
      <c r="AH62" s="2315"/>
      <c r="AI62" s="2315"/>
      <c r="AJ62" s="2315"/>
      <c r="AK62" s="2315"/>
      <c r="AL62" s="2315"/>
      <c r="AM62" s="2315"/>
      <c r="AS62" s="1642">
        <v>18</v>
      </c>
    </row>
    <row customHeight="1" ht="18.75">
      <c r="O63" s="1646"/>
      <c r="T63" s="2315"/>
      <c r="U63" s="2315"/>
      <c r="V63" s="2315"/>
      <c r="W63" s="2315"/>
      <c r="X63" s="2315"/>
      <c r="Y63" s="2315"/>
      <c r="Z63" s="2315"/>
      <c r="AA63" s="2315"/>
      <c r="AB63" s="2315"/>
      <c r="AC63" s="2315"/>
      <c r="AD63" s="2315"/>
      <c r="AE63" s="2315"/>
      <c r="AF63" s="2315"/>
      <c r="AG63" s="2315"/>
      <c r="AH63" s="2315"/>
      <c r="AI63" s="2315"/>
      <c r="AJ63" s="2315"/>
      <c r="AK63" s="2315"/>
      <c r="AL63" s="2315"/>
      <c r="AM63" s="2315"/>
      <c r="AS63" s="1642">
        <v>18</v>
      </c>
    </row>
    <row customHeight="1" ht="29.25">
      <c r="O64" s="1646"/>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642">
        <v>28</v>
      </c>
    </row>
    <row customHeight="1" ht="22.5" hidden="1">
      <c r="A65" s="1642" t="s">
        <v>83</v>
      </c>
      <c r="B65" s="1642">
        <v>0</v>
      </c>
      <c r="C65" s="1642">
        <v>0</v>
      </c>
      <c r="D65" s="1642">
        <v>0</v>
      </c>
      <c r="E65" s="1642">
        <v>0</v>
      </c>
      <c r="F65" s="1642">
        <v>0</v>
      </c>
      <c r="G65" s="1642">
        <v>0</v>
      </c>
      <c r="H65" s="1642">
        <v>0</v>
      </c>
      <c r="I65" s="1642">
        <v>0</v>
      </c>
      <c r="J65" s="1642">
        <v>0</v>
      </c>
      <c r="K65" s="1642">
        <v>0</v>
      </c>
      <c r="L65" s="1947">
        <v>0</v>
      </c>
      <c r="M65" s="1973">
        <v>0</v>
      </c>
      <c r="N65" s="1973">
        <v>0</v>
      </c>
      <c r="O65" s="1973">
        <v>0</v>
      </c>
      <c r="P65" s="1973">
        <v>3</v>
      </c>
      <c r="Q65" s="355">
        <v>3</v>
      </c>
      <c r="R65" s="355">
        <v>3</v>
      </c>
      <c r="S65" s="592">
        <v>12</v>
      </c>
      <c r="T65" s="1642">
        <v>31</v>
      </c>
      <c r="U65" s="1642">
        <v>0</v>
      </c>
      <c r="V65" s="1642">
        <v>0</v>
      </c>
      <c r="W65" s="1642">
        <v>0</v>
      </c>
      <c r="X65" s="1642">
        <v>0</v>
      </c>
      <c r="Y65" s="1642">
        <v>0</v>
      </c>
      <c r="Z65" s="1642">
        <v>0</v>
      </c>
      <c r="AA65" s="1642">
        <v>0</v>
      </c>
      <c r="AB65" s="1642">
        <v>0</v>
      </c>
      <c r="AC65" s="1642">
        <v>0</v>
      </c>
      <c r="AD65" s="1642">
        <v>24</v>
      </c>
      <c r="AE65" s="1642">
        <v>0</v>
      </c>
      <c r="AF65" s="1642">
        <v>24</v>
      </c>
      <c r="AG65" s="1642">
        <v>24</v>
      </c>
      <c r="AH65" s="1642">
        <v>11</v>
      </c>
      <c r="AI65" s="1642">
        <v>3</v>
      </c>
      <c r="AJ65" s="1642">
        <v>11</v>
      </c>
      <c r="AK65" s="1642">
        <v>0</v>
      </c>
      <c r="AL65" s="1642">
        <v>4</v>
      </c>
      <c r="AM65" s="1642">
        <v>115</v>
      </c>
      <c r="AN65" s="1647">
        <v>10</v>
      </c>
      <c r="AO65" s="1647">
        <v>10</v>
      </c>
      <c r="AP65" s="1647">
        <v>10</v>
      </c>
      <c r="AQ65" s="1647">
        <v>10</v>
      </c>
      <c r="AR65" s="1647">
        <v>10</v>
      </c>
      <c r="AS65" s="16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76E01-9948-53F8-69C8-8EDEE47477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1" style="1646" width="11.421875" hidden="1" customWidth="1"/>
    <col min="12" max="12" style="2155" width="19.140625" hidden="1" customWidth="1"/>
    <col min="13" max="14" style="2427" width="12.28125" hidden="1" customWidth="1"/>
    <col min="15" max="15" style="2427" width="23.421875" hidden="1" customWidth="1"/>
    <col min="16" max="16" style="2427" width="3.00390625"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S1" s="1642" t="s">
        <v>14</v>
      </c>
    </row>
    <row customHeight="1" ht="21" hidden="1">
      <c r="A2" s="1278"/>
      <c r="B2" s="1278"/>
      <c r="C2" s="1278"/>
      <c r="D2" s="1278"/>
      <c r="E2" s="2319">
        <v>1</v>
      </c>
      <c r="F2" s="1278"/>
      <c r="G2" s="1278"/>
      <c r="H2" s="1278"/>
      <c r="I2" s="1278"/>
      <c r="J2" s="1278"/>
      <c r="K2" s="1278"/>
      <c r="L2" s="1321"/>
      <c r="M2" s="1621"/>
      <c r="N2" s="1621"/>
      <c r="O2" s="1621"/>
      <c r="P2" s="1601"/>
      <c r="Q2" s="371"/>
      <c r="R2" s="366"/>
      <c r="S2" s="1966">
        <f>INDEX(PT_DIFFERENTIATION_NUM_NTAR,MATCH(A2,PT_DIFFERENTIATION_NTAR_ID,0))</f>
      </c>
      <c r="T2" s="1536"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1635"/>
      <c r="AP2" s="1635" t="str">
        <f>IF(T2="","",T2)</f>
        <v>Наименование тарифа</v>
      </c>
      <c r="AQ2" s="1635"/>
      <c r="AR2" s="1635"/>
      <c r="AS2" s="1642">
        <v>0</v>
      </c>
    </row>
    <row customHeight="1" ht="21" hidden="1">
      <c r="A3" s="1278"/>
      <c r="B3" s="1278"/>
      <c r="C3" s="1278"/>
      <c r="D3" s="1278"/>
      <c r="E3" s="2320"/>
      <c r="F3" s="2319">
        <v>1</v>
      </c>
      <c r="G3" s="1278"/>
      <c r="H3" s="1278"/>
      <c r="I3" s="1278"/>
      <c r="J3" s="1278"/>
      <c r="K3" s="1278"/>
      <c r="L3" s="1321"/>
      <c r="M3" s="1621"/>
      <c r="N3" s="1621"/>
      <c r="O3" s="1621"/>
      <c r="P3" s="1948"/>
      <c r="Q3" s="363"/>
      <c r="R3" s="364"/>
      <c r="S3" s="1966">
        <f>INDEX(PT_DIFFERENTIATION_NUM_TER,MATCH(B3,PT_DIFFERENTIATION_TER_ID,0))</f>
      </c>
      <c r="T3" s="1533"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1635"/>
      <c r="AP3" s="1635" t="str">
        <f>IF(T3="","",T3)</f>
        <v>Территория действия тарифа</v>
      </c>
      <c r="AQ3" s="1635"/>
      <c r="AR3" s="1635"/>
      <c r="AS3" s="1642">
        <v>0</v>
      </c>
    </row>
    <row customHeight="1" ht="23.25" hidden="1">
      <c r="A4" s="1278"/>
      <c r="B4" s="1278"/>
      <c r="C4" s="1278"/>
      <c r="D4" s="1278"/>
      <c r="E4" s="2320"/>
      <c r="F4" s="2320"/>
      <c r="G4" s="2319">
        <v>1</v>
      </c>
      <c r="H4" s="1278"/>
      <c r="I4" s="1278"/>
      <c r="J4" s="1278"/>
      <c r="K4" s="1278"/>
      <c r="L4" s="1321"/>
      <c r="M4" s="1621"/>
      <c r="N4" s="1621"/>
      <c r="O4" s="1621"/>
      <c r="P4" s="365"/>
      <c r="Q4" s="363"/>
      <c r="R4" s="364"/>
      <c r="S4" s="1966">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1635"/>
      <c r="AP4" s="1635" t="str">
        <f>IF(T4="","",T4)</f>
        <v>Наименование системы теплоснабжения </v>
      </c>
      <c r="AQ4" s="1635"/>
      <c r="AR4" s="1635"/>
      <c r="AS4" s="1642">
        <v>0</v>
      </c>
    </row>
    <row customHeight="1" ht="21" hidden="1">
      <c r="A5" s="1278"/>
      <c r="B5" s="1278"/>
      <c r="C5" s="1278"/>
      <c r="D5" s="1278"/>
      <c r="E5" s="2320"/>
      <c r="F5" s="2320"/>
      <c r="G5" s="2320"/>
      <c r="H5" s="2319">
        <v>1</v>
      </c>
      <c r="I5" s="1278"/>
      <c r="J5" s="1278"/>
      <c r="K5" s="1278"/>
      <c r="L5" s="1321"/>
      <c r="M5" s="1621"/>
      <c r="N5" s="1621"/>
      <c r="O5" s="1621"/>
      <c r="P5" s="365"/>
      <c r="Q5" s="363"/>
      <c r="R5" s="364"/>
      <c r="S5" s="1966">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1635"/>
      <c r="AP5" s="1635" t="str">
        <f>IF(T5="","",T5)</f>
        <v>Источник тепловой энергии  </v>
      </c>
      <c r="AQ5" s="1635"/>
      <c r="AR5" s="1635"/>
      <c r="AS5" s="1642">
        <v>0</v>
      </c>
    </row>
    <row customHeight="1" ht="47.25" hidden="1">
      <c r="A6" s="1278"/>
      <c r="B6" s="1278"/>
      <c r="C6" s="1278"/>
      <c r="D6" s="1278"/>
      <c r="E6" s="2320"/>
      <c r="F6" s="2320"/>
      <c r="G6" s="2320"/>
      <c r="H6" s="2320"/>
      <c r="I6" s="2157">
        <f>S5&amp;".1"</f>
      </c>
      <c r="J6" s="1278"/>
      <c r="K6" s="1278"/>
      <c r="L6" s="1321" t="s">
        <v>417</v>
      </c>
      <c r="M6" s="1646"/>
      <c r="P6" s="2287">
        <v>1</v>
      </c>
      <c r="Q6" s="1962"/>
      <c r="R6" s="367"/>
      <c r="S6" s="1966">
        <f>$I6</f>
      </c>
      <c r="T6" s="296" t="s">
        <v>418</v>
      </c>
      <c r="U6" s="311"/>
      <c r="V6" s="2275"/>
      <c r="W6" s="2276"/>
      <c r="X6" s="2276"/>
      <c r="Y6" s="2276"/>
      <c r="Z6" s="2276"/>
      <c r="AA6" s="2276"/>
      <c r="AB6" s="2276"/>
      <c r="AC6" s="2277"/>
      <c r="AD6" s="2275"/>
      <c r="AE6" s="2276"/>
      <c r="AF6" s="2276"/>
      <c r="AG6" s="2276"/>
      <c r="AH6" s="2276"/>
      <c r="AI6" s="2276"/>
      <c r="AJ6" s="2276"/>
      <c r="AK6" s="2276"/>
      <c r="AL6" s="2277"/>
      <c r="AM6" s="1269" t="s">
        <v>419</v>
      </c>
      <c r="AO6" s="1635"/>
      <c r="AP6" s="1635" t="str">
        <f>IF(T6="","",T6)</f>
        <v>Схема подключения теплопотребляющей установки к коллектору источника тепловой энергии</v>
      </c>
      <c r="AQ6" s="1635"/>
      <c r="AR6" s="1635"/>
      <c r="AS6" s="1642">
        <v>0</v>
      </c>
    </row>
    <row customHeight="1" ht="21" hidden="1">
      <c r="A7" s="1278"/>
      <c r="B7" s="1278"/>
      <c r="C7" s="1278"/>
      <c r="D7" s="1278"/>
      <c r="E7" s="2320"/>
      <c r="F7" s="2320"/>
      <c r="G7" s="2320"/>
      <c r="H7" s="2320"/>
      <c r="I7" s="2131"/>
      <c r="J7" s="2157">
        <f>I6&amp;".1"</f>
      </c>
      <c r="K7" s="1278"/>
      <c r="L7" s="1321" t="s">
        <v>420</v>
      </c>
      <c r="M7" s="1646"/>
      <c r="N7" s="1642"/>
      <c r="P7" s="2287"/>
      <c r="Q7" s="2287">
        <v>1</v>
      </c>
      <c r="R7" s="368"/>
      <c r="S7" s="1966">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1635"/>
      <c r="AP7" s="1635" t="str">
        <f>IF(T7="","",T7)</f>
        <v>Группа потребителей</v>
      </c>
      <c r="AQ7" s="1635"/>
      <c r="AR7" s="1635"/>
      <c r="AS7" s="1642">
        <v>0</v>
      </c>
    </row>
    <row customHeight="1" ht="21" hidden="1">
      <c r="A8" s="1278"/>
      <c r="B8" s="1278"/>
      <c r="C8" s="1278"/>
      <c r="D8" s="1278"/>
      <c r="E8" s="2320"/>
      <c r="F8" s="2320"/>
      <c r="G8" s="2320"/>
      <c r="H8" s="2320"/>
      <c r="I8" s="2131"/>
      <c r="J8" s="2131"/>
      <c r="K8" s="2157">
        <f>J7&amp;".1"</f>
      </c>
      <c r="L8" s="1321" t="s">
        <v>423</v>
      </c>
      <c r="M8" s="1646"/>
      <c r="N8" s="1642"/>
      <c r="O8" s="1642"/>
      <c r="P8" s="2287"/>
      <c r="Q8" s="2287"/>
      <c r="R8" s="368">
        <v>1</v>
      </c>
      <c r="S8" s="1966">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1647">
        <f>STRCHECKDATE(V9:AL9)</f>
      </c>
      <c r="AO8" s="1635"/>
      <c r="AP8" s="1635" t="str">
        <f>IF(T8="","",T8)</f>
        <v/>
      </c>
      <c r="AQ8" s="1635"/>
      <c r="AR8" s="1635"/>
      <c r="AS8" s="1642">
        <v>0</v>
      </c>
    </row>
    <row customHeight="1" ht="0.75" hidden="1">
      <c r="A9" s="1278"/>
      <c r="B9" s="1278"/>
      <c r="C9" s="1278"/>
      <c r="D9" s="1278"/>
      <c r="E9" s="2320"/>
      <c r="F9" s="2320"/>
      <c r="G9" s="2320"/>
      <c r="H9" s="2320"/>
      <c r="I9" s="2131"/>
      <c r="J9" s="2131"/>
      <c r="K9" s="2157"/>
      <c r="L9" s="1321"/>
      <c r="M9" s="1646"/>
      <c r="N9" s="1642"/>
      <c r="O9" s="1642"/>
      <c r="P9" s="2287"/>
      <c r="Q9" s="2287"/>
      <c r="R9" s="368"/>
      <c r="S9" s="1975"/>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1635"/>
      <c r="AP9" s="1635" t="str">
        <f>IF(T9="","",T9)</f>
        <v/>
      </c>
      <c r="AQ9" s="1635"/>
      <c r="AR9" s="1635"/>
      <c r="AS9" s="1642">
        <v>0</v>
      </c>
    </row>
    <row customHeight="1" ht="15" hidden="1">
      <c r="A10" s="1278"/>
      <c r="B10" s="1278"/>
      <c r="C10" s="1278"/>
      <c r="D10" s="1278"/>
      <c r="E10" s="2320"/>
      <c r="F10" s="2320"/>
      <c r="G10" s="2320"/>
      <c r="H10" s="2320"/>
      <c r="I10" s="2131"/>
      <c r="J10" s="2157"/>
      <c r="K10" s="1278"/>
      <c r="L10" s="1321"/>
      <c r="M10" s="1646"/>
      <c r="N10" s="1642"/>
      <c r="P10" s="2287"/>
      <c r="Q10" s="2287"/>
      <c r="R10" s="367"/>
      <c r="S10" s="1289"/>
      <c r="T10" s="299" t="s">
        <v>425</v>
      </c>
      <c r="U10" s="611"/>
      <c r="V10" s="611"/>
      <c r="W10" s="611"/>
      <c r="X10" s="611"/>
      <c r="Y10" s="611"/>
      <c r="Z10" s="611"/>
      <c r="AA10" s="611"/>
      <c r="AB10" s="611"/>
      <c r="AC10" s="611"/>
      <c r="AD10" s="611"/>
      <c r="AE10" s="611"/>
      <c r="AF10" s="611"/>
      <c r="AG10" s="611"/>
      <c r="AH10" s="611"/>
      <c r="AI10" s="611"/>
      <c r="AJ10" s="611"/>
      <c r="AK10" s="611"/>
      <c r="AL10" s="335"/>
      <c r="AM10" s="2285"/>
      <c r="AO10" s="1635"/>
      <c r="AP10" s="1635" t="str">
        <f>IF(T10="","",T10)</f>
        <v>Добавить вид теплоносителя (параметры теплоносителя)</v>
      </c>
      <c r="AQ10" s="1635"/>
      <c r="AR10" s="1635"/>
      <c r="AS10" s="1642">
        <v>0</v>
      </c>
    </row>
    <row customHeight="1" ht="15" hidden="1">
      <c r="A11" s="1278"/>
      <c r="B11" s="1278"/>
      <c r="C11" s="1278"/>
      <c r="D11" s="1278"/>
      <c r="E11" s="2320"/>
      <c r="F11" s="2320"/>
      <c r="G11" s="2320"/>
      <c r="H11" s="2320"/>
      <c r="I11" s="2157"/>
      <c r="J11" s="1278"/>
      <c r="K11" s="1278"/>
      <c r="L11" s="1321"/>
      <c r="M11" s="1646"/>
      <c r="P11" s="2287"/>
      <c r="Q11" s="1962"/>
      <c r="R11" s="367"/>
      <c r="S11" s="1289"/>
      <c r="T11" s="298" t="s">
        <v>426</v>
      </c>
      <c r="U11" s="611"/>
      <c r="V11" s="611"/>
      <c r="W11" s="611"/>
      <c r="X11" s="611"/>
      <c r="Y11" s="611"/>
      <c r="Z11" s="611"/>
      <c r="AA11" s="611"/>
      <c r="AB11" s="611"/>
      <c r="AC11" s="377"/>
      <c r="AD11" s="611"/>
      <c r="AE11" s="611"/>
      <c r="AF11" s="611"/>
      <c r="AG11" s="611"/>
      <c r="AH11" s="611"/>
      <c r="AI11" s="611"/>
      <c r="AJ11" s="611"/>
      <c r="AK11" s="377"/>
      <c r="AL11" s="611"/>
      <c r="AM11" s="314"/>
      <c r="AO11" s="1635"/>
      <c r="AP11" s="1635" t="str">
        <f>IF(T11="","",T11)</f>
        <v>Добавить группу потребителей</v>
      </c>
      <c r="AQ11" s="1635"/>
      <c r="AR11" s="1635"/>
      <c r="AS11" s="1642">
        <v>0</v>
      </c>
    </row>
    <row customHeight="1" ht="14.25" hidden="1">
      <c r="A12" s="1278"/>
      <c r="B12" s="1278"/>
      <c r="C12" s="1278"/>
      <c r="D12" s="1278"/>
      <c r="E12" s="2320"/>
      <c r="F12" s="2320"/>
      <c r="G12" s="2320"/>
      <c r="H12" s="2319"/>
      <c r="I12" s="1278"/>
      <c r="J12" s="1278"/>
      <c r="K12" s="1278"/>
      <c r="L12" s="1321"/>
      <c r="M12" s="1621"/>
      <c r="N12" s="1621"/>
      <c r="O12" s="1646"/>
      <c r="P12" s="371"/>
      <c r="Q12" s="386"/>
      <c r="R12" s="366"/>
      <c r="S12" s="1289"/>
      <c r="T12" s="376" t="s">
        <v>427</v>
      </c>
      <c r="U12" s="611"/>
      <c r="V12" s="611"/>
      <c r="W12" s="611"/>
      <c r="X12" s="611"/>
      <c r="Y12" s="611"/>
      <c r="Z12" s="611"/>
      <c r="AA12" s="611"/>
      <c r="AB12" s="611"/>
      <c r="AC12" s="377"/>
      <c r="AD12" s="611"/>
      <c r="AE12" s="611"/>
      <c r="AF12" s="611"/>
      <c r="AG12" s="611"/>
      <c r="AH12" s="611"/>
      <c r="AI12" s="611"/>
      <c r="AJ12" s="611"/>
      <c r="AK12" s="377"/>
      <c r="AL12" s="611"/>
      <c r="AM12" s="314"/>
      <c r="AO12" s="1635"/>
      <c r="AP12" s="1635" t="str">
        <f>IF(T12="","",T12)</f>
        <v>Добавить схему подключения</v>
      </c>
      <c r="AQ12" s="1635"/>
      <c r="AR12" s="1635"/>
      <c r="AS12" s="1642">
        <v>0</v>
      </c>
    </row>
    <row s="1653" customFormat="1" customHeight="1" ht="0.75" hidden="1">
      <c r="A13" s="1982"/>
      <c r="B13" s="1982"/>
      <c r="C13" s="1982"/>
      <c r="D13" s="1982"/>
      <c r="E13" s="2320"/>
      <c r="F13" s="2320"/>
      <c r="G13" s="2319"/>
      <c r="H13" s="1982"/>
      <c r="I13" s="1982"/>
      <c r="J13" s="1982"/>
      <c r="K13" s="1982"/>
      <c r="L13" s="1391"/>
      <c r="M13" s="1621"/>
      <c r="N13" s="1621"/>
      <c r="O13" s="164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1262"/>
      <c r="AP13" s="1262" t="str">
        <f>IF(T13="","",T13)</f>
        <v>Добавить источник для дифференциации</v>
      </c>
      <c r="AQ13" s="1262"/>
      <c r="AR13" s="1262"/>
      <c r="AS13" s="1653">
        <v>0</v>
      </c>
    </row>
    <row s="1653" customFormat="1" customHeight="1" ht="0.75" hidden="1">
      <c r="A14" s="1982"/>
      <c r="B14" s="1982"/>
      <c r="C14" s="1982"/>
      <c r="D14" s="1982"/>
      <c r="E14" s="2320"/>
      <c r="F14" s="2319"/>
      <c r="G14" s="1982"/>
      <c r="H14" s="1982"/>
      <c r="I14" s="1982"/>
      <c r="J14" s="1982"/>
      <c r="K14" s="1982"/>
      <c r="L14" s="1391"/>
      <c r="M14" s="1983"/>
      <c r="N14" s="1983"/>
      <c r="O14" s="1646"/>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1262"/>
      <c r="AP14" s="1262" t="str">
        <f>IF(T14="","",T14)</f>
        <v>Добавить централизованную систему для дифференциации</v>
      </c>
      <c r="AQ14" s="1262"/>
      <c r="AR14" s="1262"/>
      <c r="AS14" s="1653">
        <v>0</v>
      </c>
    </row>
    <row s="1653" customFormat="1" customHeight="1" ht="0.75" hidden="1">
      <c r="A15" s="1982"/>
      <c r="B15" s="1982"/>
      <c r="C15" s="1982"/>
      <c r="D15" s="1982"/>
      <c r="E15" s="2319"/>
      <c r="F15" s="1982"/>
      <c r="G15" s="1982"/>
      <c r="H15" s="1982"/>
      <c r="I15" s="1982"/>
      <c r="J15" s="1982"/>
      <c r="K15" s="1982"/>
      <c r="L15" s="1391"/>
      <c r="M15" s="1983"/>
      <c r="N15" s="1983"/>
      <c r="O15" s="1646"/>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1262"/>
      <c r="AP15" s="1262" t="str">
        <f>IF(T15="","",T15)</f>
        <v>Добавить территорию для дифференциации</v>
      </c>
      <c r="AQ15" s="1262"/>
      <c r="AR15" s="1262"/>
      <c r="AS15" s="1653">
        <v>0</v>
      </c>
    </row>
    <row customHeight="1" ht="14.25" hidden="1">
      <c r="AS16" s="1642">
        <v>0</v>
      </c>
    </row>
    <row customHeight="1" ht="14.25" hidden="1">
      <c r="AD17" s="1371"/>
      <c r="AE17" s="1371"/>
      <c r="AF17" s="1371"/>
      <c r="AG17" s="1372"/>
      <c r="AH17" s="2297"/>
      <c r="AI17" s="2298" t="s">
        <v>63</v>
      </c>
      <c r="AJ17" s="2297"/>
      <c r="AK17" s="2298" t="s">
        <v>63</v>
      </c>
      <c r="AS17" s="1642">
        <v>0</v>
      </c>
    </row>
    <row customHeight="1" ht="14.25" hidden="1">
      <c r="AD18" s="1371"/>
      <c r="AE18" s="1371"/>
      <c r="AF18" s="1371"/>
      <c r="AG18" s="339" t="str">
        <f>AH17&amp;"-"&amp;AJ17</f>
        <v>-</v>
      </c>
      <c r="AH18" s="2298"/>
      <c r="AI18" s="2298"/>
      <c r="AJ18" s="2298"/>
      <c r="AK18" s="2298"/>
      <c r="AS18" s="1642">
        <v>0</v>
      </c>
    </row>
    <row customHeight="1" ht="14.25" hidden="1">
      <c r="AS19" s="1642">
        <v>0</v>
      </c>
    </row>
    <row s="1377" customFormat="1" customHeight="1" ht="22.5" hidden="1">
      <c r="A20" s="1642"/>
      <c r="B20" s="1642"/>
      <c r="C20" s="1642"/>
      <c r="D20" s="1642"/>
      <c r="E20" s="1642"/>
      <c r="F20" s="1642"/>
      <c r="G20" s="1642"/>
      <c r="H20" s="1642"/>
      <c r="I20" s="1642"/>
      <c r="J20" s="1642"/>
      <c r="K20" s="1642"/>
      <c r="L20" s="1947"/>
      <c r="M20" s="1973"/>
      <c r="N20" s="1973"/>
      <c r="O20" s="1356" t="s">
        <v>431</v>
      </c>
      <c r="P20" s="1373"/>
      <c r="Q20" s="1382"/>
      <c r="R20" s="1382"/>
      <c r="S20" s="740"/>
      <c r="Z20" s="1378"/>
      <c r="AB20" s="1378"/>
      <c r="AH20" s="1378"/>
      <c r="AJ20" s="1378"/>
      <c r="AN20" s="1647"/>
      <c r="AO20" s="1647"/>
      <c r="AP20" s="1647"/>
      <c r="AQ20" s="1647"/>
      <c r="AR20" s="1647"/>
      <c r="AS20" s="1377">
        <v>0</v>
      </c>
    </row>
    <row s="1377" customFormat="1" customHeight="1" ht="14.25" hidden="1">
      <c r="A21" s="1642"/>
      <c r="B21" s="1642"/>
      <c r="C21" s="1642"/>
      <c r="D21" s="1642"/>
      <c r="E21" s="1642"/>
      <c r="F21" s="1642"/>
      <c r="G21" s="1642"/>
      <c r="H21" s="1642"/>
      <c r="I21" s="1642"/>
      <c r="J21" s="1642"/>
      <c r="K21" s="1642"/>
      <c r="L21" s="1947"/>
      <c r="M21" s="1973"/>
      <c r="N21" s="1973"/>
      <c r="O21" s="1973"/>
      <c r="P21" s="1373"/>
      <c r="Q21" s="1382"/>
      <c r="R21" s="1382"/>
      <c r="S21" s="740"/>
      <c r="AN21" s="1647"/>
      <c r="AO21" s="1647"/>
      <c r="AP21" s="1647"/>
      <c r="AQ21" s="1647"/>
      <c r="AR21" s="1647"/>
      <c r="AS21" s="1377">
        <v>0</v>
      </c>
    </row>
    <row s="1377" customFormat="1" customHeight="1" ht="14.25" hidden="1">
      <c r="A22" s="1642"/>
      <c r="B22" s="1642"/>
      <c r="C22" s="1642"/>
      <c r="D22" s="1642"/>
      <c r="E22" s="1642"/>
      <c r="F22" s="1642"/>
      <c r="G22" s="1642"/>
      <c r="H22" s="1642"/>
      <c r="I22" s="1642"/>
      <c r="J22" s="1642"/>
      <c r="K22" s="1642"/>
      <c r="L22" s="1947"/>
      <c r="M22" s="1973"/>
      <c r="N22" s="1973"/>
      <c r="O22" s="1321" t="s">
        <v>432</v>
      </c>
      <c r="P22" s="1373"/>
      <c r="Q22" s="1382"/>
      <c r="R22" s="1382"/>
      <c r="S22" s="740"/>
      <c r="T22" s="1377" t="s">
        <v>433</v>
      </c>
      <c r="AA22" s="606" t="s">
        <v>434</v>
      </c>
      <c r="AC22" s="606" t="s">
        <v>435</v>
      </c>
      <c r="AD22" s="1377" t="s">
        <v>433</v>
      </c>
      <c r="AI22" s="606" t="s">
        <v>436</v>
      </c>
      <c r="AK22" s="606" t="s">
        <v>435</v>
      </c>
      <c r="AN22" s="1647"/>
      <c r="AO22" s="1647"/>
      <c r="AP22" s="1647"/>
      <c r="AQ22" s="1647"/>
      <c r="AR22" s="1647"/>
      <c r="AS22" s="1377">
        <v>0</v>
      </c>
    </row>
    <row customHeight="1" ht="14.25" hidden="1">
      <c r="O23" s="1321"/>
      <c r="AS23" s="1642">
        <v>0</v>
      </c>
    </row>
    <row customHeight="1" ht="14.25" hidden="1">
      <c r="O24" s="1321"/>
      <c r="AS24" s="1642">
        <v>0</v>
      </c>
    </row>
    <row customHeight="1" ht="14.699999999999998">
      <c r="Q25" s="387"/>
      <c r="R25" s="387"/>
      <c r="S25" s="1286"/>
      <c r="T25" s="468"/>
      <c r="U25" s="468"/>
      <c r="V25" s="1646"/>
      <c r="W25" s="1646"/>
      <c r="X25" s="1646"/>
      <c r="Y25" s="1646"/>
      <c r="Z25" s="1646"/>
      <c r="AA25" s="1646"/>
      <c r="AB25" s="1646"/>
      <c r="AC25" s="1646"/>
      <c r="AD25" s="1646"/>
      <c r="AE25" s="1646"/>
      <c r="AF25" s="1646"/>
      <c r="AG25" s="1646"/>
      <c r="AH25" s="1646"/>
      <c r="AI25" s="1646"/>
      <c r="AJ25" s="1646"/>
      <c r="AK25" s="1646"/>
      <c r="AS25" s="1642">
        <v>14</v>
      </c>
    </row>
    <row customHeight="1" ht="14.699999999999998">
      <c r="Q26" s="387"/>
      <c r="R26" s="387"/>
      <c r="S26" s="227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8"/>
      <c r="U26" s="2278"/>
      <c r="V26" s="2278"/>
      <c r="W26" s="2278"/>
      <c r="X26" s="2278"/>
      <c r="Y26" s="2278"/>
      <c r="Z26" s="2278"/>
      <c r="AA26" s="2278"/>
      <c r="AB26" s="2278"/>
      <c r="AC26" s="2278"/>
      <c r="AD26" s="2278"/>
      <c r="AE26" s="2278"/>
      <c r="AF26" s="2278"/>
      <c r="AG26" s="2278"/>
      <c r="AH26" s="2278"/>
      <c r="AI26" s="2278"/>
      <c r="AJ26" s="2278"/>
      <c r="AK26" s="1254"/>
      <c r="AS26" s="1642">
        <v>14</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642">
        <v>14</v>
      </c>
    </row>
    <row customHeight="1" ht="14.25" hidden="1">
      <c r="Q28" s="387"/>
      <c r="R28" s="387"/>
      <c r="S28" s="1286"/>
      <c r="T28" s="468"/>
      <c r="U28" s="468"/>
      <c r="V28" s="333"/>
      <c r="W28" s="333"/>
      <c r="X28" s="333"/>
      <c r="Y28" s="333"/>
      <c r="Z28" s="333"/>
      <c r="AA28" s="333"/>
      <c r="AB28" s="333"/>
      <c r="AC28" s="333"/>
      <c r="AD28" s="333"/>
      <c r="AE28" s="333"/>
      <c r="AF28" s="333"/>
      <c r="AG28" s="333"/>
      <c r="AH28" s="333"/>
      <c r="AI28" s="333"/>
      <c r="AJ28" s="333"/>
      <c r="AK28" s="333"/>
      <c r="AL28" s="1646"/>
      <c r="AS28" s="1642">
        <v>0</v>
      </c>
    </row>
    <row s="1861" customFormat="1" customHeight="1" ht="25.5" hidden="1">
      <c r="A29" s="1259"/>
      <c r="B29" s="1259"/>
      <c r="C29" s="1259"/>
      <c r="D29" s="1259"/>
      <c r="E29" s="1259"/>
      <c r="F29" s="1259"/>
      <c r="G29" s="1259"/>
      <c r="H29" s="1259"/>
      <c r="I29" s="1259"/>
      <c r="J29" s="1259"/>
      <c r="K29" s="1259"/>
      <c r="L29" s="1391"/>
      <c r="M29" s="1259"/>
      <c r="N29" s="1259"/>
      <c r="O29" s="125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1646"/>
      <c r="AD29" s="2281" t="str">
        <f>IF(TITLE_NAME_OR_PR_CHANGE="",IF(TITLE_NAME_OR_PR="","",TITLE_NAME_OR_PR),TITLE_NAME_OR_PR_CHANGE)</f>
        <v/>
      </c>
      <c r="AE29" s="2281"/>
      <c r="AF29" s="2281"/>
      <c r="AG29" s="2281"/>
      <c r="AH29" s="2281"/>
      <c r="AI29" s="2281"/>
      <c r="AJ29" s="2281"/>
      <c r="AK29" s="1646"/>
      <c r="AL29" s="1646"/>
      <c r="AM29" s="291"/>
      <c r="AN29" s="379"/>
      <c r="AO29" s="379"/>
      <c r="AP29" s="379"/>
      <c r="AQ29" s="379"/>
      <c r="AR29" s="379"/>
      <c r="AS29" s="429">
        <v>0</v>
      </c>
    </row>
    <row s="1861" customFormat="1" customHeight="1" ht="18.75" hidden="1">
      <c r="A30" s="1259"/>
      <c r="B30" s="1259"/>
      <c r="C30" s="1259"/>
      <c r="D30" s="1259"/>
      <c r="E30" s="1259"/>
      <c r="F30" s="1259"/>
      <c r="G30" s="1259"/>
      <c r="H30" s="1259"/>
      <c r="I30" s="1259"/>
      <c r="J30" s="1259"/>
      <c r="K30" s="1259"/>
      <c r="L30" s="1391"/>
      <c r="M30" s="1259"/>
      <c r="N30" s="1259"/>
      <c r="O30" s="125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1646"/>
      <c r="AD30" s="2294" t="str">
        <f>IF(TITLE_DATE_PR_CHANGE="",IF(TITLE_DATE_PR="","",TITLE_DATE_PR),TITLE_DATE_PR_CHANGE)</f>
        <v/>
      </c>
      <c r="AE30" s="2294"/>
      <c r="AF30" s="2294"/>
      <c r="AG30" s="2294"/>
      <c r="AH30" s="2294"/>
      <c r="AI30" s="2294"/>
      <c r="AJ30" s="2294"/>
      <c r="AK30" s="1646"/>
      <c r="AL30" s="1646"/>
      <c r="AM30" s="291"/>
      <c r="AN30" s="379"/>
      <c r="AO30" s="379"/>
      <c r="AP30" s="379"/>
      <c r="AQ30" s="379"/>
      <c r="AR30" s="379"/>
      <c r="AS30" s="429">
        <v>0</v>
      </c>
    </row>
    <row s="1861" customFormat="1" customHeight="1" ht="18.75" hidden="1">
      <c r="A31" s="1259"/>
      <c r="B31" s="1259"/>
      <c r="C31" s="1259"/>
      <c r="D31" s="1259"/>
      <c r="E31" s="1259"/>
      <c r="F31" s="1259"/>
      <c r="G31" s="1259"/>
      <c r="H31" s="1259"/>
      <c r="I31" s="1259"/>
      <c r="J31" s="1259"/>
      <c r="K31" s="1259"/>
      <c r="L31" s="1391"/>
      <c r="M31" s="1259"/>
      <c r="N31" s="1259"/>
      <c r="O31" s="125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1646"/>
      <c r="AD31" s="2281" t="str">
        <f>IF(TITLE_NUMBER_PR_CHANGE="",IF(TITLE_NUMBER_PR="","",TITLE_NUMBER_PR),TITLE_NUMBER_PR_CHANGE)</f>
        <v/>
      </c>
      <c r="AE31" s="2281"/>
      <c r="AF31" s="2281"/>
      <c r="AG31" s="2281"/>
      <c r="AH31" s="2281"/>
      <c r="AI31" s="2281"/>
      <c r="AJ31" s="2281"/>
      <c r="AK31" s="1646"/>
      <c r="AL31" s="1646"/>
      <c r="AM31" s="291"/>
      <c r="AN31" s="379"/>
      <c r="AO31" s="379"/>
      <c r="AP31" s="379"/>
      <c r="AQ31" s="379"/>
      <c r="AR31" s="379"/>
      <c r="AS31" s="429">
        <v>0</v>
      </c>
    </row>
    <row s="1861" customFormat="1" customHeight="1" ht="18.75" hidden="1">
      <c r="A32" s="1259"/>
      <c r="B32" s="1259"/>
      <c r="C32" s="1259"/>
      <c r="D32" s="1259"/>
      <c r="E32" s="1259"/>
      <c r="F32" s="1259"/>
      <c r="G32" s="1259"/>
      <c r="H32" s="1259"/>
      <c r="I32" s="1259"/>
      <c r="J32" s="1259"/>
      <c r="K32" s="1259"/>
      <c r="L32" s="1391"/>
      <c r="M32" s="1259"/>
      <c r="N32" s="1259"/>
      <c r="O32" s="1259"/>
      <c r="S32" s="2280" t="s">
        <v>43</v>
      </c>
      <c r="T32" s="2280"/>
      <c r="U32" s="1383"/>
      <c r="V32" s="2281" t="str">
        <f>IF(TITLE_IST_PUB_CHANGE="",IF(TITLE_IST_PUB="","",TITLE_IST_PUB),TITLE_IST_PUB_CHANGE)</f>
        <v/>
      </c>
      <c r="W32" s="2281"/>
      <c r="X32" s="2281"/>
      <c r="Y32" s="2281"/>
      <c r="Z32" s="2281"/>
      <c r="AA32" s="2281"/>
      <c r="AB32" s="2281"/>
      <c r="AC32" s="1646"/>
      <c r="AD32" s="2281" t="str">
        <f>IF(TITLE_IST_PUB_CHANGE="",IF(TITLE_IST_PUB="","",TITLE_IST_PUB),TITLE_IST_PUB_CHANGE)</f>
        <v/>
      </c>
      <c r="AE32" s="2281"/>
      <c r="AF32" s="2281"/>
      <c r="AG32" s="2281"/>
      <c r="AH32" s="2281"/>
      <c r="AI32" s="2281"/>
      <c r="AJ32" s="2281"/>
      <c r="AK32" s="1646"/>
      <c r="AL32" s="1646"/>
      <c r="AM32" s="291"/>
      <c r="AN32" s="379"/>
      <c r="AO32" s="379"/>
      <c r="AP32" s="379"/>
      <c r="AQ32" s="379"/>
      <c r="AR32" s="379"/>
      <c r="AS32" s="429">
        <v>0</v>
      </c>
    </row>
    <row customHeight="1" ht="14.25" hidden="1">
      <c r="Q33" s="387"/>
      <c r="R33" s="387"/>
      <c r="S33" s="1286"/>
      <c r="T33" s="468"/>
      <c r="U33" s="468"/>
      <c r="V33" s="333"/>
      <c r="W33" s="333"/>
      <c r="X33" s="333"/>
      <c r="Y33" s="333"/>
      <c r="Z33" s="333"/>
      <c r="AA33" s="333"/>
      <c r="AB33" s="333"/>
      <c r="AC33" s="333"/>
      <c r="AD33" s="333"/>
      <c r="AE33" s="333"/>
      <c r="AF33" s="333"/>
      <c r="AG33" s="333"/>
      <c r="AH33" s="333"/>
      <c r="AI33" s="333"/>
      <c r="AJ33" s="333"/>
      <c r="AK33" s="333"/>
      <c r="AL33" s="1646"/>
      <c r="AS33" s="1642">
        <v>0</v>
      </c>
    </row>
    <row s="1861" customFormat="1" customHeight="1" ht="18.75" hidden="1">
      <c r="A34" s="1259"/>
      <c r="B34" s="1259"/>
      <c r="C34" s="1259"/>
      <c r="D34" s="1259"/>
      <c r="E34" s="1259"/>
      <c r="F34" s="1259"/>
      <c r="G34" s="1259"/>
      <c r="H34" s="1259"/>
      <c r="I34" s="1259"/>
      <c r="J34" s="1259"/>
      <c r="K34" s="1259"/>
      <c r="L34" s="1391"/>
      <c r="M34" s="1259"/>
      <c r="N34" s="1259"/>
      <c r="O34" s="125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1646"/>
      <c r="AD34" s="2294" t="str">
        <f>IF(TITLE_DATE_PR_CHANGE="",IF(TITLE_DATE_PR="","",TITLE_DATE_PR),TITLE_DATE_PR_CHANGE)</f>
        <v/>
      </c>
      <c r="AE34" s="2294"/>
      <c r="AF34" s="2294"/>
      <c r="AG34" s="2294"/>
      <c r="AH34" s="2294"/>
      <c r="AI34" s="2294"/>
      <c r="AJ34" s="2294"/>
      <c r="AK34" s="1646"/>
      <c r="AL34" s="1646"/>
      <c r="AM34" s="291"/>
      <c r="AN34" s="379"/>
      <c r="AO34" s="379"/>
      <c r="AP34" s="379"/>
      <c r="AQ34" s="379"/>
      <c r="AR34" s="379"/>
      <c r="AS34" s="429">
        <v>0</v>
      </c>
    </row>
    <row s="1861" customFormat="1" customHeight="1" ht="18.75" hidden="1">
      <c r="A35" s="1259"/>
      <c r="B35" s="1259"/>
      <c r="C35" s="1259"/>
      <c r="D35" s="1259"/>
      <c r="E35" s="1259"/>
      <c r="F35" s="1259"/>
      <c r="G35" s="1259"/>
      <c r="H35" s="1259"/>
      <c r="I35" s="1259"/>
      <c r="J35" s="1259"/>
      <c r="K35" s="1259"/>
      <c r="L35" s="1391"/>
      <c r="M35" s="1259"/>
      <c r="N35" s="1259"/>
      <c r="O35" s="125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1646"/>
      <c r="AD35" s="2281" t="str">
        <f>IF(TITLE_NUMBER_PR_CHANGE="",IF(TITLE_NUMBER_PR="","",TITLE_NUMBER_PR),TITLE_NUMBER_PR_CHANGE)</f>
        <v/>
      </c>
      <c r="AE35" s="2281"/>
      <c r="AF35" s="2281"/>
      <c r="AG35" s="2281"/>
      <c r="AH35" s="2281"/>
      <c r="AI35" s="2281"/>
      <c r="AJ35" s="2281"/>
      <c r="AK35" s="1646"/>
      <c r="AL35" s="1646"/>
      <c r="AM35" s="291"/>
      <c r="AN35" s="379"/>
      <c r="AO35" s="379"/>
      <c r="AP35" s="379"/>
      <c r="AQ35" s="379"/>
      <c r="AR35" s="379"/>
      <c r="AS35" s="429">
        <v>0</v>
      </c>
    </row>
    <row s="1861" customFormat="1" customHeight="1" ht="0">
      <c r="A36" s="1259"/>
      <c r="B36" s="1259"/>
      <c r="C36" s="1259"/>
      <c r="D36" s="1259"/>
      <c r="E36" s="1259"/>
      <c r="F36" s="1259"/>
      <c r="G36" s="1259"/>
      <c r="H36" s="1259"/>
      <c r="I36" s="1259"/>
      <c r="J36" s="1259"/>
      <c r="K36" s="1259"/>
      <c r="L36" s="1391"/>
      <c r="M36" s="1259"/>
      <c r="N36" s="1259"/>
      <c r="O36" s="1259"/>
      <c r="S36" s="1646"/>
      <c r="T36" s="1646"/>
      <c r="U36" s="1978"/>
      <c r="V36" s="1646"/>
      <c r="W36" s="1646"/>
      <c r="X36" s="1646"/>
      <c r="Y36" s="1646"/>
      <c r="Z36" s="1646"/>
      <c r="AA36" s="1646"/>
      <c r="AB36" s="1646"/>
      <c r="AC36" s="1653" t="s">
        <v>437</v>
      </c>
      <c r="AD36" s="1646"/>
      <c r="AE36" s="1646"/>
      <c r="AF36" s="1646"/>
      <c r="AG36" s="1646"/>
      <c r="AH36" s="1646"/>
      <c r="AI36" s="1646"/>
      <c r="AJ36" s="1646"/>
      <c r="AK36" s="1653" t="s">
        <v>437</v>
      </c>
      <c r="AN36" s="379"/>
      <c r="AO36" s="379"/>
      <c r="AP36" s="379"/>
      <c r="AQ36" s="379"/>
      <c r="AR36" s="379"/>
      <c r="AS36" s="429">
        <v>0</v>
      </c>
    </row>
    <row customHeight="1" ht="14.699999999999998">
      <c r="Q37" s="387"/>
      <c r="R37" s="387"/>
      <c r="S37" s="1286"/>
      <c r="T37" s="468"/>
      <c r="U37" s="1255"/>
      <c r="V37" s="2282"/>
      <c r="W37" s="2282"/>
      <c r="X37" s="2282"/>
      <c r="Y37" s="2282"/>
      <c r="Z37" s="2282"/>
      <c r="AA37" s="2282"/>
      <c r="AB37" s="2282"/>
      <c r="AC37" s="2282"/>
      <c r="AD37" s="2282"/>
      <c r="AE37" s="2282"/>
      <c r="AF37" s="2282"/>
      <c r="AG37" s="2282"/>
      <c r="AH37" s="2282"/>
      <c r="AI37" s="2282"/>
      <c r="AJ37" s="2282"/>
      <c r="AK37" s="2282"/>
      <c r="AS37" s="1642">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642">
        <v>14</v>
      </c>
    </row>
    <row customHeight="1" ht="14.699999999999998">
      <c r="Q39" s="387"/>
      <c r="R39" s="387"/>
      <c r="S39" s="2303" t="s">
        <v>89</v>
      </c>
      <c r="T39" s="2239" t="s">
        <v>438</v>
      </c>
      <c r="U39" s="348"/>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642">
        <v>14</v>
      </c>
    </row>
    <row customHeight="1" ht="35.699999999999996">
      <c r="Q40" s="387"/>
      <c r="R40" s="387"/>
      <c r="S40" s="2303"/>
      <c r="T40" s="2239"/>
      <c r="U40" s="1042"/>
      <c r="V40" s="2290" t="s">
        <v>443</v>
      </c>
      <c r="W40" s="2313" t="s">
        <v>444</v>
      </c>
      <c r="X40" s="2292" t="s">
        <v>445</v>
      </c>
      <c r="Y40" s="2293"/>
      <c r="Z40" s="2292" t="s">
        <v>459</v>
      </c>
      <c r="AA40" s="2299"/>
      <c r="AB40" s="2293"/>
      <c r="AC40" s="2308"/>
      <c r="AD40" s="2290" t="s">
        <v>443</v>
      </c>
      <c r="AE40" s="2313" t="s">
        <v>444</v>
      </c>
      <c r="AF40" s="2292" t="s">
        <v>445</v>
      </c>
      <c r="AG40" s="2293"/>
      <c r="AH40" s="2292" t="s">
        <v>446</v>
      </c>
      <c r="AI40" s="2299"/>
      <c r="AJ40" s="2293"/>
      <c r="AK40" s="2308"/>
      <c r="AL40" s="2311"/>
      <c r="AM40" s="2157"/>
      <c r="AS40" s="1642">
        <v>34</v>
      </c>
    </row>
    <row customHeight="1" ht="35.699999999999996">
      <c r="A41" s="1277"/>
      <c r="B41" s="1277" t="s">
        <v>151</v>
      </c>
      <c r="C41" s="1277" t="s">
        <v>152</v>
      </c>
      <c r="D41" s="1277" t="s">
        <v>153</v>
      </c>
      <c r="E41" s="1321" t="s">
        <v>447</v>
      </c>
      <c r="F41" s="1321" t="s">
        <v>448</v>
      </c>
      <c r="G41" s="1321" t="s">
        <v>449</v>
      </c>
      <c r="H41" s="1321" t="s">
        <v>450</v>
      </c>
      <c r="I41" s="1321" t="s">
        <v>451</v>
      </c>
      <c r="J41" s="1321" t="s">
        <v>452</v>
      </c>
      <c r="K41" s="1321" t="s">
        <v>453</v>
      </c>
      <c r="L41" s="1321" t="s">
        <v>432</v>
      </c>
      <c r="Q41" s="387"/>
      <c r="R41" s="387"/>
      <c r="S41" s="2303"/>
      <c r="T41" s="2239"/>
      <c r="U41" s="313"/>
      <c r="V41" s="2291"/>
      <c r="W41" s="2314"/>
      <c r="X41" s="1946" t="s">
        <v>454</v>
      </c>
      <c r="Y41" s="1946" t="s">
        <v>455</v>
      </c>
      <c r="Z41" s="1946" t="s">
        <v>456</v>
      </c>
      <c r="AA41" s="2300" t="s">
        <v>457</v>
      </c>
      <c r="AB41" s="2301"/>
      <c r="AC41" s="2309"/>
      <c r="AD41" s="2291"/>
      <c r="AE41" s="2314"/>
      <c r="AF41" s="1946" t="s">
        <v>454</v>
      </c>
      <c r="AG41" s="1946" t="s">
        <v>455</v>
      </c>
      <c r="AH41" s="1946" t="s">
        <v>456</v>
      </c>
      <c r="AI41" s="2300" t="s">
        <v>457</v>
      </c>
      <c r="AJ41" s="2301"/>
      <c r="AK41" s="2309"/>
      <c r="AL41" s="2312"/>
      <c r="AM41" s="2157"/>
      <c r="AS41" s="1642">
        <v>34</v>
      </c>
    </row>
    <row s="1652" customFormat="1" customHeight="1" ht="11.25" hidden="1">
      <c r="A42" s="1277"/>
      <c r="B42" s="1277"/>
      <c r="C42" s="1277"/>
      <c r="D42" s="1277"/>
      <c r="E42" s="1277"/>
      <c r="F42" s="1277"/>
      <c r="G42" s="1277"/>
      <c r="H42" s="1277"/>
      <c r="I42" s="1277"/>
      <c r="J42" s="1277"/>
      <c r="K42" s="1277"/>
      <c r="L42" s="1321"/>
      <c r="M42" s="1973"/>
      <c r="N42" s="1973"/>
      <c r="O42" s="1973"/>
      <c r="P42" s="1257"/>
      <c r="Q42" s="1258"/>
      <c r="R42" s="1265">
        <v>1</v>
      </c>
      <c r="S42" s="1288" t="s">
        <v>120</v>
      </c>
      <c r="T42" s="1266" t="s">
        <v>104</v>
      </c>
      <c r="U42" s="1256" t="str">
        <f>OFFSET(U42,0,-1)</f>
        <v>2</v>
      </c>
      <c r="V42" s="1964">
        <f>OFFSET(V42,0,-1)+1</f>
        <v>3</v>
      </c>
      <c r="W42" s="1964"/>
      <c r="X42" s="1964">
        <f>OFFSET(X42,0,-1)+1</f>
        <v>1</v>
      </c>
      <c r="Y42" s="1964">
        <f>OFFSET(Y42,0,-1)+1</f>
        <v>2</v>
      </c>
      <c r="Z42" s="1964">
        <f>OFFSET(Z42,0,-1)+1</f>
        <v>3</v>
      </c>
      <c r="AA42" s="2302">
        <f>OFFSET(AA42,0,-1)+1</f>
        <v>4</v>
      </c>
      <c r="AB42" s="2302"/>
      <c r="AC42" s="1964">
        <f>OFFSET(AC42,0,-2)+1</f>
        <v>5</v>
      </c>
      <c r="AD42" s="1964">
        <f>OFFSET(AD42,0,-1)+1</f>
        <v>6</v>
      </c>
      <c r="AE42" s="1964"/>
      <c r="AF42" s="1964">
        <f>OFFSET(AF42,0,-1)+1</f>
        <v>1</v>
      </c>
      <c r="AG42" s="1964">
        <f>OFFSET(AG42,0,-1)+1</f>
        <v>2</v>
      </c>
      <c r="AH42" s="1964">
        <f>OFFSET(AH42,0,-1)+1</f>
        <v>3</v>
      </c>
      <c r="AI42" s="2302">
        <f>OFFSET(AI42,0,-1)+1</f>
        <v>4</v>
      </c>
      <c r="AJ42" s="2302"/>
      <c r="AK42" s="1964">
        <f>OFFSET(AK42,0,-2)+1</f>
        <v>5</v>
      </c>
      <c r="AL42" s="1256">
        <f>OFFSET(AL42,0,-1)</f>
        <v>5</v>
      </c>
      <c r="AM42" s="1964">
        <f>OFFSET(AM42,0,-1)+1</f>
        <v>6</v>
      </c>
      <c r="AN42" s="1647"/>
      <c r="AO42" s="1647"/>
      <c r="AP42" s="1647"/>
      <c r="AQ42" s="1647"/>
      <c r="AR42" s="1647"/>
      <c r="AS42" s="1652">
        <v>0</v>
      </c>
    </row>
    <row customHeight="1" ht="22.049999999999997">
      <c r="A43" s="1278" t="s">
        <v>226</v>
      </c>
      <c r="B43" s="1278"/>
      <c r="C43" s="1278"/>
      <c r="D43" s="1278"/>
      <c r="E43" s="2319">
        <v>1</v>
      </c>
      <c r="F43" s="1278"/>
      <c r="G43" s="1278"/>
      <c r="H43" s="1278"/>
      <c r="I43" s="1278"/>
      <c r="J43" s="1278"/>
      <c r="K43" s="1278"/>
      <c r="L43" s="1321"/>
      <c r="M43" s="1621"/>
      <c r="N43" s="1621"/>
      <c r="O43" s="1621"/>
      <c r="P43" s="1601"/>
      <c r="Q43" s="371"/>
      <c r="R43" s="366"/>
      <c r="S43" s="1966">
        <f>INDEX(PT_DIFFERENTIATION_NUM_NTAR,MATCH(A43,PT_DIFFERENTIATION_NTAR_ID,0))</f>
        <v>0</v>
      </c>
      <c r="T43" s="1536"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5"/>
      <c r="AP43" s="1635" t="str">
        <f>IF(T43="","",T43)</f>
        <v>Наименование тарифа</v>
      </c>
      <c r="AQ43" s="1635"/>
      <c r="AR43" s="1635"/>
      <c r="AS43" s="1642">
        <v>21</v>
      </c>
    </row>
    <row customHeight="1" ht="22.049999999999997">
      <c r="A44" s="1278" t="s">
        <v>226</v>
      </c>
      <c r="B44" s="1278" t="s">
        <v>227</v>
      </c>
      <c r="C44" s="1278"/>
      <c r="D44" s="1278"/>
      <c r="E44" s="2320"/>
      <c r="F44" s="2319">
        <v>1</v>
      </c>
      <c r="G44" s="1278"/>
      <c r="H44" s="1278"/>
      <c r="I44" s="1278"/>
      <c r="J44" s="1278"/>
      <c r="K44" s="1278"/>
      <c r="L44" s="1321"/>
      <c r="M44" s="1621"/>
      <c r="N44" s="1621"/>
      <c r="O44" s="1621"/>
      <c r="P44" s="1948"/>
      <c r="Q44" s="363"/>
      <c r="R44" s="364"/>
      <c r="S44" s="1966" t="str">
        <f>INDEX(PT_DIFFERENTIATION_NUM_TER,MATCH(B44,PT_DIFFERENTIATION_TER_ID,0))</f>
        <v>.</v>
      </c>
      <c r="T44" s="1533"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1635"/>
      <c r="AP44" s="1635" t="str">
        <f>IF(T44="","",T44)</f>
        <v>Территория действия тарифа</v>
      </c>
      <c r="AQ44" s="1635"/>
      <c r="AR44" s="1635"/>
      <c r="AS44" s="1642">
        <v>21</v>
      </c>
    </row>
    <row customHeight="1" ht="24">
      <c r="A45" s="1278" t="s">
        <v>226</v>
      </c>
      <c r="B45" s="1278" t="s">
        <v>227</v>
      </c>
      <c r="C45" s="1278" t="s">
        <v>228</v>
      </c>
      <c r="D45" s="1278"/>
      <c r="E45" s="2320"/>
      <c r="F45" s="2320"/>
      <c r="G45" s="2319">
        <v>1</v>
      </c>
      <c r="H45" s="1278"/>
      <c r="I45" s="1278"/>
      <c r="J45" s="1278"/>
      <c r="K45" s="1278"/>
      <c r="L45" s="1321"/>
      <c r="M45" s="1621"/>
      <c r="N45" s="1621"/>
      <c r="O45" s="1621"/>
      <c r="P45" s="365"/>
      <c r="Q45" s="363"/>
      <c r="R45" s="364"/>
      <c r="S45" s="1966"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1635"/>
      <c r="AP45" s="1635" t="str">
        <f>IF(T45="","",T45)</f>
        <v>Наименование системы теплоснабжения </v>
      </c>
      <c r="AQ45" s="1635"/>
      <c r="AR45" s="1635"/>
      <c r="AS45" s="1642">
        <v>23</v>
      </c>
    </row>
    <row customHeight="1" ht="22.049999999999997">
      <c r="A46" s="1278" t="s">
        <v>226</v>
      </c>
      <c r="B46" s="1278" t="s">
        <v>227</v>
      </c>
      <c r="C46" s="1278" t="s">
        <v>228</v>
      </c>
      <c r="D46" s="1278" t="s">
        <v>229</v>
      </c>
      <c r="E46" s="2320"/>
      <c r="F46" s="2320"/>
      <c r="G46" s="2320"/>
      <c r="H46" s="2319">
        <v>1</v>
      </c>
      <c r="I46" s="1278"/>
      <c r="J46" s="1278"/>
      <c r="K46" s="1278"/>
      <c r="L46" s="1321"/>
      <c r="M46" s="1621"/>
      <c r="N46" s="1621"/>
      <c r="O46" s="1621"/>
      <c r="P46" s="365"/>
      <c r="Q46" s="363"/>
      <c r="R46" s="364"/>
      <c r="S46" s="1966"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1635"/>
      <c r="AP46" s="1635" t="str">
        <f>IF(T46="","",T46)</f>
        <v>Источник тепловой энергии  </v>
      </c>
      <c r="AQ46" s="1635"/>
      <c r="AR46" s="1635"/>
      <c r="AS46" s="1642">
        <v>21</v>
      </c>
    </row>
    <row customHeight="1" ht="49.5">
      <c r="A47" s="1278" t="s">
        <v>226</v>
      </c>
      <c r="B47" s="1278" t="s">
        <v>227</v>
      </c>
      <c r="C47" s="1278" t="s">
        <v>228</v>
      </c>
      <c r="D47" s="1278" t="s">
        <v>229</v>
      </c>
      <c r="E47" s="2320"/>
      <c r="F47" s="2320"/>
      <c r="G47" s="2320"/>
      <c r="H47" s="2320"/>
      <c r="I47" s="2157" t="str">
        <f>S46&amp;".1"</f>
        <v>....1</v>
      </c>
      <c r="J47" s="1278"/>
      <c r="K47" s="1278"/>
      <c r="L47" s="1321" t="s">
        <v>417</v>
      </c>
      <c r="P47" s="2287">
        <v>1</v>
      </c>
      <c r="Q47" s="1962"/>
      <c r="R47" s="367"/>
      <c r="S47" s="1966" t="str">
        <f>$I47</f>
        <v>....1</v>
      </c>
      <c r="T47" s="296" t="s">
        <v>418</v>
      </c>
      <c r="U47" s="311"/>
      <c r="V47" s="2275"/>
      <c r="W47" s="2276"/>
      <c r="X47" s="2276"/>
      <c r="Y47" s="2276"/>
      <c r="Z47" s="2276"/>
      <c r="AA47" s="2276"/>
      <c r="AB47" s="2276"/>
      <c r="AC47" s="2277"/>
      <c r="AD47" s="2275"/>
      <c r="AE47" s="2276"/>
      <c r="AF47" s="2276"/>
      <c r="AG47" s="2276"/>
      <c r="AH47" s="2276"/>
      <c r="AI47" s="2276"/>
      <c r="AJ47" s="2276"/>
      <c r="AK47" s="2276"/>
      <c r="AL47" s="2277"/>
      <c r="AM47" s="1269" t="s">
        <v>419</v>
      </c>
      <c r="AO47" s="1635"/>
      <c r="AP47" s="1635" t="str">
        <f>IF(T47="","",T47)</f>
        <v>Схема подключения теплопотребляющей установки к коллектору источника тепловой энергии</v>
      </c>
      <c r="AQ47" s="1635"/>
      <c r="AR47" s="1635"/>
      <c r="AS47" s="1642">
        <v>47</v>
      </c>
    </row>
    <row customHeight="1" ht="22.049999999999997">
      <c r="A48" s="1278" t="s">
        <v>226</v>
      </c>
      <c r="B48" s="1278" t="s">
        <v>227</v>
      </c>
      <c r="C48" s="1278" t="s">
        <v>228</v>
      </c>
      <c r="D48" s="1278" t="s">
        <v>229</v>
      </c>
      <c r="E48" s="2320"/>
      <c r="F48" s="2320"/>
      <c r="G48" s="2320"/>
      <c r="H48" s="2320"/>
      <c r="I48" s="2131"/>
      <c r="J48" s="2157" t="str">
        <f>I47&amp;".1"</f>
        <v>....1.1</v>
      </c>
      <c r="K48" s="1278"/>
      <c r="L48" s="1321" t="s">
        <v>420</v>
      </c>
      <c r="P48" s="2287"/>
      <c r="Q48" s="2287">
        <v>1</v>
      </c>
      <c r="R48" s="368"/>
      <c r="S48" s="1966" t="str">
        <f>$J48</f>
        <v>....1.1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1635"/>
      <c r="AP48" s="1635" t="str">
        <f>IF(T48="","",T48)</f>
        <v>Группа потребителей</v>
      </c>
      <c r="AQ48" s="1635"/>
      <c r="AR48" s="1635"/>
      <c r="AS48" s="1642">
        <v>21</v>
      </c>
    </row>
    <row customHeight="1" ht="22.049999999999997">
      <c r="A49" s="1278" t="s">
        <v>226</v>
      </c>
      <c r="B49" s="1278" t="s">
        <v>227</v>
      </c>
      <c r="C49" s="1278" t="s">
        <v>228</v>
      </c>
      <c r="D49" s="1278" t="s">
        <v>229</v>
      </c>
      <c r="E49" s="2320"/>
      <c r="F49" s="2320"/>
      <c r="G49" s="2320"/>
      <c r="H49" s="2320"/>
      <c r="I49" s="2131"/>
      <c r="J49" s="2131"/>
      <c r="K49" s="2157" t="str">
        <f>J48&amp;".1"</f>
        <v>....1.1.1</v>
      </c>
      <c r="L49" s="1321" t="s">
        <v>423</v>
      </c>
      <c r="P49" s="2287"/>
      <c r="Q49" s="2287"/>
      <c r="R49" s="368">
        <v>1</v>
      </c>
      <c r="S49" s="1966" t="str">
        <f>$K49</f>
        <v>....1.1.1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424</v>
      </c>
      <c r="AN49" s="1647">
        <f>STRCHECKDATE(V50:AL50)</f>
      </c>
      <c r="AO49" s="1635"/>
      <c r="AP49" s="1635" t="str">
        <f>IF(T49="","",T49)</f>
        <v/>
      </c>
      <c r="AQ49" s="1635"/>
      <c r="AR49" s="1635"/>
      <c r="AS49" s="1642">
        <v>21</v>
      </c>
    </row>
    <row customHeight="1" ht="1.05">
      <c r="A50" s="1278" t="s">
        <v>226</v>
      </c>
      <c r="B50" s="1278" t="s">
        <v>227</v>
      </c>
      <c r="C50" s="1278" t="s">
        <v>228</v>
      </c>
      <c r="D50" s="1278" t="s">
        <v>229</v>
      </c>
      <c r="E50" s="2320"/>
      <c r="F50" s="2320"/>
      <c r="G50" s="2320"/>
      <c r="H50" s="2320"/>
      <c r="I50" s="2131"/>
      <c r="J50" s="2131"/>
      <c r="K50" s="2157"/>
      <c r="L50" s="1321"/>
      <c r="P50" s="2287"/>
      <c r="Q50" s="2287"/>
      <c r="R50" s="368"/>
      <c r="S50" s="1975"/>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1635"/>
      <c r="AP50" s="1635" t="str">
        <f>IF(T50="","",T50)</f>
        <v/>
      </c>
      <c r="AQ50" s="1635"/>
      <c r="AR50" s="1635"/>
      <c r="AS50" s="1642">
        <v>1</v>
      </c>
    </row>
    <row customHeight="1" ht="11.549999999999999">
      <c r="A51" s="1278" t="s">
        <v>226</v>
      </c>
      <c r="B51" s="1278" t="s">
        <v>227</v>
      </c>
      <c r="C51" s="1278" t="s">
        <v>228</v>
      </c>
      <c r="D51" s="1278" t="s">
        <v>229</v>
      </c>
      <c r="E51" s="2320"/>
      <c r="F51" s="2320"/>
      <c r="G51" s="2320"/>
      <c r="H51" s="2320"/>
      <c r="I51" s="2131"/>
      <c r="J51" s="2157"/>
      <c r="K51" s="1278"/>
      <c r="L51" s="1321"/>
      <c r="P51" s="2287"/>
      <c r="Q51" s="2287"/>
      <c r="R51" s="367"/>
      <c r="S51" s="1289"/>
      <c r="T51" s="299" t="s">
        <v>425</v>
      </c>
      <c r="U51" s="611"/>
      <c r="V51" s="611"/>
      <c r="W51" s="611"/>
      <c r="X51" s="611"/>
      <c r="Y51" s="611"/>
      <c r="Z51" s="611"/>
      <c r="AA51" s="611"/>
      <c r="AB51" s="611"/>
      <c r="AC51" s="611"/>
      <c r="AD51" s="611"/>
      <c r="AE51" s="611"/>
      <c r="AF51" s="611"/>
      <c r="AG51" s="611"/>
      <c r="AH51" s="611"/>
      <c r="AI51" s="611"/>
      <c r="AJ51" s="611"/>
      <c r="AK51" s="611"/>
      <c r="AL51" s="335"/>
      <c r="AM51" s="2285"/>
      <c r="AO51" s="1635"/>
      <c r="AP51" s="1635" t="str">
        <f>IF(T51="","",T51)</f>
        <v>Добавить вид теплоносителя (параметры теплоносителя)</v>
      </c>
      <c r="AQ51" s="1635"/>
      <c r="AR51" s="1635"/>
      <c r="AS51" s="1642">
        <v>11</v>
      </c>
    </row>
    <row customHeight="1" ht="11.549999999999999">
      <c r="A52" s="1278" t="s">
        <v>226</v>
      </c>
      <c r="B52" s="1278" t="s">
        <v>227</v>
      </c>
      <c r="C52" s="1278" t="s">
        <v>228</v>
      </c>
      <c r="D52" s="1278" t="s">
        <v>229</v>
      </c>
      <c r="E52" s="2320"/>
      <c r="F52" s="2320"/>
      <c r="G52" s="2320"/>
      <c r="H52" s="2320"/>
      <c r="I52" s="2157"/>
      <c r="J52" s="1278"/>
      <c r="K52" s="1278"/>
      <c r="L52" s="1321"/>
      <c r="P52" s="2287"/>
      <c r="Q52" s="1962"/>
      <c r="R52" s="367"/>
      <c r="S52" s="1289"/>
      <c r="T52" s="298" t="s">
        <v>426</v>
      </c>
      <c r="U52" s="611"/>
      <c r="V52" s="611"/>
      <c r="W52" s="611"/>
      <c r="X52" s="611"/>
      <c r="Y52" s="611"/>
      <c r="Z52" s="611"/>
      <c r="AA52" s="611"/>
      <c r="AB52" s="611"/>
      <c r="AC52" s="377"/>
      <c r="AD52" s="611"/>
      <c r="AE52" s="611"/>
      <c r="AF52" s="611"/>
      <c r="AG52" s="611"/>
      <c r="AH52" s="611"/>
      <c r="AI52" s="611"/>
      <c r="AJ52" s="611"/>
      <c r="AK52" s="377"/>
      <c r="AL52" s="611"/>
      <c r="AM52" s="314"/>
      <c r="AO52" s="1635"/>
      <c r="AP52" s="1635" t="str">
        <f>IF(T52="","",T52)</f>
        <v>Добавить группу потребителей</v>
      </c>
      <c r="AQ52" s="1635"/>
      <c r="AR52" s="1635"/>
      <c r="AS52" s="1642">
        <v>11</v>
      </c>
    </row>
    <row customHeight="1" ht="14.699999999999998">
      <c r="A53" s="1278" t="s">
        <v>226</v>
      </c>
      <c r="B53" s="1278" t="s">
        <v>227</v>
      </c>
      <c r="C53" s="1278" t="s">
        <v>228</v>
      </c>
      <c r="D53" s="1278" t="s">
        <v>229</v>
      </c>
      <c r="E53" s="2320"/>
      <c r="F53" s="2320"/>
      <c r="G53" s="2320"/>
      <c r="H53" s="2319"/>
      <c r="I53" s="1278"/>
      <c r="J53" s="1278"/>
      <c r="K53" s="1278"/>
      <c r="L53" s="1321"/>
      <c r="M53" s="1621"/>
      <c r="N53" s="1621"/>
      <c r="O53" s="1646"/>
      <c r="P53" s="371"/>
      <c r="Q53" s="386"/>
      <c r="R53" s="366"/>
      <c r="S53" s="1289"/>
      <c r="T53" s="376" t="s">
        <v>427</v>
      </c>
      <c r="U53" s="611"/>
      <c r="V53" s="611"/>
      <c r="W53" s="611"/>
      <c r="X53" s="611"/>
      <c r="Y53" s="611"/>
      <c r="Z53" s="611"/>
      <c r="AA53" s="611"/>
      <c r="AB53" s="611"/>
      <c r="AC53" s="377"/>
      <c r="AD53" s="611"/>
      <c r="AE53" s="611"/>
      <c r="AF53" s="611"/>
      <c r="AG53" s="611"/>
      <c r="AH53" s="611"/>
      <c r="AI53" s="611"/>
      <c r="AJ53" s="611"/>
      <c r="AK53" s="377"/>
      <c r="AL53" s="611"/>
      <c r="AM53" s="314"/>
      <c r="AO53" s="1635"/>
      <c r="AP53" s="1635" t="str">
        <f>IF(T53="","",T53)</f>
        <v>Добавить схему подключения</v>
      </c>
      <c r="AQ53" s="1635"/>
      <c r="AR53" s="1635"/>
      <c r="AS53" s="1642">
        <v>14</v>
      </c>
    </row>
    <row s="1653" customFormat="1" customHeight="1" ht="1.05">
      <c r="A54" s="1278" t="s">
        <v>226</v>
      </c>
      <c r="B54" s="1278" t="s">
        <v>227</v>
      </c>
      <c r="C54" s="1278" t="s">
        <v>228</v>
      </c>
      <c r="D54" s="1982"/>
      <c r="E54" s="2320"/>
      <c r="F54" s="2320"/>
      <c r="G54" s="2319"/>
      <c r="H54" s="1982"/>
      <c r="I54" s="1982"/>
      <c r="J54" s="1982"/>
      <c r="K54" s="1982"/>
      <c r="L54" s="1391"/>
      <c r="M54" s="1621"/>
      <c r="N54" s="1621"/>
      <c r="O54" s="164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1262"/>
      <c r="AP54" s="1262" t="str">
        <f>IF(T54="","",T54)</f>
        <v>Добавить источник для дифференциации</v>
      </c>
      <c r="AQ54" s="1262"/>
      <c r="AR54" s="1262"/>
      <c r="AS54" s="1653">
        <v>1</v>
      </c>
    </row>
    <row s="1653" customFormat="1" customHeight="1" ht="1.05">
      <c r="A55" s="1278" t="s">
        <v>226</v>
      </c>
      <c r="B55" s="1278" t="s">
        <v>227</v>
      </c>
      <c r="C55" s="1982"/>
      <c r="D55" s="1982"/>
      <c r="E55" s="2320"/>
      <c r="F55" s="2319"/>
      <c r="G55" s="1982"/>
      <c r="H55" s="1982"/>
      <c r="I55" s="1982"/>
      <c r="J55" s="1982"/>
      <c r="K55" s="1982"/>
      <c r="L55" s="1391"/>
      <c r="M55" s="1983"/>
      <c r="N55" s="1983"/>
      <c r="O55" s="1646"/>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1262"/>
      <c r="AP55" s="1262" t="str">
        <f>IF(T55="","",T55)</f>
        <v>Добавить централизованную систему для дифференциации</v>
      </c>
      <c r="AQ55" s="1262"/>
      <c r="AR55" s="1262"/>
      <c r="AS55" s="1653">
        <v>1</v>
      </c>
    </row>
    <row s="1653" customFormat="1" customHeight="1" ht="1.05">
      <c r="A56" s="1278" t="s">
        <v>226</v>
      </c>
      <c r="B56" s="1278"/>
      <c r="C56" s="1278"/>
      <c r="D56" s="1278"/>
      <c r="E56" s="2319"/>
      <c r="F56" s="1278"/>
      <c r="G56" s="1278"/>
      <c r="H56" s="1278"/>
      <c r="I56" s="1278"/>
      <c r="J56" s="1278"/>
      <c r="K56" s="1278"/>
      <c r="L56" s="1321"/>
      <c r="M56" s="1983"/>
      <c r="N56" s="1983"/>
      <c r="O56" s="1646"/>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1635"/>
      <c r="AP56" s="1635" t="str">
        <f>IF(T56="","",T56)</f>
        <v>Добавить территорию для дифференциации</v>
      </c>
      <c r="AQ56" s="1635"/>
      <c r="AR56" s="1635"/>
      <c r="AS56" s="1647">
        <v>1</v>
      </c>
    </row>
    <row s="1653" customFormat="1" customHeight="1" ht="1.05">
      <c r="A57" s="1982"/>
      <c r="B57" s="1982"/>
      <c r="C57" s="1982"/>
      <c r="D57" s="1982"/>
      <c r="E57" s="1278"/>
      <c r="F57" s="1982"/>
      <c r="G57" s="1982"/>
      <c r="H57" s="1982"/>
      <c r="I57" s="1982"/>
      <c r="J57" s="1982"/>
      <c r="K57" s="1982"/>
      <c r="L57" s="1391"/>
      <c r="M57" s="1983"/>
      <c r="N57" s="1983"/>
      <c r="O57" s="1646"/>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1262"/>
      <c r="AP57" s="1262" t="str">
        <f>IF(T57="","",T57)</f>
        <v>Добавить наименование тарифа</v>
      </c>
      <c r="AQ57" s="1262"/>
      <c r="AR57" s="1262"/>
      <c r="AS57" s="1653">
        <v>1</v>
      </c>
    </row>
    <row customHeight="1" ht="11.549999999999999">
      <c r="M58" s="1642"/>
      <c r="N58" s="1642"/>
      <c r="O58" s="1646"/>
      <c r="P58" s="1642"/>
      <c r="Q58" s="1642"/>
      <c r="R58" s="1642"/>
      <c r="S58" s="1642"/>
      <c r="AN58" s="1642"/>
      <c r="AO58" s="1642"/>
      <c r="AP58" s="1642"/>
      <c r="AQ58" s="1642"/>
      <c r="AR58" s="1642"/>
      <c r="AS58" s="1642">
        <v>11</v>
      </c>
    </row>
    <row customHeight="1" ht="28.5">
      <c r="O59" s="1646"/>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642">
        <v>27</v>
      </c>
    </row>
    <row customHeight="1" ht="65.25">
      <c r="O60" s="1646"/>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642">
        <v>62</v>
      </c>
    </row>
    <row customHeight="1" ht="14.699999999999998">
      <c r="O61" s="1646"/>
      <c r="AS61" s="1642">
        <v>14</v>
      </c>
    </row>
    <row customHeight="1" ht="18.75">
      <c r="O62" s="1646"/>
      <c r="S62" s="1264"/>
      <c r="T62" s="2315"/>
      <c r="U62" s="2315"/>
      <c r="V62" s="2315"/>
      <c r="W62" s="2315"/>
      <c r="X62" s="2315"/>
      <c r="Y62" s="2315"/>
      <c r="Z62" s="2315"/>
      <c r="AA62" s="2315"/>
      <c r="AB62" s="2315"/>
      <c r="AC62" s="2315"/>
      <c r="AD62" s="2315"/>
      <c r="AE62" s="2315"/>
      <c r="AF62" s="2315"/>
      <c r="AG62" s="2315"/>
      <c r="AH62" s="2315"/>
      <c r="AI62" s="2315"/>
      <c r="AJ62" s="2315"/>
      <c r="AK62" s="2315"/>
      <c r="AL62" s="2315"/>
      <c r="AM62" s="2315"/>
      <c r="AS62" s="1642">
        <v>18</v>
      </c>
    </row>
    <row customHeight="1" ht="18.75">
      <c r="O63" s="1646"/>
      <c r="T63" s="2315"/>
      <c r="U63" s="2315"/>
      <c r="V63" s="2315"/>
      <c r="W63" s="2315"/>
      <c r="X63" s="2315"/>
      <c r="Y63" s="2315"/>
      <c r="Z63" s="2315"/>
      <c r="AA63" s="2315"/>
      <c r="AB63" s="2315"/>
      <c r="AC63" s="2315"/>
      <c r="AD63" s="2315"/>
      <c r="AE63" s="2315"/>
      <c r="AF63" s="2315"/>
      <c r="AG63" s="2315"/>
      <c r="AH63" s="2315"/>
      <c r="AI63" s="2315"/>
      <c r="AJ63" s="2315"/>
      <c r="AK63" s="2315"/>
      <c r="AL63" s="2315"/>
      <c r="AM63" s="2315"/>
      <c r="AS63" s="1642">
        <v>18</v>
      </c>
    </row>
    <row customHeight="1" ht="29.25">
      <c r="O64" s="1646"/>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642">
        <v>28</v>
      </c>
    </row>
    <row customHeight="1" ht="22.5" hidden="1">
      <c r="A65" s="1642" t="s">
        <v>83</v>
      </c>
      <c r="B65" s="1642">
        <v>0</v>
      </c>
      <c r="C65" s="1642">
        <v>0</v>
      </c>
      <c r="D65" s="1642">
        <v>0</v>
      </c>
      <c r="E65" s="1642">
        <v>0</v>
      </c>
      <c r="F65" s="1642">
        <v>0</v>
      </c>
      <c r="G65" s="1642">
        <v>0</v>
      </c>
      <c r="H65" s="1642">
        <v>0</v>
      </c>
      <c r="I65" s="1642">
        <v>0</v>
      </c>
      <c r="J65" s="1642">
        <v>0</v>
      </c>
      <c r="K65" s="1642">
        <v>0</v>
      </c>
      <c r="L65" s="1947">
        <v>0</v>
      </c>
      <c r="M65" s="1973">
        <v>0</v>
      </c>
      <c r="N65" s="1973">
        <v>0</v>
      </c>
      <c r="O65" s="1973">
        <v>0</v>
      </c>
      <c r="P65" s="1973">
        <v>3</v>
      </c>
      <c r="Q65" s="355">
        <v>3</v>
      </c>
      <c r="R65" s="355">
        <v>3</v>
      </c>
      <c r="S65" s="592">
        <v>12</v>
      </c>
      <c r="T65" s="1642">
        <v>31</v>
      </c>
      <c r="U65" s="1642">
        <v>0</v>
      </c>
      <c r="V65" s="1642">
        <v>0</v>
      </c>
      <c r="W65" s="1642">
        <v>0</v>
      </c>
      <c r="X65" s="1642">
        <v>0</v>
      </c>
      <c r="Y65" s="1642">
        <v>0</v>
      </c>
      <c r="Z65" s="1642">
        <v>0</v>
      </c>
      <c r="AA65" s="1642">
        <v>0</v>
      </c>
      <c r="AB65" s="1642">
        <v>0</v>
      </c>
      <c r="AC65" s="1642">
        <v>0</v>
      </c>
      <c r="AD65" s="1642">
        <v>24</v>
      </c>
      <c r="AE65" s="1642">
        <v>0</v>
      </c>
      <c r="AF65" s="1642">
        <v>24</v>
      </c>
      <c r="AG65" s="1642">
        <v>24</v>
      </c>
      <c r="AH65" s="1642">
        <v>11</v>
      </c>
      <c r="AI65" s="1642">
        <v>3</v>
      </c>
      <c r="AJ65" s="1642">
        <v>11</v>
      </c>
      <c r="AK65" s="1642">
        <v>0</v>
      </c>
      <c r="AL65" s="1642">
        <v>4</v>
      </c>
      <c r="AM65" s="1642">
        <v>115</v>
      </c>
      <c r="AN65" s="1647">
        <v>10</v>
      </c>
      <c r="AO65" s="1647">
        <v>10</v>
      </c>
      <c r="AP65" s="1647">
        <v>10</v>
      </c>
      <c r="AQ65" s="1647">
        <v>10</v>
      </c>
      <c r="AR65" s="1647">
        <v>10</v>
      </c>
      <c r="AS65" s="16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C3098-4627-B898-71B8-5D8032E843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1.00390625" customWidth="1"/>
    <col min="21" max="21" style="1646" width="0.7109375" hidden="1" customWidth="1"/>
    <col min="22" max="22" style="1646" width="1.7109375" hidden="1" customWidth="1"/>
    <col min="23" max="23" style="1646" width="24.7109375" hidden="1" customWidth="1"/>
    <col min="24" max="25" style="1646" width="0.14062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0.140625" customWidth="1"/>
    <col min="31" max="31" style="1646" width="24.00390625" customWidth="1"/>
    <col min="32" max="33" style="1646" width="0.14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47">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43"/>
      <c r="Q3" s="363"/>
      <c r="R3" s="364"/>
      <c r="S3" s="1347">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1347">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364"/>
      <c r="S5" s="1347">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511"/>
      <c r="AP5" s="511" t="str">
        <f>IF(T5="","",T5)</f>
        <v>Источник тепловой энергии  </v>
      </c>
      <c r="AQ5" s="511"/>
      <c r="AR5" s="511"/>
      <c r="AS5" s="1166">
        <v>0</v>
      </c>
    </row>
    <row customHeight="1" ht="47.25" hidden="1">
      <c r="A6" s="1374"/>
      <c r="B6" s="1374"/>
      <c r="C6" s="1374"/>
      <c r="D6" s="1374"/>
      <c r="E6" s="2289"/>
      <c r="F6" s="2289"/>
      <c r="G6" s="2289"/>
      <c r="H6" s="2289"/>
      <c r="I6" s="2286">
        <f>S5&amp;".1"</f>
      </c>
      <c r="J6" s="1374"/>
      <c r="K6" s="1374"/>
      <c r="L6" s="1375" t="s">
        <v>417</v>
      </c>
      <c r="M6" s="548"/>
      <c r="P6" s="2287">
        <v>1</v>
      </c>
      <c r="Q6" s="1342"/>
      <c r="R6" s="367"/>
      <c r="S6" s="1347">
        <f>$I6</f>
      </c>
      <c r="T6" s="296" t="s">
        <v>418</v>
      </c>
      <c r="U6" s="311"/>
      <c r="V6" s="2275"/>
      <c r="W6" s="2276"/>
      <c r="X6" s="2276"/>
      <c r="Y6" s="2276"/>
      <c r="Z6" s="2276"/>
      <c r="AA6" s="2276"/>
      <c r="AB6" s="2276"/>
      <c r="AC6" s="2277"/>
      <c r="AD6" s="2275"/>
      <c r="AE6" s="2276"/>
      <c r="AF6" s="2276"/>
      <c r="AG6" s="2276"/>
      <c r="AH6" s="2276"/>
      <c r="AI6" s="2276"/>
      <c r="AJ6" s="2276"/>
      <c r="AK6" s="2276"/>
      <c r="AL6" s="2277"/>
      <c r="AM6" s="1269" t="s">
        <v>419</v>
      </c>
      <c r="AO6" s="511"/>
      <c r="AP6" s="511" t="str">
        <f>IF(T6="","",T6)</f>
        <v>Схема подключения теплопотребляющей установки к коллектору источника тепловой энергии</v>
      </c>
      <c r="AQ6" s="511"/>
      <c r="AR6" s="511"/>
      <c r="AS6" s="1166">
        <v>0</v>
      </c>
    </row>
    <row customHeight="1" ht="21" hidden="1">
      <c r="A7" s="1374"/>
      <c r="B7" s="1374"/>
      <c r="C7" s="1374"/>
      <c r="D7" s="1374"/>
      <c r="E7" s="2289"/>
      <c r="F7" s="2289"/>
      <c r="G7" s="2289"/>
      <c r="H7" s="2289"/>
      <c r="I7" s="2316"/>
      <c r="J7" s="2286">
        <f>I6&amp;".1"</f>
      </c>
      <c r="K7" s="1374"/>
      <c r="L7" s="1375" t="s">
        <v>420</v>
      </c>
      <c r="M7" s="548"/>
      <c r="N7" s="1377"/>
      <c r="P7" s="2287"/>
      <c r="Q7" s="2287">
        <v>1</v>
      </c>
      <c r="R7" s="368"/>
      <c r="S7" s="1347">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511"/>
      <c r="AP7" s="511" t="str">
        <f>IF(T7="","",T7)</f>
        <v>Группа потребителей</v>
      </c>
      <c r="AQ7" s="511"/>
      <c r="AR7" s="511"/>
      <c r="AS7" s="1166">
        <v>0</v>
      </c>
    </row>
    <row customHeight="1" ht="21" hidden="1">
      <c r="A8" s="1374"/>
      <c r="B8" s="1374"/>
      <c r="C8" s="1374"/>
      <c r="D8" s="1374"/>
      <c r="E8" s="2289"/>
      <c r="F8" s="2289"/>
      <c r="G8" s="2289"/>
      <c r="H8" s="2289"/>
      <c r="I8" s="2316"/>
      <c r="J8" s="2316"/>
      <c r="K8" s="2286">
        <f>J7&amp;".1"</f>
      </c>
      <c r="L8" s="1375" t="s">
        <v>423</v>
      </c>
      <c r="M8" s="548"/>
      <c r="N8" s="1377"/>
      <c r="O8" s="1377"/>
      <c r="P8" s="2287"/>
      <c r="Q8" s="2287"/>
      <c r="R8" s="368">
        <v>1</v>
      </c>
      <c r="S8" s="1347">
        <f>$K8</f>
      </c>
      <c r="T8" s="1358"/>
      <c r="U8" s="311"/>
      <c r="V8" s="336"/>
      <c r="W8" s="762"/>
      <c r="X8" s="336"/>
      <c r="Y8" s="395"/>
      <c r="Z8" s="2295"/>
      <c r="AA8" s="2137" t="s">
        <v>63</v>
      </c>
      <c r="AB8" s="2295"/>
      <c r="AC8" s="2137" t="s">
        <v>63</v>
      </c>
      <c r="AD8" s="336"/>
      <c r="AE8" s="762"/>
      <c r="AF8" s="336"/>
      <c r="AG8" s="395"/>
      <c r="AH8" s="2295"/>
      <c r="AI8" s="2137" t="s">
        <v>63</v>
      </c>
      <c r="AJ8" s="2295"/>
      <c r="AK8" s="2137" t="s">
        <v>63</v>
      </c>
      <c r="AL8" s="336"/>
      <c r="AM8" s="2283" t="s">
        <v>424</v>
      </c>
      <c r="AN8" s="522">
        <f>STRCHECKDATE(V9:AL9)</f>
      </c>
      <c r="AO8" s="511"/>
      <c r="AP8" s="511" t="str">
        <f>IF(T8="","",T8)</f>
        <v/>
      </c>
      <c r="AQ8" s="511"/>
      <c r="AR8" s="511"/>
      <c r="AS8" s="1166">
        <v>0</v>
      </c>
    </row>
    <row customHeight="1" ht="0.75" hidden="1">
      <c r="A9" s="1374"/>
      <c r="B9" s="1374"/>
      <c r="C9" s="1374"/>
      <c r="D9" s="1374"/>
      <c r="E9" s="2289"/>
      <c r="F9" s="2289"/>
      <c r="G9" s="2289"/>
      <c r="H9" s="2289"/>
      <c r="I9" s="2316"/>
      <c r="J9" s="2316"/>
      <c r="K9" s="2286"/>
      <c r="L9" s="1375"/>
      <c r="M9" s="548"/>
      <c r="N9" s="1377"/>
      <c r="O9" s="1377"/>
      <c r="P9" s="2287"/>
      <c r="Q9" s="2287"/>
      <c r="R9" s="368"/>
      <c r="S9" s="1353"/>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5" hidden="1">
      <c r="A10" s="1374"/>
      <c r="B10" s="1374"/>
      <c r="C10" s="1374"/>
      <c r="D10" s="1374"/>
      <c r="E10" s="2289"/>
      <c r="F10" s="2289"/>
      <c r="G10" s="2289"/>
      <c r="H10" s="2289"/>
      <c r="I10" s="2316"/>
      <c r="J10" s="2286"/>
      <c r="K10" s="1374"/>
      <c r="L10" s="1375"/>
      <c r="M10" s="548"/>
      <c r="N10" s="1377"/>
      <c r="P10" s="2287"/>
      <c r="Q10" s="2287"/>
      <c r="R10" s="367"/>
      <c r="S10" s="1289"/>
      <c r="T10" s="299"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89"/>
      <c r="F11" s="2289"/>
      <c r="G11" s="2289"/>
      <c r="H11" s="2289"/>
      <c r="I11" s="2286"/>
      <c r="J11" s="1374"/>
      <c r="K11" s="1374"/>
      <c r="L11" s="1375"/>
      <c r="M11" s="548"/>
      <c r="P11" s="2287"/>
      <c r="Q11" s="1342"/>
      <c r="R11" s="367"/>
      <c r="S11" s="1289"/>
      <c r="T11" s="298"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89"/>
      <c r="F12" s="2289"/>
      <c r="G12" s="2289"/>
      <c r="H12" s="2288"/>
      <c r="I12" s="1374"/>
      <c r="J12" s="1374"/>
      <c r="K12" s="1374"/>
      <c r="L12" s="1375"/>
      <c r="M12" s="1376"/>
      <c r="N12" s="1376"/>
      <c r="O12" s="548"/>
      <c r="P12" s="371"/>
      <c r="Q12" s="386"/>
      <c r="R12" s="366"/>
      <c r="S12" s="1289"/>
      <c r="T12" s="376" t="s">
        <v>427</v>
      </c>
      <c r="U12" s="378"/>
      <c r="V12" s="378"/>
      <c r="W12" s="378"/>
      <c r="X12" s="378"/>
      <c r="Y12" s="378"/>
      <c r="Z12" s="378"/>
      <c r="AA12" s="378"/>
      <c r="AB12" s="378"/>
      <c r="AC12" s="377"/>
      <c r="AD12" s="378"/>
      <c r="AE12" s="378"/>
      <c r="AF12" s="378"/>
      <c r="AG12" s="378"/>
      <c r="AH12" s="378"/>
      <c r="AI12" s="378"/>
      <c r="AJ12" s="378"/>
      <c r="AK12" s="377"/>
      <c r="AL12" s="378"/>
      <c r="AM12" s="314"/>
      <c r="AO12" s="511"/>
      <c r="AP12" s="511" t="str">
        <f>IF(T12="","",T12)</f>
        <v>Добавить схему подключения</v>
      </c>
      <c r="AQ12" s="511"/>
      <c r="AR12" s="511"/>
      <c r="AS12" s="1166">
        <v>0</v>
      </c>
    </row>
    <row s="1653" customFormat="1" customHeight="1" ht="0.7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97"/>
      <c r="AI17" s="2298" t="s">
        <v>63</v>
      </c>
      <c r="AJ17" s="2297"/>
      <c r="AK17" s="2298" t="s">
        <v>63</v>
      </c>
      <c r="AS17" s="1166">
        <v>0</v>
      </c>
    </row>
    <row customHeight="1" ht="14.25" hidden="1">
      <c r="AD18" s="1371"/>
      <c r="AE18" s="1371"/>
      <c r="AF18" s="1371"/>
      <c r="AG18" s="339" t="str">
        <f>AH17&amp;"-"&amp;AJ17</f>
        <v>-</v>
      </c>
      <c r="AH18" s="2298"/>
      <c r="AI18" s="2298"/>
      <c r="AJ18" s="2298"/>
      <c r="AK18" s="2298"/>
      <c r="AS18" s="1166">
        <v>0</v>
      </c>
    </row>
    <row customHeight="1" ht="14.25" hidden="1">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33.7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29.25">
      <c r="Q26" s="387"/>
      <c r="R26" s="387"/>
      <c r="S26" s="227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8"/>
      <c r="U26" s="2278"/>
      <c r="V26" s="2278"/>
      <c r="W26" s="2278"/>
      <c r="X26" s="2278"/>
      <c r="Y26" s="2278"/>
      <c r="Z26" s="2278"/>
      <c r="AA26" s="2278"/>
      <c r="AB26" s="2278"/>
      <c r="AC26" s="2278"/>
      <c r="AD26" s="2278"/>
      <c r="AE26" s="2278"/>
      <c r="AF26" s="2278"/>
      <c r="AG26" s="2278"/>
      <c r="AH26" s="2278"/>
      <c r="AI26" s="2278"/>
      <c r="AJ26" s="2278"/>
      <c r="AK26" s="1254"/>
      <c r="AS26" s="1166">
        <v>28</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18.7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21"/>
      <c r="Y39" s="2321"/>
      <c r="Z39" s="2305"/>
      <c r="AA39" s="2305"/>
      <c r="AB39" s="2306"/>
      <c r="AC39" s="2307" t="s">
        <v>440</v>
      </c>
      <c r="AD39" s="2304" t="s">
        <v>439</v>
      </c>
      <c r="AE39" s="2305"/>
      <c r="AF39" s="2321"/>
      <c r="AG39" s="2321"/>
      <c r="AH39" s="2305"/>
      <c r="AI39" s="2305"/>
      <c r="AJ39" s="2306"/>
      <c r="AK39" s="2307" t="s">
        <v>441</v>
      </c>
      <c r="AL39" s="2310" t="s">
        <v>442</v>
      </c>
      <c r="AM39" s="2157"/>
      <c r="AS39" s="1166">
        <v>14</v>
      </c>
    </row>
    <row customHeight="1" ht="24">
      <c r="Q40" s="387"/>
      <c r="R40" s="387"/>
      <c r="S40" s="2303"/>
      <c r="T40" s="2239"/>
      <c r="U40" s="1042"/>
      <c r="V40" s="2322" t="s">
        <v>443</v>
      </c>
      <c r="W40" s="2324" t="s">
        <v>444</v>
      </c>
      <c r="X40" s="1387" t="s">
        <v>445</v>
      </c>
      <c r="Y40" s="1387"/>
      <c r="Z40" s="2299" t="s">
        <v>446</v>
      </c>
      <c r="AA40" s="2299"/>
      <c r="AB40" s="2293"/>
      <c r="AC40" s="2308"/>
      <c r="AD40" s="2322" t="s">
        <v>443</v>
      </c>
      <c r="AE40" s="2324" t="s">
        <v>444</v>
      </c>
      <c r="AF40" s="1387" t="s">
        <v>445</v>
      </c>
      <c r="AG40" s="1387"/>
      <c r="AH40" s="2299" t="s">
        <v>446</v>
      </c>
      <c r="AI40" s="2299"/>
      <c r="AJ40" s="2293"/>
      <c r="AK40" s="2308"/>
      <c r="AL40" s="2311"/>
      <c r="AM40" s="2157"/>
      <c r="AS40" s="1166">
        <v>23</v>
      </c>
    </row>
    <row s="1277" customFormat="1" customHeight="1" ht="24">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M41" s="1373"/>
      <c r="N41" s="1373"/>
      <c r="O41" s="1373"/>
      <c r="P41" s="1339"/>
      <c r="Q41" s="387"/>
      <c r="R41" s="387"/>
      <c r="S41" s="2303"/>
      <c r="T41" s="2239"/>
      <c r="U41" s="313"/>
      <c r="V41" s="2323"/>
      <c r="W41" s="2325"/>
      <c r="X41" s="1384" t="s">
        <v>454</v>
      </c>
      <c r="Y41" s="1384" t="s">
        <v>455</v>
      </c>
      <c r="Z41" s="1345" t="s">
        <v>456</v>
      </c>
      <c r="AA41" s="2300" t="s">
        <v>457</v>
      </c>
      <c r="AB41" s="2301"/>
      <c r="AC41" s="2309"/>
      <c r="AD41" s="2323"/>
      <c r="AE41" s="2325"/>
      <c r="AF41" s="1384" t="s">
        <v>454</v>
      </c>
      <c r="AG41" s="1384" t="s">
        <v>455</v>
      </c>
      <c r="AH41" s="1345" t="s">
        <v>456</v>
      </c>
      <c r="AI41" s="2300" t="s">
        <v>457</v>
      </c>
      <c r="AJ41" s="2301"/>
      <c r="AK41" s="2309"/>
      <c r="AL41" s="2312"/>
      <c r="AM41" s="2157"/>
      <c r="AN41" s="522"/>
      <c r="AO41" s="511"/>
      <c r="AP41" s="511"/>
      <c r="AQ41" s="511"/>
      <c r="AR41" s="511"/>
      <c r="AS41" s="593">
        <v>23</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346">
        <f>OFFSET(V42,0,-1)+1</f>
        <v>3</v>
      </c>
      <c r="W42" s="1346"/>
      <c r="X42" s="1352">
        <f>OFFSET(X42,0,-1)+1</f>
        <v>1</v>
      </c>
      <c r="Y42" s="1352">
        <f>OFFSET(Y42,0,-1)+1</f>
        <v>2</v>
      </c>
      <c r="Z42" s="1346">
        <f>OFFSET(Z42,0,-1)+1</f>
        <v>3</v>
      </c>
      <c r="AA42" s="2302">
        <f>OFFSET(AA42,0,-1)+1</f>
        <v>4</v>
      </c>
      <c r="AB42" s="2302"/>
      <c r="AC42" s="1346">
        <f>OFFSET(AC42,0,-2)+1</f>
        <v>5</v>
      </c>
      <c r="AD42" s="1346">
        <f>OFFSET(AD42,0,-1)+1</f>
        <v>6</v>
      </c>
      <c r="AE42" s="1346"/>
      <c r="AF42" s="1352">
        <f>OFFSET(AF42,0,-1)+1</f>
        <v>1</v>
      </c>
      <c r="AG42" s="1352">
        <f>OFFSET(AG42,0,-1)+1</f>
        <v>2</v>
      </c>
      <c r="AH42" s="1346">
        <f>OFFSET(AH42,0,-1)+1</f>
        <v>3</v>
      </c>
      <c r="AI42" s="2302">
        <f>OFFSET(AI42,0,-1)+1</f>
        <v>4</v>
      </c>
      <c r="AJ42" s="2302"/>
      <c r="AK42" s="1346">
        <f>OFFSET(AK42,0,-2)+1</f>
        <v>5</v>
      </c>
      <c r="AL42" s="1256">
        <f>OFFSET(AL42,0,-1)</f>
        <v>5</v>
      </c>
      <c r="AM42" s="1346">
        <f>OFFSET(AM42,0,-1)+1</f>
        <v>6</v>
      </c>
      <c r="AN42" s="522"/>
      <c r="AO42" s="522"/>
      <c r="AP42" s="522"/>
      <c r="AQ42" s="522"/>
      <c r="AR42" s="522"/>
      <c r="AS42" s="507">
        <v>0</v>
      </c>
    </row>
    <row customHeight="1" ht="22.049999999999997">
      <c r="A43" s="1374" t="s">
        <v>208</v>
      </c>
      <c r="B43" s="1374"/>
      <c r="C43" s="1374"/>
      <c r="D43" s="1374"/>
      <c r="E43" s="2288">
        <v>1</v>
      </c>
      <c r="F43" s="1374"/>
      <c r="G43" s="1374"/>
      <c r="H43" s="1374"/>
      <c r="I43" s="1374"/>
      <c r="J43" s="1374"/>
      <c r="K43" s="1374"/>
      <c r="L43" s="1375"/>
      <c r="M43" s="1376"/>
      <c r="N43" s="1376"/>
      <c r="O43" s="1376"/>
      <c r="P43" s="372"/>
      <c r="Q43" s="371"/>
      <c r="R43" s="366"/>
      <c r="S43" s="1347">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208</v>
      </c>
      <c r="B44" s="1374" t="s">
        <v>209</v>
      </c>
      <c r="C44" s="1374"/>
      <c r="D44" s="1374"/>
      <c r="E44" s="2289"/>
      <c r="F44" s="2288">
        <v>1</v>
      </c>
      <c r="G44" s="1374"/>
      <c r="H44" s="1374"/>
      <c r="I44" s="1374"/>
      <c r="J44" s="1374"/>
      <c r="K44" s="1374"/>
      <c r="L44" s="1375"/>
      <c r="M44" s="1376"/>
      <c r="N44" s="1376"/>
      <c r="O44" s="1376"/>
      <c r="P44" s="1343"/>
      <c r="Q44" s="363"/>
      <c r="R44" s="364"/>
      <c r="S44" s="1347"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21</v>
      </c>
    </row>
    <row customHeight="1" ht="24">
      <c r="A45" s="1374" t="s">
        <v>208</v>
      </c>
      <c r="B45" s="1374" t="s">
        <v>209</v>
      </c>
      <c r="C45" s="1374" t="s">
        <v>210</v>
      </c>
      <c r="D45" s="1374"/>
      <c r="E45" s="2289"/>
      <c r="F45" s="2289"/>
      <c r="G45" s="2288">
        <v>1</v>
      </c>
      <c r="H45" s="1374"/>
      <c r="I45" s="1374"/>
      <c r="J45" s="1374"/>
      <c r="K45" s="1374"/>
      <c r="L45" s="1375"/>
      <c r="M45" s="1376"/>
      <c r="N45" s="1376"/>
      <c r="O45" s="1376"/>
      <c r="P45" s="365"/>
      <c r="Q45" s="363"/>
      <c r="R45" s="364"/>
      <c r="S45" s="1347"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2.049999999999997">
      <c r="A46" s="1374" t="s">
        <v>208</v>
      </c>
      <c r="B46" s="1374" t="s">
        <v>209</v>
      </c>
      <c r="C46" s="1374" t="s">
        <v>210</v>
      </c>
      <c r="D46" s="1374" t="s">
        <v>211</v>
      </c>
      <c r="E46" s="2289"/>
      <c r="F46" s="2289"/>
      <c r="G46" s="2289"/>
      <c r="H46" s="2288">
        <v>1</v>
      </c>
      <c r="I46" s="1374"/>
      <c r="J46" s="1374"/>
      <c r="K46" s="1374"/>
      <c r="L46" s="1375"/>
      <c r="M46" s="1376"/>
      <c r="N46" s="1376"/>
      <c r="O46" s="1376"/>
      <c r="P46" s="365"/>
      <c r="Q46" s="363"/>
      <c r="R46" s="364"/>
      <c r="S46" s="1347"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21</v>
      </c>
    </row>
    <row customHeight="1" ht="49.5">
      <c r="A47" s="1374" t="s">
        <v>208</v>
      </c>
      <c r="B47" s="1374" t="s">
        <v>209</v>
      </c>
      <c r="C47" s="1374" t="s">
        <v>210</v>
      </c>
      <c r="D47" s="1374" t="s">
        <v>211</v>
      </c>
      <c r="E47" s="2289"/>
      <c r="F47" s="2289"/>
      <c r="G47" s="2289"/>
      <c r="H47" s="2289"/>
      <c r="I47" s="2286" t="str">
        <f>S46&amp;".1"</f>
        <v>....1</v>
      </c>
      <c r="J47" s="1374"/>
      <c r="K47" s="1374"/>
      <c r="L47" s="1375" t="s">
        <v>417</v>
      </c>
      <c r="P47" s="2287">
        <v>1</v>
      </c>
      <c r="Q47" s="1342"/>
      <c r="R47" s="367"/>
      <c r="S47" s="1347" t="str">
        <f>$I47</f>
        <v>....1</v>
      </c>
      <c r="T47" s="296" t="s">
        <v>418</v>
      </c>
      <c r="U47" s="311"/>
      <c r="V47" s="2275"/>
      <c r="W47" s="2276"/>
      <c r="X47" s="2276"/>
      <c r="Y47" s="2276"/>
      <c r="Z47" s="2276"/>
      <c r="AA47" s="2276"/>
      <c r="AB47" s="2276"/>
      <c r="AC47" s="2277"/>
      <c r="AD47" s="2275"/>
      <c r="AE47" s="2276"/>
      <c r="AF47" s="2276"/>
      <c r="AG47" s="2276"/>
      <c r="AH47" s="2276"/>
      <c r="AI47" s="2276"/>
      <c r="AJ47" s="2276"/>
      <c r="AK47" s="2276"/>
      <c r="AL47" s="2277"/>
      <c r="AM47" s="1269" t="s">
        <v>419</v>
      </c>
      <c r="AO47" s="511"/>
      <c r="AP47" s="511" t="str">
        <f>IF(T47="","",T47)</f>
        <v>Схема подключения теплопотребляющей установки к коллектору источника тепловой энергии</v>
      </c>
      <c r="AQ47" s="511"/>
      <c r="AR47" s="511"/>
      <c r="AS47" s="1166">
        <v>47</v>
      </c>
    </row>
    <row customHeight="1" ht="22.049999999999997">
      <c r="A48" s="1374" t="s">
        <v>208</v>
      </c>
      <c r="B48" s="1374" t="s">
        <v>209</v>
      </c>
      <c r="C48" s="1374" t="s">
        <v>210</v>
      </c>
      <c r="D48" s="1374" t="s">
        <v>211</v>
      </c>
      <c r="E48" s="2289"/>
      <c r="F48" s="2289"/>
      <c r="G48" s="2289"/>
      <c r="H48" s="2289"/>
      <c r="I48" s="2316"/>
      <c r="J48" s="2286" t="str">
        <f>I47&amp;".1"</f>
        <v>....1.1</v>
      </c>
      <c r="K48" s="1374"/>
      <c r="L48" s="1375" t="s">
        <v>420</v>
      </c>
      <c r="P48" s="2287"/>
      <c r="Q48" s="2287">
        <v>1</v>
      </c>
      <c r="R48" s="368"/>
      <c r="S48" s="1347" t="str">
        <f>$J48</f>
        <v>....1.1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21</v>
      </c>
    </row>
    <row customHeight="1" ht="22.049999999999997">
      <c r="A49" s="1374" t="s">
        <v>208</v>
      </c>
      <c r="B49" s="1374" t="s">
        <v>209</v>
      </c>
      <c r="C49" s="1374" t="s">
        <v>210</v>
      </c>
      <c r="D49" s="1374" t="s">
        <v>211</v>
      </c>
      <c r="E49" s="2289"/>
      <c r="F49" s="2289"/>
      <c r="G49" s="2289"/>
      <c r="H49" s="2289"/>
      <c r="I49" s="2316"/>
      <c r="J49" s="2316"/>
      <c r="K49" s="2286" t="str">
        <f>J48&amp;".1"</f>
        <v>....1.1.1</v>
      </c>
      <c r="L49" s="1375" t="s">
        <v>423</v>
      </c>
      <c r="P49" s="2287"/>
      <c r="Q49" s="2287"/>
      <c r="R49" s="368">
        <v>1</v>
      </c>
      <c r="S49" s="1347" t="str">
        <f>$K49</f>
        <v>....1.1.1</v>
      </c>
      <c r="T49" s="1358"/>
      <c r="U49" s="311"/>
      <c r="V49" s="336"/>
      <c r="W49" s="762"/>
      <c r="X49" s="336"/>
      <c r="Y49" s="395"/>
      <c r="Z49" s="2295"/>
      <c r="AA49" s="2137" t="s">
        <v>63</v>
      </c>
      <c r="AB49" s="2295"/>
      <c r="AC49" s="2137" t="s">
        <v>63</v>
      </c>
      <c r="AD49" s="336"/>
      <c r="AE49" s="762"/>
      <c r="AF49" s="336"/>
      <c r="AG49" s="395"/>
      <c r="AH49" s="2295"/>
      <c r="AI49" s="2137" t="s">
        <v>63</v>
      </c>
      <c r="AJ49" s="2317"/>
      <c r="AK49" s="2137" t="s">
        <v>63</v>
      </c>
      <c r="AL49" s="1359"/>
      <c r="AM49" s="2283" t="s">
        <v>424</v>
      </c>
      <c r="AN49" s="522">
        <f>STRCHECKDATE(V50:AL50)</f>
      </c>
      <c r="AO49" s="511"/>
      <c r="AP49" s="511" t="str">
        <f>IF(T49="","",T49)</f>
        <v/>
      </c>
      <c r="AQ49" s="511"/>
      <c r="AR49" s="511"/>
      <c r="AS49" s="1166">
        <v>21</v>
      </c>
    </row>
    <row customHeight="1" ht="1.05">
      <c r="A50" s="1374" t="s">
        <v>208</v>
      </c>
      <c r="B50" s="1374" t="s">
        <v>209</v>
      </c>
      <c r="C50" s="1374" t="s">
        <v>210</v>
      </c>
      <c r="D50" s="1374" t="s">
        <v>211</v>
      </c>
      <c r="E50" s="2289"/>
      <c r="F50" s="2289"/>
      <c r="G50" s="2289"/>
      <c r="H50" s="2289"/>
      <c r="I50" s="2316"/>
      <c r="J50" s="2316"/>
      <c r="K50" s="2286"/>
      <c r="L50" s="1375"/>
      <c r="P50" s="2287"/>
      <c r="Q50" s="2287"/>
      <c r="R50" s="368"/>
      <c r="S50" s="1353"/>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1</v>
      </c>
    </row>
    <row customHeight="1" ht="11.549999999999999">
      <c r="A51" s="1374" t="s">
        <v>208</v>
      </c>
      <c r="B51" s="1374" t="s">
        <v>209</v>
      </c>
      <c r="C51" s="1374" t="s">
        <v>210</v>
      </c>
      <c r="D51" s="1374" t="s">
        <v>211</v>
      </c>
      <c r="E51" s="2289"/>
      <c r="F51" s="2289"/>
      <c r="G51" s="2289"/>
      <c r="H51" s="2289"/>
      <c r="I51" s="2316"/>
      <c r="J51" s="2286"/>
      <c r="K51" s="1374"/>
      <c r="L51" s="1375"/>
      <c r="P51" s="2287"/>
      <c r="Q51" s="2287"/>
      <c r="R51" s="367"/>
      <c r="S51" s="1289"/>
      <c r="T51" s="299"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208</v>
      </c>
      <c r="B52" s="1374" t="s">
        <v>209</v>
      </c>
      <c r="C52" s="1374" t="s">
        <v>210</v>
      </c>
      <c r="D52" s="1374" t="s">
        <v>211</v>
      </c>
      <c r="E52" s="2289"/>
      <c r="F52" s="2289"/>
      <c r="G52" s="2289"/>
      <c r="H52" s="2289"/>
      <c r="I52" s="2286"/>
      <c r="J52" s="1374"/>
      <c r="K52" s="1374"/>
      <c r="L52" s="1375"/>
      <c r="P52" s="2287"/>
      <c r="Q52" s="1342"/>
      <c r="R52" s="367"/>
      <c r="S52" s="1289"/>
      <c r="T52" s="298"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14.699999999999998">
      <c r="A53" s="1374" t="s">
        <v>208</v>
      </c>
      <c r="B53" s="1374" t="s">
        <v>209</v>
      </c>
      <c r="C53" s="1374" t="s">
        <v>210</v>
      </c>
      <c r="D53" s="1374" t="s">
        <v>211</v>
      </c>
      <c r="E53" s="2289"/>
      <c r="F53" s="2289"/>
      <c r="G53" s="2289"/>
      <c r="H53" s="2288"/>
      <c r="I53" s="1374"/>
      <c r="J53" s="1374"/>
      <c r="K53" s="1374"/>
      <c r="L53" s="1375"/>
      <c r="M53" s="1376"/>
      <c r="N53" s="1376"/>
      <c r="O53" s="548"/>
      <c r="P53" s="371"/>
      <c r="Q53" s="386"/>
      <c r="R53" s="366"/>
      <c r="S53" s="1289"/>
      <c r="T53" s="376" t="s">
        <v>427</v>
      </c>
      <c r="U53" s="378"/>
      <c r="V53" s="378"/>
      <c r="W53" s="378"/>
      <c r="X53" s="378"/>
      <c r="Y53" s="378"/>
      <c r="Z53" s="378"/>
      <c r="AA53" s="378"/>
      <c r="AB53" s="378"/>
      <c r="AC53" s="377"/>
      <c r="AD53" s="378"/>
      <c r="AE53" s="378"/>
      <c r="AF53" s="378"/>
      <c r="AG53" s="378"/>
      <c r="AH53" s="378"/>
      <c r="AI53" s="378"/>
      <c r="AJ53" s="378"/>
      <c r="AK53" s="377"/>
      <c r="AL53" s="378"/>
      <c r="AM53" s="314"/>
      <c r="AO53" s="511"/>
      <c r="AP53" s="511" t="str">
        <f>IF(T53="","",T53)</f>
        <v>Добавить схему подключения</v>
      </c>
      <c r="AQ53" s="511"/>
      <c r="AR53" s="511"/>
      <c r="AS53" s="1166">
        <v>14</v>
      </c>
    </row>
    <row s="1653" customFormat="1" customHeight="1" ht="1.05">
      <c r="A54" s="1354" t="s">
        <v>208</v>
      </c>
      <c r="B54" s="1354" t="s">
        <v>209</v>
      </c>
      <c r="C54" s="1354" t="s">
        <v>210</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208</v>
      </c>
      <c r="B55" s="1354" t="s">
        <v>209</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208</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8.5">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27</v>
      </c>
    </row>
    <row customHeight="1" ht="78.75">
      <c r="O60" s="548"/>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75</v>
      </c>
    </row>
    <row customHeight="1" ht="14.699999999999998">
      <c r="O61" s="548"/>
      <c r="AS61" s="1166">
        <v>14</v>
      </c>
    </row>
    <row customHeight="1" ht="18.75">
      <c r="O62" s="548"/>
      <c r="S62" s="1264"/>
      <c r="T62" s="2315"/>
      <c r="U62" s="2315"/>
      <c r="V62" s="2315"/>
      <c r="W62" s="2315"/>
      <c r="X62" s="2315"/>
      <c r="Y62" s="2315"/>
      <c r="Z62" s="2315"/>
      <c r="AA62" s="2315"/>
      <c r="AB62" s="2315"/>
      <c r="AC62" s="2315"/>
      <c r="AD62" s="2315"/>
      <c r="AE62" s="2315"/>
      <c r="AF62" s="2315"/>
      <c r="AG62" s="2315"/>
      <c r="AH62" s="2315"/>
      <c r="AI62" s="2315"/>
      <c r="AJ62" s="2315"/>
      <c r="AK62" s="2315"/>
      <c r="AL62" s="2315"/>
      <c r="AM62" s="2315"/>
      <c r="AS62" s="1166">
        <v>18</v>
      </c>
    </row>
    <row customHeight="1" ht="18.75">
      <c r="O63" s="548"/>
      <c r="T63" s="2315"/>
      <c r="U63" s="2315"/>
      <c r="V63" s="2315"/>
      <c r="W63" s="2315"/>
      <c r="X63" s="2315"/>
      <c r="Y63" s="2315"/>
      <c r="Z63" s="2315"/>
      <c r="AA63" s="2315"/>
      <c r="AB63" s="2315"/>
      <c r="AC63" s="2315"/>
      <c r="AD63" s="2315"/>
      <c r="AE63" s="2315"/>
      <c r="AF63" s="2315"/>
      <c r="AG63" s="2315"/>
      <c r="AH63" s="2315"/>
      <c r="AI63" s="2315"/>
      <c r="AJ63" s="2315"/>
      <c r="AK63" s="2315"/>
      <c r="AL63" s="2315"/>
      <c r="AM63" s="2315"/>
      <c r="AS63" s="1166">
        <v>18</v>
      </c>
    </row>
    <row customHeight="1" ht="39.75">
      <c r="O64" s="548"/>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38</v>
      </c>
    </row>
    <row customHeight="1" ht="22.5" hidden="1">
      <c r="A65" s="1171" t="s">
        <v>83</v>
      </c>
      <c r="B65" s="1171">
        <v>0</v>
      </c>
      <c r="C65" s="1171">
        <v>0</v>
      </c>
      <c r="D65" s="1171">
        <v>0</v>
      </c>
      <c r="E65" s="1171">
        <v>0</v>
      </c>
      <c r="F65" s="1171">
        <v>0</v>
      </c>
      <c r="G65" s="1171">
        <v>0</v>
      </c>
      <c r="H65" s="1171">
        <v>0</v>
      </c>
      <c r="I65" s="1171">
        <v>0</v>
      </c>
      <c r="J65" s="1171">
        <v>0</v>
      </c>
      <c r="K65" s="1171">
        <v>0</v>
      </c>
      <c r="L65" s="1340">
        <v>0</v>
      </c>
      <c r="M65" s="1373">
        <v>0</v>
      </c>
      <c r="N65" s="1373">
        <v>0</v>
      </c>
      <c r="O65" s="1373">
        <v>0</v>
      </c>
      <c r="P65" s="1339">
        <v>3</v>
      </c>
      <c r="Q65" s="355">
        <v>3</v>
      </c>
      <c r="R65" s="355">
        <v>3</v>
      </c>
      <c r="S65" s="592">
        <v>12</v>
      </c>
      <c r="T65" s="1166">
        <v>31</v>
      </c>
      <c r="U65" s="1166">
        <v>0</v>
      </c>
      <c r="V65" s="1166">
        <v>0</v>
      </c>
      <c r="W65" s="1166">
        <v>0</v>
      </c>
      <c r="X65" s="1166">
        <v>0</v>
      </c>
      <c r="Y65" s="1166">
        <v>0</v>
      </c>
      <c r="Z65" s="1166">
        <v>0</v>
      </c>
      <c r="AA65" s="1166">
        <v>0</v>
      </c>
      <c r="AB65" s="1166">
        <v>0</v>
      </c>
      <c r="AC65" s="1166">
        <v>0</v>
      </c>
      <c r="AD65" s="1166">
        <v>0</v>
      </c>
      <c r="AE65" s="1166">
        <v>24</v>
      </c>
      <c r="AF65" s="1166">
        <v>0</v>
      </c>
      <c r="AG65" s="1166">
        <v>0</v>
      </c>
      <c r="AH65" s="1166">
        <v>11</v>
      </c>
      <c r="AI65" s="1166">
        <v>3</v>
      </c>
      <c r="AJ65" s="1166">
        <v>11</v>
      </c>
      <c r="AK65" s="1166">
        <v>0</v>
      </c>
      <c r="AL65" s="1166">
        <v>4</v>
      </c>
      <c r="AM65" s="1166">
        <v>115</v>
      </c>
      <c r="AN65" s="522">
        <v>10</v>
      </c>
      <c r="AO65" s="522">
        <v>10</v>
      </c>
      <c r="AP65" s="522">
        <v>10</v>
      </c>
      <c r="AQ65" s="522">
        <v>10</v>
      </c>
      <c r="AR65" s="522">
        <v>10</v>
      </c>
      <c r="AS65" s="116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B0D25-C2CD-A408-4EAE-0C6ED75C8EF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7109375" hidden="1"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8.421875" hidden="1" customWidth="1"/>
  </cols>
  <sheetData>
    <row customHeight="1" ht="22.5" hidden="1">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47">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43"/>
      <c r="Q3" s="363"/>
      <c r="R3" s="364"/>
      <c r="S3" s="1347">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1347">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364"/>
      <c r="S5" s="1347">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511"/>
      <c r="AP5" s="511" t="str">
        <f>IF(T5="","",T5)</f>
        <v>Источник тепловой энергии  </v>
      </c>
      <c r="AQ5" s="511"/>
      <c r="AR5" s="511"/>
      <c r="AS5" s="1166">
        <v>0</v>
      </c>
    </row>
    <row customHeight="1" ht="14.25" hidden="1">
      <c r="A6" s="1374"/>
      <c r="B6" s="1374"/>
      <c r="C6" s="1374"/>
      <c r="D6" s="1374"/>
      <c r="E6" s="2289"/>
      <c r="F6" s="2289"/>
      <c r="G6" s="2289"/>
      <c r="H6" s="2289"/>
      <c r="I6" s="2286">
        <f>S5&amp;".1"</f>
      </c>
      <c r="J6" s="1374"/>
      <c r="K6" s="1374"/>
      <c r="L6" s="1375" t="s">
        <v>417</v>
      </c>
      <c r="M6" s="548"/>
      <c r="P6" s="2287">
        <v>1</v>
      </c>
      <c r="Q6" s="1342"/>
      <c r="R6" s="367"/>
      <c r="S6" s="1053"/>
      <c r="T6" s="1394"/>
      <c r="U6" s="1395"/>
      <c r="V6" s="2326"/>
      <c r="W6" s="2327"/>
      <c r="X6" s="2327"/>
      <c r="Y6" s="2327"/>
      <c r="Z6" s="2327"/>
      <c r="AA6" s="2327"/>
      <c r="AB6" s="2327"/>
      <c r="AC6" s="2328"/>
      <c r="AD6" s="2326"/>
      <c r="AE6" s="2327"/>
      <c r="AF6" s="2327"/>
      <c r="AG6" s="2327"/>
      <c r="AH6" s="2327"/>
      <c r="AI6" s="2327"/>
      <c r="AJ6" s="2327"/>
      <c r="AK6" s="2327"/>
      <c r="AL6" s="2328"/>
      <c r="AM6" s="1396"/>
      <c r="AO6" s="511"/>
      <c r="AP6" s="511" t="str">
        <f>IF(T6="","",T6)</f>
        <v/>
      </c>
      <c r="AQ6" s="511"/>
      <c r="AR6" s="511"/>
      <c r="AS6" s="1166">
        <v>0</v>
      </c>
    </row>
    <row customHeight="1" ht="21" hidden="1">
      <c r="A7" s="1374"/>
      <c r="B7" s="1374"/>
      <c r="C7" s="1374"/>
      <c r="D7" s="1374"/>
      <c r="E7" s="2289"/>
      <c r="F7" s="2289"/>
      <c r="G7" s="2289"/>
      <c r="H7" s="2289"/>
      <c r="I7" s="2316"/>
      <c r="J7" s="2286">
        <f>I6&amp;".1"</f>
      </c>
      <c r="K7" s="1374"/>
      <c r="L7" s="1375" t="s">
        <v>420</v>
      </c>
      <c r="M7" s="548"/>
      <c r="N7" s="1377"/>
      <c r="P7" s="2287"/>
      <c r="Q7" s="2287">
        <v>1</v>
      </c>
      <c r="R7" s="368"/>
      <c r="S7" s="1347">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511"/>
      <c r="AP7" s="511" t="str">
        <f>IF(T7="","",T7)</f>
        <v>Группа потребителей</v>
      </c>
      <c r="AQ7" s="511"/>
      <c r="AR7" s="511"/>
      <c r="AS7" s="1166">
        <v>0</v>
      </c>
    </row>
    <row customHeight="1" ht="21" hidden="1">
      <c r="A8" s="1374"/>
      <c r="B8" s="1374"/>
      <c r="C8" s="1374"/>
      <c r="D8" s="1374"/>
      <c r="E8" s="2289"/>
      <c r="F8" s="2289"/>
      <c r="G8" s="2289"/>
      <c r="H8" s="2289"/>
      <c r="I8" s="2316"/>
      <c r="J8" s="2316"/>
      <c r="K8" s="2286">
        <f>J7&amp;".1"</f>
      </c>
      <c r="L8" s="1375" t="s">
        <v>423</v>
      </c>
      <c r="M8" s="548"/>
      <c r="N8" s="1377"/>
      <c r="O8" s="1377"/>
      <c r="P8" s="2287"/>
      <c r="Q8" s="2287"/>
      <c r="R8" s="368">
        <v>1</v>
      </c>
      <c r="S8" s="1347">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522">
        <f>STRCHECKDATE(V9:AL9)</f>
      </c>
      <c r="AO8" s="511"/>
      <c r="AP8" s="511" t="str">
        <f>IF(T8="","",T8)</f>
        <v/>
      </c>
      <c r="AQ8" s="511"/>
      <c r="AR8" s="511"/>
      <c r="AS8" s="1166">
        <v>0</v>
      </c>
    </row>
    <row customHeight="1" ht="0.75" hidden="1">
      <c r="A9" s="1374"/>
      <c r="B9" s="1374"/>
      <c r="C9" s="1374"/>
      <c r="D9" s="1374"/>
      <c r="E9" s="2289"/>
      <c r="F9" s="2289"/>
      <c r="G9" s="2289"/>
      <c r="H9" s="2289"/>
      <c r="I9" s="2316"/>
      <c r="J9" s="2316"/>
      <c r="K9" s="2286"/>
      <c r="L9" s="1375"/>
      <c r="M9" s="548"/>
      <c r="N9" s="1377"/>
      <c r="O9" s="1377"/>
      <c r="P9" s="2287"/>
      <c r="Q9" s="2287"/>
      <c r="R9" s="368"/>
      <c r="S9" s="1353"/>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5" hidden="1">
      <c r="A10" s="1374"/>
      <c r="B10" s="1374"/>
      <c r="C10" s="1374"/>
      <c r="D10" s="1374"/>
      <c r="E10" s="2289"/>
      <c r="F10" s="2289"/>
      <c r="G10" s="2289"/>
      <c r="H10" s="2289"/>
      <c r="I10" s="2316"/>
      <c r="J10" s="2286"/>
      <c r="K10" s="1374"/>
      <c r="L10" s="1375"/>
      <c r="M10" s="548"/>
      <c r="N10" s="1377"/>
      <c r="P10" s="2287"/>
      <c r="Q10" s="2287"/>
      <c r="R10" s="367"/>
      <c r="S10" s="1289"/>
      <c r="T10" s="298"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5" hidden="1">
      <c r="A11" s="1374"/>
      <c r="B11" s="1374"/>
      <c r="C11" s="1374"/>
      <c r="D11" s="1374"/>
      <c r="E11" s="2289"/>
      <c r="F11" s="2289"/>
      <c r="G11" s="2289"/>
      <c r="H11" s="2289"/>
      <c r="I11" s="2286"/>
      <c r="J11" s="1374"/>
      <c r="K11" s="1374"/>
      <c r="L11" s="1375"/>
      <c r="M11" s="548"/>
      <c r="P11" s="2287"/>
      <c r="Q11" s="1342"/>
      <c r="R11" s="367"/>
      <c r="S11" s="1289"/>
      <c r="T11" s="376"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89"/>
      <c r="F12" s="2289"/>
      <c r="G12" s="2289"/>
      <c r="H12" s="2288"/>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0.7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97"/>
      <c r="AI17" s="2298" t="s">
        <v>63</v>
      </c>
      <c r="AJ17" s="2297"/>
      <c r="AK17" s="2298" t="s">
        <v>63</v>
      </c>
      <c r="AS17" s="1166">
        <v>0</v>
      </c>
    </row>
    <row customHeight="1" ht="14.25" hidden="1">
      <c r="AD18" s="1371"/>
      <c r="AE18" s="1371"/>
      <c r="AF18" s="1371"/>
      <c r="AG18" s="339" t="str">
        <f>AH17&amp;"-"&amp;AJ17</f>
        <v>-</v>
      </c>
      <c r="AH18" s="2298"/>
      <c r="AI18" s="2298"/>
      <c r="AJ18" s="2298"/>
      <c r="AK18" s="2298"/>
      <c r="AS18" s="1166">
        <v>0</v>
      </c>
    </row>
    <row customHeight="1" ht="14.25" hidden="1">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63">
      <c r="Q26" s="387"/>
      <c r="R26" s="387"/>
      <c r="S26" s="227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8"/>
      <c r="U26" s="2278"/>
      <c r="V26" s="2278"/>
      <c r="W26" s="2278"/>
      <c r="X26" s="2278"/>
      <c r="Y26" s="2278"/>
      <c r="Z26" s="2278"/>
      <c r="AA26" s="2278"/>
      <c r="AB26" s="2278"/>
      <c r="AC26" s="2278"/>
      <c r="AD26" s="2278"/>
      <c r="AE26" s="2278"/>
      <c r="AF26" s="2278"/>
      <c r="AG26" s="2278"/>
      <c r="AH26" s="2278"/>
      <c r="AI26" s="2278"/>
      <c r="AJ26" s="2278"/>
      <c r="AK26" s="1254"/>
      <c r="AS26" s="1166">
        <v>60</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18.7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166">
        <v>14</v>
      </c>
    </row>
    <row customHeight="1" ht="35.699999999999996">
      <c r="Q40" s="387"/>
      <c r="R40" s="387"/>
      <c r="S40" s="2303"/>
      <c r="T40" s="2239"/>
      <c r="U40" s="1042"/>
      <c r="V40" s="2290" t="s">
        <v>460</v>
      </c>
      <c r="W40" s="2313"/>
      <c r="X40" s="2292" t="s">
        <v>445</v>
      </c>
      <c r="Y40" s="2293"/>
      <c r="Z40" s="2292" t="s">
        <v>446</v>
      </c>
      <c r="AA40" s="2299"/>
      <c r="AB40" s="2293"/>
      <c r="AC40" s="2308"/>
      <c r="AD40" s="2290" t="s">
        <v>460</v>
      </c>
      <c r="AE40" s="2313"/>
      <c r="AF40" s="2292" t="s">
        <v>445</v>
      </c>
      <c r="AG40" s="2293"/>
      <c r="AH40" s="2292" t="s">
        <v>446</v>
      </c>
      <c r="AI40" s="2299"/>
      <c r="AJ40" s="2293"/>
      <c r="AK40" s="2308"/>
      <c r="AL40" s="2311"/>
      <c r="AM40" s="2157"/>
      <c r="AS40" s="1166">
        <v>34</v>
      </c>
    </row>
    <row customHeight="1" ht="35.699999999999996">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Q41" s="387"/>
      <c r="R41" s="387"/>
      <c r="S41" s="2303"/>
      <c r="T41" s="2239"/>
      <c r="U41" s="313"/>
      <c r="V41" s="2291"/>
      <c r="W41" s="2314"/>
      <c r="X41" s="1233" t="s">
        <v>454</v>
      </c>
      <c r="Y41" s="1233" t="s">
        <v>455</v>
      </c>
      <c r="Z41" s="1349" t="s">
        <v>456</v>
      </c>
      <c r="AA41" s="2300" t="s">
        <v>457</v>
      </c>
      <c r="AB41" s="2301"/>
      <c r="AC41" s="2309"/>
      <c r="AD41" s="2291"/>
      <c r="AE41" s="2314"/>
      <c r="AF41" s="1233" t="s">
        <v>454</v>
      </c>
      <c r="AG41" s="1233" t="s">
        <v>455</v>
      </c>
      <c r="AH41" s="1349" t="s">
        <v>456</v>
      </c>
      <c r="AI41" s="2300" t="s">
        <v>457</v>
      </c>
      <c r="AJ41" s="2301"/>
      <c r="AK41" s="2309"/>
      <c r="AL41" s="2312"/>
      <c r="AM41" s="2157"/>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346">
        <f>OFFSET(V42,0,-1)+1</f>
        <v>3</v>
      </c>
      <c r="W42" s="1346"/>
      <c r="X42" s="1346">
        <f>OFFSET(X42,0,-1)+1</f>
        <v>1</v>
      </c>
      <c r="Y42" s="1346">
        <f>OFFSET(Y42,0,-1)+1</f>
        <v>2</v>
      </c>
      <c r="Z42" s="1346">
        <f>OFFSET(Z42,0,-1)+1</f>
        <v>3</v>
      </c>
      <c r="AA42" s="2302">
        <f>OFFSET(AA42,0,-1)+1</f>
        <v>4</v>
      </c>
      <c r="AB42" s="2302"/>
      <c r="AC42" s="1346">
        <f>OFFSET(AC42,0,-2)+1</f>
        <v>5</v>
      </c>
      <c r="AD42" s="1346">
        <f>OFFSET(AD42,0,-1)+1</f>
        <v>6</v>
      </c>
      <c r="AE42" s="1346"/>
      <c r="AF42" s="1346">
        <f>OFFSET(AF42,0,-1)+1</f>
        <v>1</v>
      </c>
      <c r="AG42" s="1346">
        <f>OFFSET(AG42,0,-1)+1</f>
        <v>2</v>
      </c>
      <c r="AH42" s="1346">
        <f>OFFSET(AH42,0,-1)+1</f>
        <v>3</v>
      </c>
      <c r="AI42" s="2302">
        <f>OFFSET(AI42,0,-1)+1</f>
        <v>4</v>
      </c>
      <c r="AJ42" s="2302"/>
      <c r="AK42" s="1346">
        <f>OFFSET(AK42,0,-2)+1</f>
        <v>5</v>
      </c>
      <c r="AL42" s="1256">
        <f>OFFSET(AL42,0,-1)</f>
        <v>5</v>
      </c>
      <c r="AM42" s="1346">
        <f>OFFSET(AM42,0,-1)+1</f>
        <v>6</v>
      </c>
      <c r="AN42" s="522"/>
      <c r="AO42" s="522"/>
      <c r="AP42" s="522"/>
      <c r="AQ42" s="522"/>
      <c r="AR42" s="522"/>
      <c r="AS42" s="507">
        <v>0</v>
      </c>
    </row>
    <row customHeight="1" ht="22.049999999999997">
      <c r="A43" s="1374" t="s">
        <v>184</v>
      </c>
      <c r="B43" s="1374"/>
      <c r="C43" s="1374"/>
      <c r="D43" s="1374"/>
      <c r="E43" s="2288">
        <v>1</v>
      </c>
      <c r="F43" s="1374"/>
      <c r="G43" s="1374"/>
      <c r="H43" s="1374"/>
      <c r="I43" s="1374"/>
      <c r="J43" s="1374"/>
      <c r="K43" s="1374"/>
      <c r="L43" s="1375"/>
      <c r="M43" s="1376"/>
      <c r="N43" s="1376"/>
      <c r="O43" s="1376"/>
      <c r="P43" s="372"/>
      <c r="Q43" s="371"/>
      <c r="R43" s="366"/>
      <c r="S43" s="1347">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184</v>
      </c>
      <c r="B44" s="1374" t="s">
        <v>185</v>
      </c>
      <c r="C44" s="1374"/>
      <c r="D44" s="1374"/>
      <c r="E44" s="2289"/>
      <c r="F44" s="2288">
        <v>1</v>
      </c>
      <c r="G44" s="1374"/>
      <c r="H44" s="1374"/>
      <c r="I44" s="1374"/>
      <c r="J44" s="1374"/>
      <c r="K44" s="1374"/>
      <c r="L44" s="1375"/>
      <c r="M44" s="1376"/>
      <c r="N44" s="1376"/>
      <c r="O44" s="1376"/>
      <c r="P44" s="1343"/>
      <c r="Q44" s="363"/>
      <c r="R44" s="364"/>
      <c r="S44" s="1347"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21</v>
      </c>
    </row>
    <row customHeight="1" ht="24">
      <c r="A45" s="1374" t="s">
        <v>184</v>
      </c>
      <c r="B45" s="1374" t="s">
        <v>185</v>
      </c>
      <c r="C45" s="1374" t="s">
        <v>186</v>
      </c>
      <c r="D45" s="1374"/>
      <c r="E45" s="2289"/>
      <c r="F45" s="2289"/>
      <c r="G45" s="2288">
        <v>1</v>
      </c>
      <c r="H45" s="1374"/>
      <c r="I45" s="1374"/>
      <c r="J45" s="1374"/>
      <c r="K45" s="1374"/>
      <c r="L45" s="1375"/>
      <c r="M45" s="1376"/>
      <c r="N45" s="1376"/>
      <c r="O45" s="1376"/>
      <c r="P45" s="365"/>
      <c r="Q45" s="363"/>
      <c r="R45" s="364"/>
      <c r="S45" s="1347"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2.049999999999997">
      <c r="A46" s="1374" t="s">
        <v>184</v>
      </c>
      <c r="B46" s="1374" t="s">
        <v>185</v>
      </c>
      <c r="C46" s="1374" t="s">
        <v>186</v>
      </c>
      <c r="D46" s="1374" t="s">
        <v>187</v>
      </c>
      <c r="E46" s="2289"/>
      <c r="F46" s="2289"/>
      <c r="G46" s="2289"/>
      <c r="H46" s="2288">
        <v>1</v>
      </c>
      <c r="I46" s="1374"/>
      <c r="J46" s="1374"/>
      <c r="K46" s="1374"/>
      <c r="L46" s="1375"/>
      <c r="M46" s="1376"/>
      <c r="N46" s="1376"/>
      <c r="O46" s="1376"/>
      <c r="P46" s="365"/>
      <c r="Q46" s="363"/>
      <c r="R46" s="364"/>
      <c r="S46" s="1347"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21</v>
      </c>
    </row>
    <row s="1653" customFormat="1" customHeight="1" ht="0">
      <c r="A47" s="1354" t="s">
        <v>184</v>
      </c>
      <c r="B47" s="1354" t="s">
        <v>185</v>
      </c>
      <c r="C47" s="1354" t="s">
        <v>186</v>
      </c>
      <c r="D47" s="1354" t="s">
        <v>187</v>
      </c>
      <c r="E47" s="2289"/>
      <c r="F47" s="2289"/>
      <c r="G47" s="2289"/>
      <c r="H47" s="2289"/>
      <c r="I47" s="2286" t="str">
        <f>S46&amp;".1"</f>
        <v>....1</v>
      </c>
      <c r="J47" s="1354"/>
      <c r="K47" s="1354"/>
      <c r="L47" s="1357" t="s">
        <v>417</v>
      </c>
      <c r="M47" s="521"/>
      <c r="N47" s="521"/>
      <c r="O47" s="521"/>
      <c r="P47" s="2287">
        <v>1</v>
      </c>
      <c r="Q47" s="1342"/>
      <c r="R47" s="367"/>
      <c r="S47" s="1053"/>
      <c r="T47" s="1394"/>
      <c r="U47" s="1395"/>
      <c r="V47" s="2326"/>
      <c r="W47" s="2327"/>
      <c r="X47" s="2327"/>
      <c r="Y47" s="2327"/>
      <c r="Z47" s="2327"/>
      <c r="AA47" s="2327"/>
      <c r="AB47" s="2327"/>
      <c r="AC47" s="2328"/>
      <c r="AD47" s="2326"/>
      <c r="AE47" s="2327"/>
      <c r="AF47" s="2327"/>
      <c r="AG47" s="2327"/>
      <c r="AH47" s="2327"/>
      <c r="AI47" s="2327"/>
      <c r="AJ47" s="2327"/>
      <c r="AK47" s="2327"/>
      <c r="AL47" s="2328"/>
      <c r="AM47" s="1396"/>
      <c r="AO47" s="511"/>
      <c r="AP47" s="511" t="str">
        <f>IF(T47="","",T47)</f>
        <v/>
      </c>
      <c r="AQ47" s="511"/>
      <c r="AR47" s="511"/>
      <c r="AS47" s="522">
        <v>0</v>
      </c>
    </row>
    <row customHeight="1" ht="22.049999999999997">
      <c r="A48" s="1374" t="s">
        <v>184</v>
      </c>
      <c r="B48" s="1374" t="s">
        <v>185</v>
      </c>
      <c r="C48" s="1374" t="s">
        <v>186</v>
      </c>
      <c r="D48" s="1374" t="s">
        <v>187</v>
      </c>
      <c r="E48" s="2289"/>
      <c r="F48" s="2289"/>
      <c r="G48" s="2289"/>
      <c r="H48" s="2289"/>
      <c r="I48" s="2316"/>
      <c r="J48" s="2286" t="str">
        <f>S46&amp;".1"</f>
        <v>....1</v>
      </c>
      <c r="K48" s="1374"/>
      <c r="L48" s="1375" t="s">
        <v>420</v>
      </c>
      <c r="P48" s="2287"/>
      <c r="Q48" s="2287">
        <v>1</v>
      </c>
      <c r="R48" s="368"/>
      <c r="S48" s="1347" t="str">
        <f>$J48</f>
        <v>....1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21</v>
      </c>
    </row>
    <row customHeight="1" ht="22.049999999999997">
      <c r="A49" s="1374" t="s">
        <v>184</v>
      </c>
      <c r="B49" s="1374" t="s">
        <v>185</v>
      </c>
      <c r="C49" s="1374" t="s">
        <v>186</v>
      </c>
      <c r="D49" s="1374" t="s">
        <v>187</v>
      </c>
      <c r="E49" s="2289"/>
      <c r="F49" s="2289"/>
      <c r="G49" s="2289"/>
      <c r="H49" s="2289"/>
      <c r="I49" s="2316"/>
      <c r="J49" s="2316"/>
      <c r="K49" s="2286" t="str">
        <f>J48&amp;".1"</f>
        <v>....1.1</v>
      </c>
      <c r="L49" s="1375" t="s">
        <v>423</v>
      </c>
      <c r="P49" s="2287"/>
      <c r="Q49" s="2287"/>
      <c r="R49" s="368">
        <v>1</v>
      </c>
      <c r="S49" s="1347" t="str">
        <f>$K49</f>
        <v>....1.1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461</v>
      </c>
      <c r="AN49" s="522">
        <f>STRCHECKDATE(V50:AL50)</f>
      </c>
      <c r="AO49" s="511"/>
      <c r="AP49" s="511" t="str">
        <f>IF(T49="","",T49)</f>
        <v/>
      </c>
      <c r="AQ49" s="511"/>
      <c r="AR49" s="511"/>
      <c r="AS49" s="1166">
        <v>21</v>
      </c>
    </row>
    <row customHeight="1" ht="1.05">
      <c r="A50" s="1374" t="s">
        <v>184</v>
      </c>
      <c r="B50" s="1374" t="s">
        <v>185</v>
      </c>
      <c r="C50" s="1374" t="s">
        <v>186</v>
      </c>
      <c r="D50" s="1374" t="s">
        <v>187</v>
      </c>
      <c r="E50" s="2289"/>
      <c r="F50" s="2289"/>
      <c r="G50" s="2289"/>
      <c r="H50" s="2289"/>
      <c r="I50" s="2316"/>
      <c r="J50" s="2316"/>
      <c r="K50" s="2286"/>
      <c r="L50" s="1375"/>
      <c r="P50" s="2287"/>
      <c r="Q50" s="2287"/>
      <c r="R50" s="368"/>
      <c r="S50" s="1353"/>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1</v>
      </c>
    </row>
    <row customHeight="1" ht="11.549999999999999">
      <c r="A51" s="1374" t="s">
        <v>184</v>
      </c>
      <c r="B51" s="1374" t="s">
        <v>185</v>
      </c>
      <c r="C51" s="1374" t="s">
        <v>186</v>
      </c>
      <c r="D51" s="1374" t="s">
        <v>187</v>
      </c>
      <c r="E51" s="2289"/>
      <c r="F51" s="2289"/>
      <c r="G51" s="2289"/>
      <c r="H51" s="2289"/>
      <c r="I51" s="2316"/>
      <c r="J51" s="2286"/>
      <c r="K51" s="1374"/>
      <c r="L51" s="1375"/>
      <c r="P51" s="2287"/>
      <c r="Q51" s="2287"/>
      <c r="R51" s="367"/>
      <c r="S51" s="1289"/>
      <c r="T51" s="298"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184</v>
      </c>
      <c r="B52" s="1374" t="s">
        <v>185</v>
      </c>
      <c r="C52" s="1374" t="s">
        <v>186</v>
      </c>
      <c r="D52" s="1374" t="s">
        <v>187</v>
      </c>
      <c r="E52" s="2289"/>
      <c r="F52" s="2289"/>
      <c r="G52" s="2289"/>
      <c r="H52" s="2289"/>
      <c r="I52" s="2286"/>
      <c r="J52" s="1374"/>
      <c r="K52" s="1374"/>
      <c r="L52" s="1375"/>
      <c r="P52" s="2287"/>
      <c r="Q52" s="1342"/>
      <c r="R52" s="367"/>
      <c r="S52" s="1289"/>
      <c r="T52" s="376"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184</v>
      </c>
      <c r="B53" s="1374" t="s">
        <v>185</v>
      </c>
      <c r="C53" s="1374" t="s">
        <v>186</v>
      </c>
      <c r="D53" s="1374" t="s">
        <v>187</v>
      </c>
      <c r="E53" s="2289"/>
      <c r="F53" s="2289"/>
      <c r="G53" s="2289"/>
      <c r="H53" s="2288"/>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1.05">
      <c r="A54" s="1354" t="s">
        <v>184</v>
      </c>
      <c r="B54" s="1354" t="s">
        <v>185</v>
      </c>
      <c r="C54" s="1354" t="s">
        <v>186</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184</v>
      </c>
      <c r="B55" s="1354" t="s">
        <v>185</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184</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19.95">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19</v>
      </c>
    </row>
    <row customHeight="1" ht="29.25">
      <c r="O60" s="548"/>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28</v>
      </c>
    </row>
    <row customHeight="1" ht="42">
      <c r="O61" s="548"/>
      <c r="T61" s="2315"/>
      <c r="U61" s="2315"/>
      <c r="V61" s="2315"/>
      <c r="W61" s="2315"/>
      <c r="X61" s="2315"/>
      <c r="Y61" s="2315"/>
      <c r="Z61" s="2315"/>
      <c r="AA61" s="2315"/>
      <c r="AB61" s="2315"/>
      <c r="AC61" s="2315"/>
      <c r="AD61" s="2315"/>
      <c r="AE61" s="2315"/>
      <c r="AF61" s="2315"/>
      <c r="AG61" s="2315"/>
      <c r="AH61" s="2315"/>
      <c r="AI61" s="2315"/>
      <c r="AJ61" s="2315"/>
      <c r="AK61" s="2315"/>
      <c r="AL61" s="2315"/>
      <c r="AM61" s="2315"/>
      <c r="AS61" s="1166">
        <v>40</v>
      </c>
    </row>
    <row customHeight="1" ht="14.699999999999998">
      <c r="O62" s="548"/>
      <c r="AS62" s="1166">
        <v>14</v>
      </c>
    </row>
    <row customHeight="1" ht="21">
      <c r="O63" s="548"/>
      <c r="S63" s="1264"/>
      <c r="T63" s="2329"/>
      <c r="U63" s="2315"/>
      <c r="V63" s="2315"/>
      <c r="W63" s="2315"/>
      <c r="X63" s="2315"/>
      <c r="Y63" s="2315"/>
      <c r="Z63" s="2315"/>
      <c r="AA63" s="2315"/>
      <c r="AB63" s="2315"/>
      <c r="AC63" s="2315"/>
      <c r="AD63" s="2315"/>
      <c r="AE63" s="2315"/>
      <c r="AF63" s="2315"/>
      <c r="AG63" s="2315"/>
      <c r="AH63" s="2315"/>
      <c r="AI63" s="2315"/>
      <c r="AJ63" s="2315"/>
      <c r="AK63" s="2315"/>
      <c r="AL63" s="2315"/>
      <c r="AM63" s="2315"/>
      <c r="AS63" s="1166">
        <v>20</v>
      </c>
    </row>
    <row customHeight="1" ht="29.25">
      <c r="O64" s="548"/>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28</v>
      </c>
    </row>
    <row customHeight="1" ht="35.699999999999996">
      <c r="T65" s="2315"/>
      <c r="U65" s="2315"/>
      <c r="V65" s="2315"/>
      <c r="W65" s="2315"/>
      <c r="X65" s="2315"/>
      <c r="Y65" s="2315"/>
      <c r="Z65" s="2315"/>
      <c r="AA65" s="2315"/>
      <c r="AB65" s="2315"/>
      <c r="AC65" s="2315"/>
      <c r="AD65" s="2315"/>
      <c r="AE65" s="2315"/>
      <c r="AF65" s="2315"/>
      <c r="AG65" s="2315"/>
      <c r="AH65" s="2315"/>
      <c r="AI65" s="2315"/>
      <c r="AJ65" s="2315"/>
      <c r="AK65" s="2315"/>
      <c r="AL65" s="2315"/>
      <c r="AM65" s="2315"/>
      <c r="AS65" s="1166">
        <v>34</v>
      </c>
    </row>
    <row customHeight="1" ht="22.5" hidden="1">
      <c r="A66" s="1171" t="s">
        <v>83</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4D041-7F15-B6A8-D897-D919736318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7109375" hidden="1"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A1" s="1879"/>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47">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43"/>
      <c r="Q3" s="363"/>
      <c r="R3" s="364"/>
      <c r="S3" s="1347">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2016">
        <f>INDEX(PT_DIFFERENTIATION_NUM_CS,MATCH(C4,PT_DIFFERENTIATION_CS_ID,0))</f>
      </c>
      <c r="T4" s="2020" t="s">
        <v>413</v>
      </c>
      <c r="U4" s="2021"/>
      <c r="V4" s="2330"/>
      <c r="W4" s="2331"/>
      <c r="X4" s="2331"/>
      <c r="Y4" s="2331"/>
      <c r="Z4" s="2331"/>
      <c r="AA4" s="2331"/>
      <c r="AB4" s="2331"/>
      <c r="AC4" s="2332"/>
      <c r="AD4" s="2330">
        <f>INDEX(PT_DIFFERENTIATION_CS,MATCH(C4,PT_DIFFERENTIATION_CS_ID,0))</f>
      </c>
      <c r="AE4" s="2331"/>
      <c r="AF4" s="2331"/>
      <c r="AG4" s="2331"/>
      <c r="AH4" s="2331"/>
      <c r="AI4" s="2331"/>
      <c r="AJ4" s="2331"/>
      <c r="AK4" s="2331"/>
      <c r="AL4" s="2332"/>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1646"/>
      <c r="S5" s="2015">
        <f>INDEX(PT_DIFFERENTIATION_NUM_IST_TE,MATCH(D5,PT_DIFFERENTIATION_IST_TE_ID,0))</f>
      </c>
      <c r="T5" s="321" t="s">
        <v>415</v>
      </c>
      <c r="U5" s="311"/>
      <c r="V5" s="2333"/>
      <c r="W5" s="2333"/>
      <c r="X5" s="2333"/>
      <c r="Y5" s="2333"/>
      <c r="Z5" s="2333"/>
      <c r="AA5" s="2333"/>
      <c r="AB5" s="2333"/>
      <c r="AC5" s="2333"/>
      <c r="AD5" s="2333">
        <f>INDEX(PT_DIFFERENTIATION_IST_TE,MATCH(D5,PT_DIFFERENTIATION_IST_TE_ID,0))</f>
      </c>
      <c r="AE5" s="2333"/>
      <c r="AF5" s="2333"/>
      <c r="AG5" s="2333"/>
      <c r="AH5" s="2333"/>
      <c r="AI5" s="2333"/>
      <c r="AJ5" s="2333"/>
      <c r="AK5" s="2333"/>
      <c r="AL5" s="2333"/>
      <c r="AM5" s="2018" t="s">
        <v>416</v>
      </c>
      <c r="AO5" s="511"/>
      <c r="AP5" s="511" t="str">
        <f>IF(T5="","",T5)</f>
        <v>Источник тепловой энергии  </v>
      </c>
      <c r="AQ5" s="511"/>
      <c r="AR5" s="511"/>
      <c r="AS5" s="1166">
        <v>0</v>
      </c>
    </row>
    <row customHeight="1" ht="0.75" hidden="1">
      <c r="A6" s="1374"/>
      <c r="B6" s="1374"/>
      <c r="C6" s="1374"/>
      <c r="D6" s="1374"/>
      <c r="E6" s="2289"/>
      <c r="F6" s="2289"/>
      <c r="G6" s="2289"/>
      <c r="H6" s="2289"/>
      <c r="I6" s="2286">
        <f>S5&amp;".1"</f>
      </c>
      <c r="J6" s="1374"/>
      <c r="K6" s="1374"/>
      <c r="L6" s="1375" t="s">
        <v>417</v>
      </c>
      <c r="M6" s="548"/>
      <c r="P6" s="2287">
        <v>1</v>
      </c>
      <c r="Q6" s="1342"/>
      <c r="R6" s="2014"/>
      <c r="S6" s="1053"/>
      <c r="T6" s="1394"/>
      <c r="U6" s="1395"/>
      <c r="V6" s="2334"/>
      <c r="W6" s="2334"/>
      <c r="X6" s="2334"/>
      <c r="Y6" s="2334"/>
      <c r="Z6" s="2334"/>
      <c r="AA6" s="2334"/>
      <c r="AB6" s="2334"/>
      <c r="AC6" s="2334"/>
      <c r="AD6" s="2334"/>
      <c r="AE6" s="2334"/>
      <c r="AF6" s="2334"/>
      <c r="AG6" s="2334"/>
      <c r="AH6" s="2334"/>
      <c r="AI6" s="2334"/>
      <c r="AJ6" s="2334"/>
      <c r="AK6" s="2334"/>
      <c r="AL6" s="2334"/>
      <c r="AM6" s="2019"/>
      <c r="AO6" s="511"/>
      <c r="AP6" s="511" t="str">
        <f>IF(T6="","",T6)</f>
        <v/>
      </c>
      <c r="AQ6" s="511"/>
      <c r="AR6" s="511"/>
      <c r="AS6" s="1166">
        <v>0</v>
      </c>
    </row>
    <row customHeight="1" ht="84" hidden="1">
      <c r="A7" s="1374"/>
      <c r="B7" s="1374"/>
      <c r="C7" s="1374"/>
      <c r="D7" s="1374"/>
      <c r="E7" s="2289"/>
      <c r="F7" s="2289"/>
      <c r="G7" s="2289"/>
      <c r="H7" s="2289"/>
      <c r="I7" s="2316"/>
      <c r="J7" s="2286">
        <f>I6&amp;".1"</f>
      </c>
      <c r="K7" s="1374"/>
      <c r="L7" s="1375" t="s">
        <v>420</v>
      </c>
      <c r="M7" s="548"/>
      <c r="N7" s="1377"/>
      <c r="P7" s="2287"/>
      <c r="Q7" s="2287">
        <v>1</v>
      </c>
      <c r="R7" s="1653"/>
      <c r="S7" s="2015">
        <f>$J7</f>
      </c>
      <c r="T7" s="297" t="s">
        <v>421</v>
      </c>
      <c r="U7" s="311"/>
      <c r="V7" s="2335"/>
      <c r="W7" s="2335"/>
      <c r="X7" s="2335"/>
      <c r="Y7" s="2335"/>
      <c r="Z7" s="2335"/>
      <c r="AA7" s="2335"/>
      <c r="AB7" s="2335"/>
      <c r="AC7" s="2335"/>
      <c r="AD7" s="2335"/>
      <c r="AE7" s="2335"/>
      <c r="AF7" s="2335"/>
      <c r="AG7" s="2335"/>
      <c r="AH7" s="2335"/>
      <c r="AI7" s="2335"/>
      <c r="AJ7" s="2335"/>
      <c r="AK7" s="2335"/>
      <c r="AL7" s="2335"/>
      <c r="AM7" s="2018" t="s">
        <v>422</v>
      </c>
      <c r="AO7" s="511"/>
      <c r="AP7" s="511" t="str">
        <f>IF(T7="","",T7)</f>
        <v>Группа потребителей</v>
      </c>
      <c r="AQ7" s="511"/>
      <c r="AR7" s="511"/>
      <c r="AS7" s="1166">
        <v>0</v>
      </c>
    </row>
    <row customHeight="1" ht="11.25" hidden="1">
      <c r="A8" s="1374"/>
      <c r="B8" s="1374"/>
      <c r="C8" s="1374"/>
      <c r="D8" s="1374"/>
      <c r="E8" s="2289"/>
      <c r="F8" s="2289"/>
      <c r="G8" s="2289"/>
      <c r="H8" s="2289"/>
      <c r="I8" s="2316"/>
      <c r="J8" s="2316"/>
      <c r="K8" s="2286">
        <f>J7&amp;".1"</f>
      </c>
      <c r="L8" s="1375" t="s">
        <v>423</v>
      </c>
      <c r="M8" s="548"/>
      <c r="N8" s="1377"/>
      <c r="O8" s="1377"/>
      <c r="P8" s="2287"/>
      <c r="Q8" s="2287"/>
      <c r="R8" s="368">
        <v>1</v>
      </c>
      <c r="S8" s="2017">
        <f>$K8</f>
      </c>
      <c r="T8" s="2022"/>
      <c r="U8" s="2023"/>
      <c r="V8" s="2024"/>
      <c r="W8" s="1360"/>
      <c r="X8" s="2024"/>
      <c r="Y8" s="2025"/>
      <c r="Z8" s="2336"/>
      <c r="AA8" s="2142" t="s">
        <v>63</v>
      </c>
      <c r="AB8" s="2336"/>
      <c r="AC8" s="2142" t="s">
        <v>63</v>
      </c>
      <c r="AD8" s="2024"/>
      <c r="AE8" s="1360"/>
      <c r="AF8" s="2024"/>
      <c r="AG8" s="2025"/>
      <c r="AH8" s="2336"/>
      <c r="AI8" s="2142" t="s">
        <v>63</v>
      </c>
      <c r="AJ8" s="2336"/>
      <c r="AK8" s="2142" t="s">
        <v>63</v>
      </c>
      <c r="AL8" s="1360"/>
      <c r="AM8" s="2283" t="s">
        <v>424</v>
      </c>
      <c r="AN8" s="522">
        <f>STRCHECKDATE(V9:AL9)</f>
      </c>
      <c r="AO8" s="511"/>
      <c r="AP8" s="511" t="str">
        <f>IF(T8="","",T8)</f>
        <v/>
      </c>
      <c r="AQ8" s="511"/>
      <c r="AR8" s="511"/>
      <c r="AS8" s="1166">
        <v>0</v>
      </c>
    </row>
    <row customHeight="1" ht="0.75" hidden="1">
      <c r="A9" s="1374"/>
      <c r="B9" s="1374"/>
      <c r="C9" s="1374"/>
      <c r="D9" s="1374"/>
      <c r="E9" s="2289"/>
      <c r="F9" s="2289"/>
      <c r="G9" s="2289"/>
      <c r="H9" s="2289"/>
      <c r="I9" s="2316"/>
      <c r="J9" s="2316"/>
      <c r="K9" s="2286"/>
      <c r="L9" s="1375"/>
      <c r="M9" s="548"/>
      <c r="N9" s="1377"/>
      <c r="O9" s="1377"/>
      <c r="P9" s="2287"/>
      <c r="Q9" s="2287"/>
      <c r="R9" s="368"/>
      <c r="S9" s="1353"/>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1.25" hidden="1">
      <c r="A10" s="1374"/>
      <c r="B10" s="1374"/>
      <c r="C10" s="1374"/>
      <c r="D10" s="1374"/>
      <c r="E10" s="2289"/>
      <c r="F10" s="2289"/>
      <c r="G10" s="2289"/>
      <c r="H10" s="2289"/>
      <c r="I10" s="2316"/>
      <c r="J10" s="2286"/>
      <c r="K10" s="1374"/>
      <c r="L10" s="1375"/>
      <c r="M10" s="548"/>
      <c r="N10" s="1377"/>
      <c r="P10" s="2287"/>
      <c r="Q10" s="2287"/>
      <c r="R10" s="367"/>
      <c r="S10" s="1289"/>
      <c r="T10" s="298"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1.25" hidden="1">
      <c r="A11" s="1374"/>
      <c r="B11" s="1374"/>
      <c r="C11" s="1374"/>
      <c r="D11" s="1374"/>
      <c r="E11" s="2289"/>
      <c r="F11" s="2289"/>
      <c r="G11" s="2289"/>
      <c r="H11" s="2289"/>
      <c r="I11" s="2286"/>
      <c r="J11" s="1374"/>
      <c r="K11" s="1374"/>
      <c r="L11" s="1375"/>
      <c r="M11" s="548"/>
      <c r="P11" s="2287"/>
      <c r="Q11" s="1342"/>
      <c r="R11" s="367"/>
      <c r="S11" s="1289"/>
      <c r="T11" s="376"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0.75" hidden="1">
      <c r="A12" s="1374"/>
      <c r="B12" s="1374"/>
      <c r="C12" s="1374"/>
      <c r="D12" s="1374"/>
      <c r="E12" s="2289"/>
      <c r="F12" s="2289"/>
      <c r="G12" s="2289"/>
      <c r="H12" s="2288"/>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0.7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0.7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0.7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97"/>
      <c r="AI17" s="2298" t="s">
        <v>63</v>
      </c>
      <c r="AJ17" s="2297"/>
      <c r="AK17" s="2298" t="s">
        <v>63</v>
      </c>
      <c r="AS17" s="1166">
        <v>0</v>
      </c>
    </row>
    <row customHeight="1" ht="14.25" hidden="1">
      <c r="AD18" s="1371"/>
      <c r="AE18" s="1371"/>
      <c r="AF18" s="1371"/>
      <c r="AG18" s="339" t="str">
        <f>AH17&amp;"-"&amp;AJ17</f>
        <v>-</v>
      </c>
      <c r="AH18" s="2298"/>
      <c r="AI18" s="2298"/>
      <c r="AJ18" s="2298"/>
      <c r="AK18" s="2298"/>
      <c r="AS18" s="1166">
        <v>0</v>
      </c>
    </row>
    <row customHeight="1" ht="14.25" hidden="1">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54.75">
      <c r="Q26" s="387"/>
      <c r="R26" s="387"/>
      <c r="S26" s="23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7"/>
      <c r="U26" s="2337"/>
      <c r="V26" s="2337"/>
      <c r="W26" s="2337"/>
      <c r="X26" s="2337"/>
      <c r="Y26" s="2337"/>
      <c r="Z26" s="2337"/>
      <c r="AA26" s="2337"/>
      <c r="AB26" s="2337"/>
      <c r="AC26" s="2337"/>
      <c r="AD26" s="2337"/>
      <c r="AE26" s="2337"/>
      <c r="AF26" s="2337"/>
      <c r="AG26" s="2337"/>
      <c r="AH26" s="2337"/>
      <c r="AI26" s="2337"/>
      <c r="AJ26" s="2337"/>
      <c r="AK26" s="1254"/>
      <c r="AS26" s="1166">
        <v>52</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18.7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166">
        <v>14</v>
      </c>
    </row>
    <row customHeight="1" ht="35.699999999999996">
      <c r="Q40" s="387"/>
      <c r="R40" s="387"/>
      <c r="S40" s="2303"/>
      <c r="T40" s="2239"/>
      <c r="U40" s="1042"/>
      <c r="V40" s="2290" t="s">
        <v>443</v>
      </c>
      <c r="W40" s="2313"/>
      <c r="X40" s="2292" t="s">
        <v>445</v>
      </c>
      <c r="Y40" s="2293"/>
      <c r="Z40" s="2292" t="s">
        <v>446</v>
      </c>
      <c r="AA40" s="2299"/>
      <c r="AB40" s="2293"/>
      <c r="AC40" s="2308"/>
      <c r="AD40" s="2290" t="s">
        <v>443</v>
      </c>
      <c r="AE40" s="2313"/>
      <c r="AF40" s="2292" t="s">
        <v>445</v>
      </c>
      <c r="AG40" s="2293"/>
      <c r="AH40" s="2292" t="s">
        <v>446</v>
      </c>
      <c r="AI40" s="2299"/>
      <c r="AJ40" s="2293"/>
      <c r="AK40" s="2308"/>
      <c r="AL40" s="2311"/>
      <c r="AM40" s="2157"/>
      <c r="AS40" s="1166">
        <v>34</v>
      </c>
    </row>
    <row customHeight="1" ht="35.699999999999996">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Q41" s="387"/>
      <c r="R41" s="387"/>
      <c r="S41" s="2303"/>
      <c r="T41" s="2239"/>
      <c r="U41" s="313"/>
      <c r="V41" s="2291"/>
      <c r="W41" s="2314"/>
      <c r="X41" s="1233" t="s">
        <v>454</v>
      </c>
      <c r="Y41" s="1233" t="s">
        <v>455</v>
      </c>
      <c r="Z41" s="1349" t="s">
        <v>456</v>
      </c>
      <c r="AA41" s="2300" t="s">
        <v>457</v>
      </c>
      <c r="AB41" s="2301"/>
      <c r="AC41" s="2309"/>
      <c r="AD41" s="2291"/>
      <c r="AE41" s="2314"/>
      <c r="AF41" s="1233" t="s">
        <v>454</v>
      </c>
      <c r="AG41" s="1233" t="s">
        <v>455</v>
      </c>
      <c r="AH41" s="1349" t="s">
        <v>456</v>
      </c>
      <c r="AI41" s="2300" t="s">
        <v>457</v>
      </c>
      <c r="AJ41" s="2301"/>
      <c r="AK41" s="2309"/>
      <c r="AL41" s="2312"/>
      <c r="AM41" s="2157"/>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346">
        <f>OFFSET(V42,0,-1)+1</f>
        <v>3</v>
      </c>
      <c r="W42" s="1346"/>
      <c r="X42" s="1346">
        <f>OFFSET(X42,0,-1)+1</f>
        <v>1</v>
      </c>
      <c r="Y42" s="1346">
        <f>OFFSET(Y42,0,-1)+1</f>
        <v>2</v>
      </c>
      <c r="Z42" s="1346">
        <f>OFFSET(Z42,0,-1)+1</f>
        <v>3</v>
      </c>
      <c r="AA42" s="2302">
        <f>OFFSET(AA42,0,-1)+1</f>
        <v>4</v>
      </c>
      <c r="AB42" s="2302"/>
      <c r="AC42" s="1346">
        <f>OFFSET(AC42,0,-2)+1</f>
        <v>5</v>
      </c>
      <c r="AD42" s="1346">
        <f>OFFSET(AD42,0,-1)+1</f>
        <v>6</v>
      </c>
      <c r="AE42" s="1346"/>
      <c r="AF42" s="1346">
        <f>OFFSET(AF42,0,-1)+1</f>
        <v>1</v>
      </c>
      <c r="AG42" s="1346">
        <f>OFFSET(AG42,0,-1)+1</f>
        <v>2</v>
      </c>
      <c r="AH42" s="1346">
        <f>OFFSET(AH42,0,-1)+1</f>
        <v>3</v>
      </c>
      <c r="AI42" s="2302">
        <f>OFFSET(AI42,0,-1)+1</f>
        <v>4</v>
      </c>
      <c r="AJ42" s="2302"/>
      <c r="AK42" s="1346">
        <f>OFFSET(AK42,0,-2)+1</f>
        <v>5</v>
      </c>
      <c r="AL42" s="1256">
        <f>OFFSET(AL42,0,-1)</f>
        <v>5</v>
      </c>
      <c r="AM42" s="1346">
        <f>OFFSET(AM42,0,-1)+1</f>
        <v>6</v>
      </c>
      <c r="AN42" s="522"/>
      <c r="AO42" s="522"/>
      <c r="AP42" s="522"/>
      <c r="AQ42" s="522"/>
      <c r="AR42" s="522"/>
      <c r="AS42" s="507">
        <v>0</v>
      </c>
    </row>
    <row customHeight="1" ht="22.049999999999997">
      <c r="A43" s="1374" t="s">
        <v>196</v>
      </c>
      <c r="B43" s="1374"/>
      <c r="C43" s="1374"/>
      <c r="D43" s="1374"/>
      <c r="E43" s="2288">
        <v>1</v>
      </c>
      <c r="F43" s="1374"/>
      <c r="G43" s="1374"/>
      <c r="H43" s="1374"/>
      <c r="I43" s="1374"/>
      <c r="J43" s="1374"/>
      <c r="K43" s="1374"/>
      <c r="L43" s="1375"/>
      <c r="M43" s="1376"/>
      <c r="N43" s="1376"/>
      <c r="O43" s="1376"/>
      <c r="P43" s="372"/>
      <c r="Q43" s="371"/>
      <c r="R43" s="366"/>
      <c r="S43" s="1347">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196</v>
      </c>
      <c r="B44" s="1374" t="s">
        <v>197</v>
      </c>
      <c r="C44" s="1374"/>
      <c r="D44" s="1374"/>
      <c r="E44" s="2289"/>
      <c r="F44" s="2288">
        <v>1</v>
      </c>
      <c r="G44" s="1374"/>
      <c r="H44" s="1374"/>
      <c r="I44" s="1374"/>
      <c r="J44" s="1374"/>
      <c r="K44" s="1374"/>
      <c r="L44" s="1375"/>
      <c r="M44" s="1376"/>
      <c r="N44" s="1376"/>
      <c r="O44" s="1376"/>
      <c r="P44" s="1343"/>
      <c r="Q44" s="363"/>
      <c r="R44" s="364"/>
      <c r="S44" s="1347"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21</v>
      </c>
    </row>
    <row customHeight="1" ht="24">
      <c r="A45" s="1374" t="s">
        <v>196</v>
      </c>
      <c r="B45" s="1374" t="s">
        <v>197</v>
      </c>
      <c r="C45" s="1374" t="s">
        <v>198</v>
      </c>
      <c r="D45" s="1374"/>
      <c r="E45" s="2289"/>
      <c r="F45" s="2289"/>
      <c r="G45" s="2288">
        <v>1</v>
      </c>
      <c r="H45" s="1374"/>
      <c r="I45" s="1374"/>
      <c r="J45" s="1374"/>
      <c r="K45" s="1374"/>
      <c r="L45" s="1375"/>
      <c r="M45" s="1376"/>
      <c r="N45" s="1376"/>
      <c r="O45" s="1376"/>
      <c r="P45" s="365"/>
      <c r="Q45" s="363"/>
      <c r="R45" s="364"/>
      <c r="S45" s="1347"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2.049999999999997">
      <c r="A46" s="1374" t="s">
        <v>196</v>
      </c>
      <c r="B46" s="1374" t="s">
        <v>197</v>
      </c>
      <c r="C46" s="1374" t="s">
        <v>198</v>
      </c>
      <c r="D46" s="1374" t="s">
        <v>199</v>
      </c>
      <c r="E46" s="2289"/>
      <c r="F46" s="2289"/>
      <c r="G46" s="2289"/>
      <c r="H46" s="2288">
        <v>1</v>
      </c>
      <c r="I46" s="1374"/>
      <c r="J46" s="1374"/>
      <c r="K46" s="1374"/>
      <c r="L46" s="1375"/>
      <c r="M46" s="1376"/>
      <c r="N46" s="1376"/>
      <c r="O46" s="1376"/>
      <c r="P46" s="365"/>
      <c r="Q46" s="363"/>
      <c r="R46" s="364"/>
      <c r="S46" s="1347"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21</v>
      </c>
    </row>
    <row s="1653" customFormat="1" customHeight="1" ht="0">
      <c r="A47" s="1354" t="s">
        <v>196</v>
      </c>
      <c r="B47" s="1354" t="s">
        <v>197</v>
      </c>
      <c r="C47" s="1354" t="s">
        <v>198</v>
      </c>
      <c r="D47" s="1354" t="s">
        <v>199</v>
      </c>
      <c r="E47" s="2289"/>
      <c r="F47" s="2289"/>
      <c r="G47" s="2289"/>
      <c r="H47" s="2289"/>
      <c r="I47" s="2286" t="str">
        <f>S46&amp;".1"</f>
        <v>....1</v>
      </c>
      <c r="J47" s="1354"/>
      <c r="K47" s="1354"/>
      <c r="L47" s="1357" t="s">
        <v>417</v>
      </c>
      <c r="M47" s="521"/>
      <c r="N47" s="521"/>
      <c r="O47" s="521"/>
      <c r="P47" s="2287">
        <v>1</v>
      </c>
      <c r="Q47" s="1342"/>
      <c r="R47" s="367"/>
      <c r="S47" s="1053"/>
      <c r="T47" s="1394"/>
      <c r="U47" s="1395"/>
      <c r="V47" s="2326"/>
      <c r="W47" s="2327"/>
      <c r="X47" s="2327"/>
      <c r="Y47" s="2327"/>
      <c r="Z47" s="2327"/>
      <c r="AA47" s="2327"/>
      <c r="AB47" s="2327"/>
      <c r="AC47" s="2328"/>
      <c r="AD47" s="2326"/>
      <c r="AE47" s="2327"/>
      <c r="AF47" s="2327"/>
      <c r="AG47" s="2327"/>
      <c r="AH47" s="2327"/>
      <c r="AI47" s="2327"/>
      <c r="AJ47" s="2327"/>
      <c r="AK47" s="2327"/>
      <c r="AL47" s="2328"/>
      <c r="AM47" s="1396"/>
      <c r="AO47" s="511"/>
      <c r="AP47" s="511" t="str">
        <f>IF(T47="","",T47)</f>
        <v/>
      </c>
      <c r="AQ47" s="511"/>
      <c r="AR47" s="511"/>
      <c r="AS47" s="522">
        <v>0</v>
      </c>
    </row>
    <row customHeight="1" ht="22.049999999999997">
      <c r="A48" s="1374" t="s">
        <v>196</v>
      </c>
      <c r="B48" s="1374" t="s">
        <v>197</v>
      </c>
      <c r="C48" s="1374" t="s">
        <v>198</v>
      </c>
      <c r="D48" s="1374" t="s">
        <v>199</v>
      </c>
      <c r="E48" s="2289"/>
      <c r="F48" s="2289"/>
      <c r="G48" s="2289"/>
      <c r="H48" s="2289"/>
      <c r="I48" s="2316"/>
      <c r="J48" s="2286" t="str">
        <f>S46&amp;".1"</f>
        <v>....1</v>
      </c>
      <c r="K48" s="1374"/>
      <c r="L48" s="1375" t="s">
        <v>420</v>
      </c>
      <c r="P48" s="2287"/>
      <c r="Q48" s="2287">
        <v>1</v>
      </c>
      <c r="R48" s="368"/>
      <c r="S48" s="1347" t="str">
        <f>$J48</f>
        <v>....1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21</v>
      </c>
    </row>
    <row customHeight="1" ht="22.049999999999997">
      <c r="A49" s="1374" t="s">
        <v>196</v>
      </c>
      <c r="B49" s="1374" t="s">
        <v>197</v>
      </c>
      <c r="C49" s="1374" t="s">
        <v>198</v>
      </c>
      <c r="D49" s="1374" t="s">
        <v>199</v>
      </c>
      <c r="E49" s="2289"/>
      <c r="F49" s="2289"/>
      <c r="G49" s="2289"/>
      <c r="H49" s="2289"/>
      <c r="I49" s="2316"/>
      <c r="J49" s="2316"/>
      <c r="K49" s="2286" t="str">
        <f>J48&amp;".1"</f>
        <v>....1.1</v>
      </c>
      <c r="L49" s="1375" t="s">
        <v>423</v>
      </c>
      <c r="P49" s="2287"/>
      <c r="Q49" s="2287"/>
      <c r="R49" s="368">
        <v>1</v>
      </c>
      <c r="S49" s="1347" t="str">
        <f>$K49</f>
        <v>....1.1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461</v>
      </c>
      <c r="AN49" s="522">
        <f>STRCHECKDATE(V50:AL50)</f>
      </c>
      <c r="AO49" s="511"/>
      <c r="AP49" s="511" t="str">
        <f>IF(T49="","",T49)</f>
        <v/>
      </c>
      <c r="AQ49" s="511"/>
      <c r="AR49" s="511"/>
      <c r="AS49" s="1166">
        <v>21</v>
      </c>
    </row>
    <row customHeight="1" ht="1.05">
      <c r="A50" s="1374" t="s">
        <v>196</v>
      </c>
      <c r="B50" s="1374" t="s">
        <v>197</v>
      </c>
      <c r="C50" s="1374" t="s">
        <v>198</v>
      </c>
      <c r="D50" s="1374" t="s">
        <v>199</v>
      </c>
      <c r="E50" s="2289"/>
      <c r="F50" s="2289"/>
      <c r="G50" s="2289"/>
      <c r="H50" s="2289"/>
      <c r="I50" s="2316"/>
      <c r="J50" s="2316"/>
      <c r="K50" s="2286"/>
      <c r="L50" s="1375"/>
      <c r="P50" s="2287"/>
      <c r="Q50" s="2287"/>
      <c r="R50" s="368"/>
      <c r="S50" s="1353"/>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1</v>
      </c>
    </row>
    <row customHeight="1" ht="11.549999999999999">
      <c r="A51" s="1374" t="s">
        <v>196</v>
      </c>
      <c r="B51" s="1374" t="s">
        <v>197</v>
      </c>
      <c r="C51" s="1374" t="s">
        <v>198</v>
      </c>
      <c r="D51" s="1374" t="s">
        <v>199</v>
      </c>
      <c r="E51" s="2289"/>
      <c r="F51" s="2289"/>
      <c r="G51" s="2289"/>
      <c r="H51" s="2289"/>
      <c r="I51" s="2316"/>
      <c r="J51" s="2286"/>
      <c r="K51" s="1374"/>
      <c r="L51" s="1375"/>
      <c r="P51" s="2287"/>
      <c r="Q51" s="2287"/>
      <c r="R51" s="367"/>
      <c r="S51" s="1289"/>
      <c r="T51" s="298"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196</v>
      </c>
      <c r="B52" s="1374" t="s">
        <v>197</v>
      </c>
      <c r="C52" s="1374" t="s">
        <v>198</v>
      </c>
      <c r="D52" s="1374" t="s">
        <v>199</v>
      </c>
      <c r="E52" s="2289"/>
      <c r="F52" s="2289"/>
      <c r="G52" s="2289"/>
      <c r="H52" s="2289"/>
      <c r="I52" s="2286"/>
      <c r="J52" s="1374"/>
      <c r="K52" s="1374"/>
      <c r="L52" s="1375"/>
      <c r="P52" s="2287"/>
      <c r="Q52" s="1342"/>
      <c r="R52" s="367"/>
      <c r="S52" s="1289"/>
      <c r="T52" s="376"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196</v>
      </c>
      <c r="B53" s="1374" t="s">
        <v>197</v>
      </c>
      <c r="C53" s="1374" t="s">
        <v>198</v>
      </c>
      <c r="D53" s="1374" t="s">
        <v>199</v>
      </c>
      <c r="E53" s="2289"/>
      <c r="F53" s="2289"/>
      <c r="G53" s="2289"/>
      <c r="H53" s="2288"/>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1.05">
      <c r="A54" s="1354" t="s">
        <v>196</v>
      </c>
      <c r="B54" s="1354" t="s">
        <v>197</v>
      </c>
      <c r="C54" s="1354" t="s">
        <v>198</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1</v>
      </c>
    </row>
    <row s="1653" customFormat="1" customHeight="1" ht="1.05">
      <c r="A55" s="1354" t="s">
        <v>196</v>
      </c>
      <c r="B55" s="1354" t="s">
        <v>197</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1</v>
      </c>
    </row>
    <row s="1653" customFormat="1" customHeight="1" ht="1.05">
      <c r="A56" s="1354" t="s">
        <v>196</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1</v>
      </c>
    </row>
    <row s="1653" customFormat="1" customHeight="1" ht="1.05">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1</v>
      </c>
    </row>
    <row customHeight="1" ht="11.549999999999999">
      <c r="M58" s="1171"/>
      <c r="N58" s="1171"/>
      <c r="O58" s="548"/>
      <c r="P58" s="1166"/>
      <c r="Q58" s="1166"/>
      <c r="R58" s="1166"/>
      <c r="S58" s="1166"/>
      <c r="AN58" s="1166"/>
      <c r="AO58" s="1166"/>
      <c r="AP58" s="1166"/>
      <c r="AQ58" s="1166"/>
      <c r="AR58" s="1166"/>
      <c r="AS58" s="1166">
        <v>11</v>
      </c>
    </row>
    <row customHeight="1" ht="23.25">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22</v>
      </c>
    </row>
    <row customHeight="1" ht="30.45">
      <c r="O60" s="548"/>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29</v>
      </c>
    </row>
    <row customHeight="1" ht="42">
      <c r="O61" s="548"/>
      <c r="T61" s="2315"/>
      <c r="U61" s="2315"/>
      <c r="V61" s="2315"/>
      <c r="W61" s="2315"/>
      <c r="X61" s="2315"/>
      <c r="Y61" s="2315"/>
      <c r="Z61" s="2315"/>
      <c r="AA61" s="2315"/>
      <c r="AB61" s="2315"/>
      <c r="AC61" s="2315"/>
      <c r="AD61" s="2315"/>
      <c r="AE61" s="2315"/>
      <c r="AF61" s="2315"/>
      <c r="AG61" s="2315"/>
      <c r="AH61" s="2315"/>
      <c r="AI61" s="2315"/>
      <c r="AJ61" s="2315"/>
      <c r="AK61" s="2315"/>
      <c r="AL61" s="2315"/>
      <c r="AM61" s="2315"/>
      <c r="AS61" s="1166">
        <v>40</v>
      </c>
    </row>
    <row customHeight="1" ht="14.699999999999998">
      <c r="O62" s="548"/>
      <c r="AS62" s="1166">
        <v>14</v>
      </c>
    </row>
    <row customHeight="1" ht="21">
      <c r="O63" s="548"/>
      <c r="S63" s="1264"/>
      <c r="T63" s="2329"/>
      <c r="U63" s="2315"/>
      <c r="V63" s="2315"/>
      <c r="W63" s="2315"/>
      <c r="X63" s="2315"/>
      <c r="Y63" s="2315"/>
      <c r="Z63" s="2315"/>
      <c r="AA63" s="2315"/>
      <c r="AB63" s="2315"/>
      <c r="AC63" s="2315"/>
      <c r="AD63" s="2315"/>
      <c r="AE63" s="2315"/>
      <c r="AF63" s="2315"/>
      <c r="AG63" s="2315"/>
      <c r="AH63" s="2315"/>
      <c r="AI63" s="2315"/>
      <c r="AJ63" s="2315"/>
      <c r="AK63" s="2315"/>
      <c r="AL63" s="2315"/>
      <c r="AM63" s="2315"/>
      <c r="AS63" s="1166">
        <v>20</v>
      </c>
    </row>
    <row customHeight="1" ht="29.25">
      <c r="O64" s="548"/>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28</v>
      </c>
    </row>
    <row customHeight="1" ht="35.699999999999996">
      <c r="T65" s="2315"/>
      <c r="U65" s="2315"/>
      <c r="V65" s="2315"/>
      <c r="W65" s="2315"/>
      <c r="X65" s="2315"/>
      <c r="Y65" s="2315"/>
      <c r="Z65" s="2315"/>
      <c r="AA65" s="2315"/>
      <c r="AB65" s="2315"/>
      <c r="AC65" s="2315"/>
      <c r="AD65" s="2315"/>
      <c r="AE65" s="2315"/>
      <c r="AF65" s="2315"/>
      <c r="AG65" s="2315"/>
      <c r="AH65" s="2315"/>
      <c r="AI65" s="2315"/>
      <c r="AJ65" s="2315"/>
      <c r="AK65" s="2315"/>
      <c r="AL65" s="2315"/>
      <c r="AM65" s="2315"/>
      <c r="AS65" s="1166">
        <v>34</v>
      </c>
    </row>
    <row customHeight="1" ht="22.5" hidden="1">
      <c r="A66" s="1171" t="s">
        <v>83</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A1AD8-D477-6F68-3038-148D1F7C59E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2427" width="3.7109375" hidden="1" customWidth="1"/>
    <col min="17" max="18" style="355" width="3.00390625" customWidth="1"/>
    <col min="19" max="19" style="2437" width="12.00390625" customWidth="1"/>
    <col min="20" max="20" style="1646" width="31.00390625" customWidth="1"/>
    <col min="21" max="21" style="1646" width="0.140625" customWidth="1"/>
    <col min="22" max="22" style="1646" width="24.7109375" hidden="1" customWidth="1"/>
    <col min="23" max="23" style="1646" width="0.140625" hidden="1" customWidth="1"/>
    <col min="24" max="25" style="1646" width="24.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24.7109375" customWidth="1"/>
    <col min="31" max="31" style="1646" width="0.140625" customWidth="1"/>
    <col min="32" max="33" style="1646" width="24.00390625" customWidth="1"/>
    <col min="34" max="34" style="1646" width="11.00390625" customWidth="1"/>
    <col min="35" max="35" style="1646" width="3.7109375" customWidth="1"/>
    <col min="36" max="36" style="1646" width="11.00390625" customWidth="1"/>
    <col min="37" max="37" style="1646" width="8.57421875" hidden="1" customWidth="1"/>
    <col min="38" max="38" style="1646" width="4.00390625" customWidth="1"/>
    <col min="39" max="39" style="1646" width="115.00390625" customWidth="1"/>
    <col min="40" max="44" style="1653" width="10.00390625" customWidth="1"/>
    <col min="45" max="45" style="1646" width="10.57421875" hidden="1"/>
  </cols>
  <sheetData>
    <row customHeight="1" ht="22.5" hidden="1">
      <c r="Y1" s="338"/>
      <c r="Z1" s="338"/>
      <c r="AG1" s="338"/>
      <c r="AH1" s="338"/>
      <c r="AS1" s="1166" t="s">
        <v>14</v>
      </c>
    </row>
    <row customHeight="1" ht="21" hidden="1">
      <c r="A2" s="1374"/>
      <c r="B2" s="1374"/>
      <c r="C2" s="1374"/>
      <c r="D2" s="1374"/>
      <c r="E2" s="2288">
        <v>1</v>
      </c>
      <c r="F2" s="1374"/>
      <c r="G2" s="1374"/>
      <c r="H2" s="1374"/>
      <c r="I2" s="1374"/>
      <c r="J2" s="1374"/>
      <c r="K2" s="1374"/>
      <c r="L2" s="1375"/>
      <c r="M2" s="1376"/>
      <c r="N2" s="1376"/>
      <c r="O2" s="1376"/>
      <c r="P2" s="372"/>
      <c r="Q2" s="371"/>
      <c r="R2" s="366"/>
      <c r="S2" s="1347">
        <f>INDEX(PT_DIFFERENTIATION_NUM_NTAR,MATCH(A2,PT_DIFFERENTIATION_NTAR_ID,0))</f>
      </c>
      <c r="T2" s="309" t="s">
        <v>139</v>
      </c>
      <c r="U2" s="311"/>
      <c r="V2" s="2272"/>
      <c r="W2" s="2273"/>
      <c r="X2" s="2273"/>
      <c r="Y2" s="2273"/>
      <c r="Z2" s="2273"/>
      <c r="AA2" s="2273"/>
      <c r="AB2" s="2273"/>
      <c r="AC2" s="2274"/>
      <c r="AD2" s="2272">
        <f>INDEX(PT_DIFFERENTIATION_NTAR,MATCH(A2,PT_DIFFERENTIATION_NTAR_ID,0))</f>
      </c>
      <c r="AE2" s="2273"/>
      <c r="AF2" s="2273"/>
      <c r="AG2" s="2273"/>
      <c r="AH2" s="2273"/>
      <c r="AI2" s="2273"/>
      <c r="AJ2" s="2273"/>
      <c r="AK2" s="2273"/>
      <c r="AL2" s="2274"/>
      <c r="AM2" s="1269" t="s">
        <v>410</v>
      </c>
      <c r="AO2" s="511"/>
      <c r="AP2" s="511" t="str">
        <f>IF(T2="","",T2)</f>
        <v>Наименование тарифа</v>
      </c>
      <c r="AQ2" s="511"/>
      <c r="AR2" s="511"/>
      <c r="AS2" s="1166">
        <v>0</v>
      </c>
    </row>
    <row customHeight="1" ht="21" hidden="1">
      <c r="A3" s="1374"/>
      <c r="B3" s="1374"/>
      <c r="C3" s="1374"/>
      <c r="D3" s="1374"/>
      <c r="E3" s="2289"/>
      <c r="F3" s="2288">
        <v>1</v>
      </c>
      <c r="G3" s="1374"/>
      <c r="H3" s="1374"/>
      <c r="I3" s="1374"/>
      <c r="J3" s="1374"/>
      <c r="K3" s="1374"/>
      <c r="L3" s="1375"/>
      <c r="M3" s="1376"/>
      <c r="N3" s="1376"/>
      <c r="O3" s="1376"/>
      <c r="P3" s="1343"/>
      <c r="Q3" s="363"/>
      <c r="R3" s="364"/>
      <c r="S3" s="1347">
        <f>INDEX(PT_DIFFERENTIATION_NUM_TER,MATCH(B3,PT_DIFFERENTIATION_TER_ID,0))</f>
      </c>
      <c r="T3" s="319" t="s">
        <v>411</v>
      </c>
      <c r="U3" s="311"/>
      <c r="V3" s="2272"/>
      <c r="W3" s="2273"/>
      <c r="X3" s="2273"/>
      <c r="Y3" s="2273"/>
      <c r="Z3" s="2273"/>
      <c r="AA3" s="2273"/>
      <c r="AB3" s="2273"/>
      <c r="AC3" s="2274"/>
      <c r="AD3" s="2272">
        <f>INDEX(PT_DIFFERENTIATION_TER,MATCH(B3,PT_DIFFERENTIATION_TER_ID,0))</f>
      </c>
      <c r="AE3" s="2273"/>
      <c r="AF3" s="2273"/>
      <c r="AG3" s="2273"/>
      <c r="AH3" s="2273"/>
      <c r="AI3" s="2273"/>
      <c r="AJ3" s="2273"/>
      <c r="AK3" s="2273"/>
      <c r="AL3" s="2274"/>
      <c r="AM3" s="1269" t="s">
        <v>412</v>
      </c>
      <c r="AO3" s="511"/>
      <c r="AP3" s="511" t="str">
        <f>IF(T3="","",T3)</f>
        <v>Территория действия тарифа</v>
      </c>
      <c r="AQ3" s="511"/>
      <c r="AR3" s="511"/>
      <c r="AS3" s="1166">
        <v>0</v>
      </c>
    </row>
    <row customHeight="1" ht="23.25" hidden="1">
      <c r="A4" s="1374"/>
      <c r="B4" s="1374"/>
      <c r="C4" s="1374"/>
      <c r="D4" s="1374"/>
      <c r="E4" s="2289"/>
      <c r="F4" s="2289"/>
      <c r="G4" s="2288">
        <v>1</v>
      </c>
      <c r="H4" s="1374"/>
      <c r="I4" s="1374"/>
      <c r="J4" s="1374"/>
      <c r="K4" s="1374"/>
      <c r="L4" s="1375"/>
      <c r="M4" s="1376"/>
      <c r="N4" s="1376"/>
      <c r="O4" s="1376"/>
      <c r="P4" s="365"/>
      <c r="Q4" s="363"/>
      <c r="R4" s="364"/>
      <c r="S4" s="1347">
        <f>INDEX(PT_DIFFERENTIATION_NUM_CS,MATCH(C4,PT_DIFFERENTIATION_CS_ID,0))</f>
      </c>
      <c r="T4" s="320" t="s">
        <v>413</v>
      </c>
      <c r="U4" s="311"/>
      <c r="V4" s="2272"/>
      <c r="W4" s="2273"/>
      <c r="X4" s="2273"/>
      <c r="Y4" s="2273"/>
      <c r="Z4" s="2273"/>
      <c r="AA4" s="2273"/>
      <c r="AB4" s="2273"/>
      <c r="AC4" s="2274"/>
      <c r="AD4" s="2272">
        <f>INDEX(PT_DIFFERENTIATION_CS,MATCH(C4,PT_DIFFERENTIATION_CS_ID,0))</f>
      </c>
      <c r="AE4" s="2273"/>
      <c r="AF4" s="2273"/>
      <c r="AG4" s="2273"/>
      <c r="AH4" s="2273"/>
      <c r="AI4" s="2273"/>
      <c r="AJ4" s="2273"/>
      <c r="AK4" s="2273"/>
      <c r="AL4" s="2274"/>
      <c r="AM4" s="1269" t="s">
        <v>414</v>
      </c>
      <c r="AO4" s="511"/>
      <c r="AP4" s="511" t="str">
        <f>IF(T4="","",T4)</f>
        <v>Наименование системы теплоснабжения </v>
      </c>
      <c r="AQ4" s="511"/>
      <c r="AR4" s="511"/>
      <c r="AS4" s="1166">
        <v>0</v>
      </c>
    </row>
    <row customHeight="1" ht="21" hidden="1">
      <c r="A5" s="1374"/>
      <c r="B5" s="1374"/>
      <c r="C5" s="1374"/>
      <c r="D5" s="1374"/>
      <c r="E5" s="2289"/>
      <c r="F5" s="2289"/>
      <c r="G5" s="2289"/>
      <c r="H5" s="2288">
        <v>1</v>
      </c>
      <c r="I5" s="1374"/>
      <c r="J5" s="1374"/>
      <c r="K5" s="1374"/>
      <c r="L5" s="1375"/>
      <c r="M5" s="1376"/>
      <c r="N5" s="1376"/>
      <c r="O5" s="1376"/>
      <c r="P5" s="365"/>
      <c r="Q5" s="363"/>
      <c r="R5" s="364"/>
      <c r="S5" s="1347">
        <f>INDEX(PT_DIFFERENTIATION_NUM_IST_TE,MATCH(D5,PT_DIFFERENTIATION_IST_TE_ID,0))</f>
      </c>
      <c r="T5" s="321" t="s">
        <v>415</v>
      </c>
      <c r="U5" s="311"/>
      <c r="V5" s="2272"/>
      <c r="W5" s="2273"/>
      <c r="X5" s="2273"/>
      <c r="Y5" s="2273"/>
      <c r="Z5" s="2273"/>
      <c r="AA5" s="2273"/>
      <c r="AB5" s="2273"/>
      <c r="AC5" s="2274"/>
      <c r="AD5" s="2272">
        <f>INDEX(PT_DIFFERENTIATION_IST_TE,MATCH(D5,PT_DIFFERENTIATION_IST_TE_ID,0))</f>
      </c>
      <c r="AE5" s="2273"/>
      <c r="AF5" s="2273"/>
      <c r="AG5" s="2273"/>
      <c r="AH5" s="2273"/>
      <c r="AI5" s="2273"/>
      <c r="AJ5" s="2273"/>
      <c r="AK5" s="2273"/>
      <c r="AL5" s="2274"/>
      <c r="AM5" s="1269" t="s">
        <v>416</v>
      </c>
      <c r="AO5" s="511"/>
      <c r="AP5" s="511" t="str">
        <f>IF(T5="","",T5)</f>
        <v>Источник тепловой энергии  </v>
      </c>
      <c r="AQ5" s="511"/>
      <c r="AR5" s="511"/>
      <c r="AS5" s="1166">
        <v>0</v>
      </c>
    </row>
    <row customHeight="1" ht="14.25" hidden="1">
      <c r="A6" s="1374"/>
      <c r="B6" s="1374"/>
      <c r="C6" s="1374"/>
      <c r="D6" s="1374"/>
      <c r="E6" s="2289"/>
      <c r="F6" s="2289"/>
      <c r="G6" s="2289"/>
      <c r="H6" s="2289"/>
      <c r="I6" s="2286">
        <f>S5&amp;".1"</f>
      </c>
      <c r="J6" s="1374"/>
      <c r="K6" s="1374"/>
      <c r="L6" s="1375" t="s">
        <v>417</v>
      </c>
      <c r="M6" s="548"/>
      <c r="P6" s="2287">
        <v>1</v>
      </c>
      <c r="Q6" s="1342"/>
      <c r="R6" s="367"/>
      <c r="S6" s="1053"/>
      <c r="T6" s="1394"/>
      <c r="U6" s="1395"/>
      <c r="V6" s="2326"/>
      <c r="W6" s="2327"/>
      <c r="X6" s="2327"/>
      <c r="Y6" s="2327"/>
      <c r="Z6" s="2327"/>
      <c r="AA6" s="2327"/>
      <c r="AB6" s="2327"/>
      <c r="AC6" s="2328"/>
      <c r="AD6" s="2326"/>
      <c r="AE6" s="2327"/>
      <c r="AF6" s="2327"/>
      <c r="AG6" s="2327"/>
      <c r="AH6" s="2327"/>
      <c r="AI6" s="2327"/>
      <c r="AJ6" s="2327"/>
      <c r="AK6" s="2327"/>
      <c r="AL6" s="2328"/>
      <c r="AM6" s="1396"/>
      <c r="AO6" s="511"/>
      <c r="AP6" s="511" t="str">
        <f>IF(T6="","",T6)</f>
        <v/>
      </c>
      <c r="AQ6" s="511"/>
      <c r="AR6" s="511"/>
      <c r="AS6" s="1166">
        <v>0</v>
      </c>
    </row>
    <row customHeight="1" ht="21" hidden="1">
      <c r="A7" s="1374"/>
      <c r="B7" s="1374"/>
      <c r="C7" s="1374"/>
      <c r="D7" s="1374"/>
      <c r="E7" s="2289"/>
      <c r="F7" s="2289"/>
      <c r="G7" s="2289"/>
      <c r="H7" s="2289"/>
      <c r="I7" s="2316"/>
      <c r="J7" s="2286">
        <f>I6&amp;".1"</f>
      </c>
      <c r="K7" s="1374"/>
      <c r="L7" s="1375" t="s">
        <v>420</v>
      </c>
      <c r="M7" s="548"/>
      <c r="N7" s="1377"/>
      <c r="P7" s="2287"/>
      <c r="Q7" s="2287">
        <v>1</v>
      </c>
      <c r="R7" s="368"/>
      <c r="S7" s="1347">
        <f>$J7</f>
      </c>
      <c r="T7" s="297" t="s">
        <v>421</v>
      </c>
      <c r="U7" s="311"/>
      <c r="V7" s="2275"/>
      <c r="W7" s="2276"/>
      <c r="X7" s="2276"/>
      <c r="Y7" s="2276"/>
      <c r="Z7" s="2276"/>
      <c r="AA7" s="2276"/>
      <c r="AB7" s="2276"/>
      <c r="AC7" s="2277"/>
      <c r="AD7" s="2275"/>
      <c r="AE7" s="2276"/>
      <c r="AF7" s="2276"/>
      <c r="AG7" s="2276"/>
      <c r="AH7" s="2276"/>
      <c r="AI7" s="2276"/>
      <c r="AJ7" s="2276"/>
      <c r="AK7" s="2276"/>
      <c r="AL7" s="2277"/>
      <c r="AM7" s="1269" t="s">
        <v>422</v>
      </c>
      <c r="AO7" s="511"/>
      <c r="AP7" s="511" t="str">
        <f>IF(T7="","",T7)</f>
        <v>Группа потребителей</v>
      </c>
      <c r="AQ7" s="511"/>
      <c r="AR7" s="511"/>
      <c r="AS7" s="1166">
        <v>0</v>
      </c>
    </row>
    <row customHeight="1" ht="21" hidden="1">
      <c r="A8" s="1374"/>
      <c r="B8" s="1374"/>
      <c r="C8" s="1374"/>
      <c r="D8" s="1374"/>
      <c r="E8" s="2289"/>
      <c r="F8" s="2289"/>
      <c r="G8" s="2289"/>
      <c r="H8" s="2289"/>
      <c r="I8" s="2316"/>
      <c r="J8" s="2316"/>
      <c r="K8" s="2286">
        <f>J7&amp;".1"</f>
      </c>
      <c r="L8" s="1375" t="s">
        <v>423</v>
      </c>
      <c r="M8" s="548"/>
      <c r="N8" s="1377"/>
      <c r="O8" s="1377"/>
      <c r="P8" s="2287"/>
      <c r="Q8" s="2287"/>
      <c r="R8" s="368">
        <v>1</v>
      </c>
      <c r="S8" s="1347">
        <f>$K8</f>
      </c>
      <c r="T8" s="1358"/>
      <c r="U8" s="311"/>
      <c r="V8" s="762"/>
      <c r="W8" s="336"/>
      <c r="X8" s="762"/>
      <c r="Y8" s="1268"/>
      <c r="Z8" s="2295"/>
      <c r="AA8" s="2137" t="s">
        <v>63</v>
      </c>
      <c r="AB8" s="2295"/>
      <c r="AC8" s="2137" t="s">
        <v>63</v>
      </c>
      <c r="AD8" s="762"/>
      <c r="AE8" s="336"/>
      <c r="AF8" s="762"/>
      <c r="AG8" s="1268"/>
      <c r="AH8" s="2295"/>
      <c r="AI8" s="2137" t="s">
        <v>63</v>
      </c>
      <c r="AJ8" s="2295"/>
      <c r="AK8" s="2137" t="s">
        <v>63</v>
      </c>
      <c r="AL8" s="336"/>
      <c r="AM8" s="2283" t="s">
        <v>424</v>
      </c>
      <c r="AN8" s="522">
        <f>STRCHECKDATE(V9:AL9)</f>
      </c>
      <c r="AO8" s="511"/>
      <c r="AP8" s="511" t="str">
        <f>IF(T8="","",T8)</f>
        <v/>
      </c>
      <c r="AQ8" s="511"/>
      <c r="AR8" s="511"/>
      <c r="AS8" s="1166">
        <v>0</v>
      </c>
    </row>
    <row customHeight="1" ht="14.25" hidden="1">
      <c r="A9" s="1374"/>
      <c r="B9" s="1374"/>
      <c r="C9" s="1374"/>
      <c r="D9" s="1374"/>
      <c r="E9" s="2289"/>
      <c r="F9" s="2289"/>
      <c r="G9" s="2289"/>
      <c r="H9" s="2289"/>
      <c r="I9" s="2316"/>
      <c r="J9" s="2316"/>
      <c r="K9" s="2286"/>
      <c r="L9" s="1375"/>
      <c r="M9" s="548"/>
      <c r="N9" s="1377"/>
      <c r="O9" s="1377"/>
      <c r="P9" s="2287"/>
      <c r="Q9" s="2287"/>
      <c r="R9" s="368"/>
      <c r="S9" s="1353"/>
      <c r="T9" s="311"/>
      <c r="U9" s="311"/>
      <c r="V9" s="336"/>
      <c r="W9" s="336"/>
      <c r="X9" s="336"/>
      <c r="Y9" s="339" t="str">
        <f>Z8&amp;"-"&amp;AB8</f>
        <v>-</v>
      </c>
      <c r="Z9" s="2296"/>
      <c r="AA9" s="2137"/>
      <c r="AB9" s="2296"/>
      <c r="AC9" s="2137"/>
      <c r="AD9" s="336"/>
      <c r="AE9" s="336"/>
      <c r="AF9" s="336"/>
      <c r="AG9" s="339" t="str">
        <f>AH8&amp;"-"&amp;AJ8</f>
        <v>-</v>
      </c>
      <c r="AH9" s="2296"/>
      <c r="AI9" s="2137"/>
      <c r="AJ9" s="2296"/>
      <c r="AK9" s="2137"/>
      <c r="AL9" s="336"/>
      <c r="AM9" s="2284"/>
      <c r="AO9" s="511"/>
      <c r="AP9" s="511" t="str">
        <f>IF(T9="","",T9)</f>
        <v/>
      </c>
      <c r="AQ9" s="511"/>
      <c r="AR9" s="511"/>
      <c r="AS9" s="1166">
        <v>0</v>
      </c>
    </row>
    <row customHeight="1" ht="15" hidden="1">
      <c r="A10" s="1374"/>
      <c r="B10" s="1374"/>
      <c r="C10" s="1374"/>
      <c r="D10" s="1374"/>
      <c r="E10" s="2289"/>
      <c r="F10" s="2289"/>
      <c r="G10" s="2289"/>
      <c r="H10" s="2289"/>
      <c r="I10" s="2316"/>
      <c r="J10" s="2286"/>
      <c r="K10" s="1374"/>
      <c r="L10" s="1375"/>
      <c r="M10" s="548"/>
      <c r="N10" s="1377"/>
      <c r="P10" s="2287"/>
      <c r="Q10" s="2287"/>
      <c r="R10" s="367"/>
      <c r="S10" s="1289"/>
      <c r="T10" s="298" t="s">
        <v>425</v>
      </c>
      <c r="U10" s="378"/>
      <c r="V10" s="378"/>
      <c r="W10" s="378"/>
      <c r="X10" s="378"/>
      <c r="Y10" s="378"/>
      <c r="Z10" s="378"/>
      <c r="AA10" s="378"/>
      <c r="AB10" s="378"/>
      <c r="AC10" s="378"/>
      <c r="AD10" s="378"/>
      <c r="AE10" s="378"/>
      <c r="AF10" s="378"/>
      <c r="AG10" s="378"/>
      <c r="AH10" s="378"/>
      <c r="AI10" s="378"/>
      <c r="AJ10" s="378"/>
      <c r="AK10" s="378"/>
      <c r="AL10" s="335"/>
      <c r="AM10" s="2285"/>
      <c r="AO10" s="511"/>
      <c r="AP10" s="511" t="str">
        <f>IF(T10="","",T10)</f>
        <v>Добавить вид теплоносителя (параметры теплоносителя)</v>
      </c>
      <c r="AQ10" s="511"/>
      <c r="AR10" s="511"/>
      <c r="AS10" s="1166">
        <v>0</v>
      </c>
    </row>
    <row customHeight="1" ht="11.25" hidden="1">
      <c r="A11" s="1374"/>
      <c r="B11" s="1374"/>
      <c r="C11" s="1374"/>
      <c r="D11" s="1374"/>
      <c r="E11" s="2289"/>
      <c r="F11" s="2289"/>
      <c r="G11" s="2289"/>
      <c r="H11" s="2289"/>
      <c r="I11" s="2286"/>
      <c r="J11" s="1374"/>
      <c r="K11" s="1374"/>
      <c r="L11" s="1375"/>
      <c r="M11" s="548"/>
      <c r="P11" s="2287"/>
      <c r="Q11" s="1342"/>
      <c r="R11" s="367"/>
      <c r="S11" s="1289"/>
      <c r="T11" s="376" t="s">
        <v>426</v>
      </c>
      <c r="U11" s="378"/>
      <c r="V11" s="378"/>
      <c r="W11" s="378"/>
      <c r="X11" s="378"/>
      <c r="Y11" s="378"/>
      <c r="Z11" s="378"/>
      <c r="AA11" s="378"/>
      <c r="AB11" s="378"/>
      <c r="AC11" s="377"/>
      <c r="AD11" s="378"/>
      <c r="AE11" s="378"/>
      <c r="AF11" s="378"/>
      <c r="AG11" s="378"/>
      <c r="AH11" s="378"/>
      <c r="AI11" s="378"/>
      <c r="AJ11" s="378"/>
      <c r="AK11" s="377"/>
      <c r="AL11" s="378"/>
      <c r="AM11" s="314"/>
      <c r="AO11" s="511"/>
      <c r="AP11" s="511" t="str">
        <f>IF(T11="","",T11)</f>
        <v>Добавить группу потребителей</v>
      </c>
      <c r="AQ11" s="511"/>
      <c r="AR11" s="511"/>
      <c r="AS11" s="1166">
        <v>0</v>
      </c>
    </row>
    <row customHeight="1" ht="14.25" hidden="1">
      <c r="A12" s="1374"/>
      <c r="B12" s="1374"/>
      <c r="C12" s="1374"/>
      <c r="D12" s="1374"/>
      <c r="E12" s="2289"/>
      <c r="F12" s="2289"/>
      <c r="G12" s="2289"/>
      <c r="H12" s="2288"/>
      <c r="I12" s="1374"/>
      <c r="J12" s="1374"/>
      <c r="K12" s="1374"/>
      <c r="L12" s="1375"/>
      <c r="M12" s="1376"/>
      <c r="N12" s="1376"/>
      <c r="O12" s="548"/>
      <c r="P12" s="371"/>
      <c r="Q12" s="386"/>
      <c r="R12" s="366"/>
      <c r="S12" s="1397"/>
      <c r="T12" s="1398"/>
      <c r="U12" s="1399"/>
      <c r="V12" s="1399"/>
      <c r="W12" s="1399"/>
      <c r="X12" s="1399"/>
      <c r="Y12" s="1399"/>
      <c r="Z12" s="1399"/>
      <c r="AA12" s="1399"/>
      <c r="AB12" s="1399"/>
      <c r="AC12" s="1399"/>
      <c r="AD12" s="1399"/>
      <c r="AE12" s="1399"/>
      <c r="AF12" s="1399"/>
      <c r="AG12" s="1399"/>
      <c r="AH12" s="1399"/>
      <c r="AI12" s="1399"/>
      <c r="AJ12" s="1399"/>
      <c r="AK12" s="1399"/>
      <c r="AL12" s="1399"/>
      <c r="AM12" s="1400"/>
      <c r="AO12" s="511"/>
      <c r="AP12" s="511" t="str">
        <f>IF(T12="","",T12)</f>
        <v/>
      </c>
      <c r="AQ12" s="511"/>
      <c r="AR12" s="511"/>
      <c r="AS12" s="1166">
        <v>0</v>
      </c>
    </row>
    <row s="1653" customFormat="1" customHeight="1" ht="14.25" hidden="1">
      <c r="A13" s="1325"/>
      <c r="B13" s="1325"/>
      <c r="C13" s="1325"/>
      <c r="D13" s="1325"/>
      <c r="E13" s="2289"/>
      <c r="F13" s="2289"/>
      <c r="G13" s="2288"/>
      <c r="H13" s="1325"/>
      <c r="I13" s="1325"/>
      <c r="J13" s="1325"/>
      <c r="K13" s="1325"/>
      <c r="L13" s="1350"/>
      <c r="M13" s="1326"/>
      <c r="N13" s="1326"/>
      <c r="P13" s="1327"/>
      <c r="Q13" s="1328"/>
      <c r="R13" s="1327"/>
      <c r="S13" s="1329"/>
      <c r="T13" s="1330" t="s">
        <v>428</v>
      </c>
      <c r="U13" s="1331"/>
      <c r="V13" s="1331"/>
      <c r="W13" s="1331"/>
      <c r="X13" s="1331"/>
      <c r="Y13" s="1331"/>
      <c r="Z13" s="1331"/>
      <c r="AA13" s="1331"/>
      <c r="AB13" s="1331"/>
      <c r="AC13" s="1331"/>
      <c r="AD13" s="1331"/>
      <c r="AE13" s="1331"/>
      <c r="AF13" s="1331"/>
      <c r="AG13" s="1331"/>
      <c r="AH13" s="1331"/>
      <c r="AI13" s="1331"/>
      <c r="AJ13" s="1331"/>
      <c r="AK13" s="1331"/>
      <c r="AL13" s="1331"/>
      <c r="AM13" s="1331"/>
      <c r="AO13" s="800"/>
      <c r="AP13" s="800" t="str">
        <f>IF(T13="","",T13)</f>
        <v>Добавить источник для дифференциации</v>
      </c>
      <c r="AQ13" s="800"/>
      <c r="AR13" s="800"/>
      <c r="AS13" s="529">
        <v>0</v>
      </c>
    </row>
    <row s="1653" customFormat="1" customHeight="1" ht="14.25" hidden="1">
      <c r="A14" s="1325"/>
      <c r="B14" s="1325"/>
      <c r="C14" s="1325"/>
      <c r="D14" s="1325"/>
      <c r="E14" s="2289"/>
      <c r="F14" s="2288"/>
      <c r="G14" s="1325"/>
      <c r="H14" s="1325"/>
      <c r="I14" s="1325"/>
      <c r="J14" s="1325"/>
      <c r="K14" s="1325"/>
      <c r="L14" s="1350"/>
      <c r="M14" s="1332"/>
      <c r="N14" s="1332"/>
      <c r="P14" s="1327"/>
      <c r="Q14" s="1328"/>
      <c r="R14" s="1327"/>
      <c r="S14" s="1333"/>
      <c r="T14" s="1334" t="s">
        <v>429</v>
      </c>
      <c r="U14" s="1335"/>
      <c r="V14" s="1335"/>
      <c r="W14" s="1335"/>
      <c r="X14" s="1335"/>
      <c r="Y14" s="1335"/>
      <c r="Z14" s="1335"/>
      <c r="AA14" s="1335"/>
      <c r="AB14" s="1335"/>
      <c r="AC14" s="1335"/>
      <c r="AD14" s="1335"/>
      <c r="AE14" s="1335"/>
      <c r="AF14" s="1335"/>
      <c r="AG14" s="1335"/>
      <c r="AH14" s="1335"/>
      <c r="AI14" s="1335"/>
      <c r="AJ14" s="1335"/>
      <c r="AK14" s="1335"/>
      <c r="AL14" s="1335"/>
      <c r="AM14" s="1335"/>
      <c r="AO14" s="800"/>
      <c r="AP14" s="800" t="str">
        <f>IF(T14="","",T14)</f>
        <v>Добавить централизованную систему для дифференциации</v>
      </c>
      <c r="AQ14" s="800"/>
      <c r="AR14" s="800"/>
      <c r="AS14" s="529">
        <v>0</v>
      </c>
    </row>
    <row s="1653" customFormat="1" customHeight="1" ht="14.25" hidden="1">
      <c r="A15" s="1325"/>
      <c r="B15" s="1325"/>
      <c r="C15" s="1325"/>
      <c r="D15" s="1325"/>
      <c r="E15" s="2288"/>
      <c r="F15" s="1325"/>
      <c r="G15" s="1325"/>
      <c r="H15" s="1325"/>
      <c r="I15" s="1325"/>
      <c r="J15" s="1325"/>
      <c r="K15" s="1325"/>
      <c r="L15" s="1350"/>
      <c r="M15" s="1332"/>
      <c r="N15" s="1332"/>
      <c r="P15" s="1327"/>
      <c r="Q15" s="1328"/>
      <c r="R15" s="1327"/>
      <c r="S15" s="1333"/>
      <c r="T15" s="1336" t="s">
        <v>430</v>
      </c>
      <c r="U15" s="1335"/>
      <c r="V15" s="1335"/>
      <c r="W15" s="1335"/>
      <c r="X15" s="1335"/>
      <c r="Y15" s="1335"/>
      <c r="Z15" s="1335"/>
      <c r="AA15" s="1335"/>
      <c r="AB15" s="1335"/>
      <c r="AC15" s="1335"/>
      <c r="AD15" s="1335"/>
      <c r="AE15" s="1335"/>
      <c r="AF15" s="1335"/>
      <c r="AG15" s="1335"/>
      <c r="AH15" s="1335"/>
      <c r="AI15" s="1335"/>
      <c r="AJ15" s="1335"/>
      <c r="AK15" s="1335"/>
      <c r="AL15" s="1335"/>
      <c r="AM15" s="1335"/>
      <c r="AO15" s="800"/>
      <c r="AP15" s="800" t="str">
        <f>IF(T15="","",T15)</f>
        <v>Добавить территорию для дифференциации</v>
      </c>
      <c r="AQ15" s="800"/>
      <c r="AR15" s="800"/>
      <c r="AS15" s="529">
        <v>0</v>
      </c>
    </row>
    <row customHeight="1" ht="14.25" hidden="1">
      <c r="AC16" s="338"/>
      <c r="AK16" s="338"/>
      <c r="AS16" s="1166">
        <v>0</v>
      </c>
    </row>
    <row customHeight="1" ht="14.25" hidden="1">
      <c r="AD17" s="1371"/>
      <c r="AE17" s="1371"/>
      <c r="AF17" s="1371"/>
      <c r="AG17" s="1372"/>
      <c r="AH17" s="2297"/>
      <c r="AI17" s="2298" t="s">
        <v>63</v>
      </c>
      <c r="AJ17" s="2297"/>
      <c r="AK17" s="2298" t="s">
        <v>63</v>
      </c>
      <c r="AS17" s="1166">
        <v>0</v>
      </c>
    </row>
    <row customHeight="1" ht="14.25" hidden="1">
      <c r="AD18" s="1371"/>
      <c r="AE18" s="1371"/>
      <c r="AF18" s="1371"/>
      <c r="AG18" s="339" t="str">
        <f>AH17&amp;"-"&amp;AJ17</f>
        <v>-</v>
      </c>
      <c r="AH18" s="2298"/>
      <c r="AI18" s="2298"/>
      <c r="AJ18" s="2298"/>
      <c r="AK18" s="2298"/>
      <c r="AS18" s="1166">
        <v>0</v>
      </c>
    </row>
    <row customHeight="1" ht="14.25" hidden="1">
      <c r="AK19" s="338"/>
      <c r="AS19" s="1166">
        <v>0</v>
      </c>
    </row>
    <row s="1377" customFormat="1" customHeight="1" ht="22.5" hidden="1">
      <c r="L20" s="1340"/>
      <c r="M20" s="1373"/>
      <c r="N20" s="1373"/>
      <c r="O20" s="1378" t="s">
        <v>431</v>
      </c>
      <c r="P20" s="1373"/>
      <c r="Q20" s="1382"/>
      <c r="R20" s="1382"/>
      <c r="S20" s="740"/>
      <c r="Z20" s="1378"/>
      <c r="AB20" s="1378"/>
      <c r="AC20" s="1377"/>
      <c r="AH20" s="1378"/>
      <c r="AJ20" s="1378"/>
      <c r="AK20" s="1377"/>
      <c r="AN20" s="522"/>
      <c r="AO20" s="522"/>
      <c r="AP20" s="522"/>
      <c r="AQ20" s="522"/>
      <c r="AR20" s="522"/>
      <c r="AS20" s="1171">
        <v>0</v>
      </c>
    </row>
    <row s="1377" customFormat="1" customHeight="1" ht="14.25" hidden="1">
      <c r="L21" s="1340"/>
      <c r="M21" s="1373"/>
      <c r="N21" s="1373"/>
      <c r="O21" s="1373"/>
      <c r="P21" s="1373"/>
      <c r="Q21" s="1382"/>
      <c r="R21" s="1382"/>
      <c r="S21" s="740"/>
      <c r="AC21" s="1377"/>
      <c r="AK21" s="1377"/>
      <c r="AN21" s="522"/>
      <c r="AO21" s="522"/>
      <c r="AP21" s="522"/>
      <c r="AQ21" s="522"/>
      <c r="AR21" s="522"/>
      <c r="AS21" s="1171">
        <v>0</v>
      </c>
    </row>
    <row s="1377" customFormat="1" customHeight="1" ht="14.25" hidden="1">
      <c r="L22" s="1340"/>
      <c r="M22" s="1373"/>
      <c r="N22" s="1373"/>
      <c r="O22" s="1375" t="s">
        <v>432</v>
      </c>
      <c r="P22" s="1373"/>
      <c r="Q22" s="1382"/>
      <c r="R22" s="1382"/>
      <c r="S22" s="740"/>
      <c r="T22" s="1171" t="s">
        <v>433</v>
      </c>
      <c r="AA22" s="197" t="s">
        <v>434</v>
      </c>
      <c r="AC22" s="197" t="s">
        <v>435</v>
      </c>
      <c r="AD22" s="1171" t="s">
        <v>433</v>
      </c>
      <c r="AI22" s="197" t="s">
        <v>436</v>
      </c>
      <c r="AK22" s="197" t="s">
        <v>435</v>
      </c>
      <c r="AN22" s="522"/>
      <c r="AO22" s="522"/>
      <c r="AP22" s="522"/>
      <c r="AQ22" s="522"/>
      <c r="AR22" s="522"/>
      <c r="AS22" s="1171">
        <v>0</v>
      </c>
    </row>
    <row customHeight="1" ht="14.25" hidden="1">
      <c r="O23" s="1375"/>
      <c r="AS23" s="1166">
        <v>0</v>
      </c>
    </row>
    <row customHeight="1" ht="14.25" hidden="1">
      <c r="O24" s="1375"/>
      <c r="AS24" s="1166">
        <v>0</v>
      </c>
    </row>
    <row customHeight="1" ht="14.699999999999998">
      <c r="Q25" s="387"/>
      <c r="R25" s="387"/>
      <c r="S25" s="1286"/>
      <c r="T25" s="374"/>
      <c r="U25" s="374"/>
      <c r="V25" s="520"/>
      <c r="W25" s="520"/>
      <c r="X25" s="520"/>
      <c r="Y25" s="520"/>
      <c r="Z25" s="520"/>
      <c r="AA25" s="520"/>
      <c r="AB25" s="520"/>
      <c r="AC25" s="520"/>
      <c r="AD25" s="520"/>
      <c r="AE25" s="520"/>
      <c r="AF25" s="520"/>
      <c r="AG25" s="520"/>
      <c r="AH25" s="520"/>
      <c r="AI25" s="520"/>
      <c r="AJ25" s="520"/>
      <c r="AK25" s="520"/>
      <c r="AS25" s="1166">
        <v>14</v>
      </c>
    </row>
    <row customHeight="1" ht="53.54999999999999">
      <c r="Q26" s="387"/>
      <c r="R26" s="387"/>
      <c r="S26" s="227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8"/>
      <c r="U26" s="2278"/>
      <c r="V26" s="2278"/>
      <c r="W26" s="2278"/>
      <c r="X26" s="2278"/>
      <c r="Y26" s="2278"/>
      <c r="Z26" s="2278"/>
      <c r="AA26" s="2278"/>
      <c r="AB26" s="2278"/>
      <c r="AC26" s="2278"/>
      <c r="AD26" s="2278"/>
      <c r="AE26" s="2278"/>
      <c r="AF26" s="2278"/>
      <c r="AG26" s="2278"/>
      <c r="AH26" s="2278"/>
      <c r="AI26" s="2278"/>
      <c r="AJ26" s="2278"/>
      <c r="AK26" s="1254"/>
      <c r="AS26" s="1166">
        <v>51</v>
      </c>
    </row>
    <row customHeight="1" ht="14.699999999999998">
      <c r="Q27" s="387"/>
      <c r="R27" s="387"/>
      <c r="S27" s="2279" t="str">
        <f>IF(org=0,"Не определено",org)</f>
        <v>ПАО "КГК"</v>
      </c>
      <c r="T27" s="2279"/>
      <c r="U27" s="2279"/>
      <c r="V27" s="2279"/>
      <c r="W27" s="2279"/>
      <c r="X27" s="2279"/>
      <c r="Y27" s="2279"/>
      <c r="Z27" s="2279"/>
      <c r="AA27" s="2279"/>
      <c r="AB27" s="2279"/>
      <c r="AC27" s="2279"/>
      <c r="AD27" s="2279"/>
      <c r="AE27" s="2279"/>
      <c r="AF27" s="2279"/>
      <c r="AG27" s="2279"/>
      <c r="AH27" s="2279"/>
      <c r="AI27" s="2279"/>
      <c r="AJ27" s="2279"/>
      <c r="AK27" s="1254"/>
      <c r="AS27" s="1166">
        <v>14</v>
      </c>
    </row>
    <row customHeight="1" ht="14.25" hidden="1">
      <c r="Q28" s="387"/>
      <c r="R28" s="387"/>
      <c r="S28" s="1286"/>
      <c r="T28" s="374"/>
      <c r="U28" s="374"/>
      <c r="V28" s="333"/>
      <c r="W28" s="333"/>
      <c r="X28" s="333"/>
      <c r="Y28" s="333"/>
      <c r="Z28" s="333"/>
      <c r="AA28" s="333"/>
      <c r="AB28" s="333"/>
      <c r="AC28" s="333"/>
      <c r="AD28" s="333"/>
      <c r="AE28" s="333"/>
      <c r="AF28" s="333"/>
      <c r="AG28" s="333"/>
      <c r="AH28" s="333"/>
      <c r="AI28" s="333"/>
      <c r="AJ28" s="333"/>
      <c r="AK28" s="333"/>
      <c r="AL28" s="520"/>
      <c r="AS28" s="1166">
        <v>0</v>
      </c>
    </row>
    <row s="1861" customFormat="1" customHeight="1" ht="25.5" hidden="1">
      <c r="A29" s="1379"/>
      <c r="B29" s="1379"/>
      <c r="C29" s="1379"/>
      <c r="D29" s="1379"/>
      <c r="E29" s="1379"/>
      <c r="F29" s="1379"/>
      <c r="G29" s="1379"/>
      <c r="H29" s="1379"/>
      <c r="I29" s="1379"/>
      <c r="J29" s="1379"/>
      <c r="K29" s="1379"/>
      <c r="L29" s="1380"/>
      <c r="M29" s="1379"/>
      <c r="N29" s="1379"/>
      <c r="O29" s="1379"/>
      <c r="S29"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80"/>
      <c r="U29" s="1383"/>
      <c r="V29" s="2281" t="str">
        <f>IF(TITLE_NAME_OR_PR_CHANGE="",IF(TITLE_NAME_OR_PR="","",TITLE_NAME_OR_PR),TITLE_NAME_OR_PR_CHANGE)</f>
        <v/>
      </c>
      <c r="W29" s="2281"/>
      <c r="X29" s="2281"/>
      <c r="Y29" s="2281"/>
      <c r="Z29" s="2281"/>
      <c r="AA29" s="2281"/>
      <c r="AB29" s="2281"/>
      <c r="AC29" s="337"/>
      <c r="AD29" s="2281" t="str">
        <f>IF(TITLE_NAME_OR_PR_CHANGE="",IF(TITLE_NAME_OR_PR="","",TITLE_NAME_OR_PR),TITLE_NAME_OR_PR_CHANGE)</f>
        <v/>
      </c>
      <c r="AE29" s="2281"/>
      <c r="AF29" s="2281"/>
      <c r="AG29" s="2281"/>
      <c r="AH29" s="2281"/>
      <c r="AI29" s="2281"/>
      <c r="AJ29" s="2281"/>
      <c r="AK29" s="337"/>
      <c r="AL29" s="337"/>
      <c r="AM29" s="291"/>
      <c r="AN29" s="379"/>
      <c r="AO29" s="379"/>
      <c r="AP29" s="379"/>
      <c r="AQ29" s="379"/>
      <c r="AR29" s="379"/>
      <c r="AS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tr">
        <f>"Дата документа об "&amp;IF(TITLE_DATE_PR_CHANGE="","утверждении","изменении")&amp;" тарифов"</f>
        <v>Дата документа об утверждении тарифов</v>
      </c>
      <c r="T30" s="2280"/>
      <c r="U30" s="1383"/>
      <c r="V30" s="2294" t="str">
        <f>IF(TITLE_DATE_PR_CHANGE="",IF(TITLE_DATE_PR="","",TITLE_DATE_PR),TITLE_DATE_PR_CHANGE)</f>
        <v/>
      </c>
      <c r="W30" s="2294"/>
      <c r="X30" s="2294"/>
      <c r="Y30" s="2294"/>
      <c r="Z30" s="2294"/>
      <c r="AA30" s="2294"/>
      <c r="AB30" s="2294"/>
      <c r="AC30" s="337"/>
      <c r="AD30" s="2294" t="str">
        <f>IF(TITLE_DATE_PR_CHANGE="",IF(TITLE_DATE_PR="","",TITLE_DATE_PR),TITLE_DATE_PR_CHANGE)</f>
        <v/>
      </c>
      <c r="AE30" s="2294"/>
      <c r="AF30" s="2294"/>
      <c r="AG30" s="2294"/>
      <c r="AH30" s="2294"/>
      <c r="AI30" s="2294"/>
      <c r="AJ30" s="2294"/>
      <c r="AK30" s="337"/>
      <c r="AL30" s="337"/>
      <c r="AM30" s="291"/>
      <c r="AN30" s="379"/>
      <c r="AO30" s="379"/>
      <c r="AP30" s="379"/>
      <c r="AQ30" s="379"/>
      <c r="AR30" s="379"/>
      <c r="AS30" s="429">
        <v>0</v>
      </c>
    </row>
    <row s="1861" customFormat="1" customHeight="1" ht="18.75" hidden="1">
      <c r="A31" s="1379"/>
      <c r="B31" s="1379"/>
      <c r="C31" s="1379"/>
      <c r="D31" s="1379"/>
      <c r="E31" s="1379"/>
      <c r="F31" s="1379"/>
      <c r="G31" s="1379"/>
      <c r="H31" s="1379"/>
      <c r="I31" s="1379"/>
      <c r="J31" s="1379"/>
      <c r="K31" s="1379"/>
      <c r="L31" s="1380"/>
      <c r="M31" s="1379"/>
      <c r="N31" s="1379"/>
      <c r="O31" s="1379"/>
      <c r="S31" s="2280" t="str">
        <f>"Номер документа об "&amp;IF(TITLE_DATE_PR_CHANGE="","утверждении","изменении")&amp;" тарифов"</f>
        <v>Номер документа об утверждении тарифов</v>
      </c>
      <c r="T31" s="2280"/>
      <c r="U31" s="1383"/>
      <c r="V31" s="2281" t="str">
        <f>IF(TITLE_NUMBER_PR_CHANGE="",IF(TITLE_NUMBER_PR="","",TITLE_NUMBER_PR),TITLE_NUMBER_PR_CHANGE)</f>
        <v/>
      </c>
      <c r="W31" s="2281"/>
      <c r="X31" s="2281"/>
      <c r="Y31" s="2281"/>
      <c r="Z31" s="2281"/>
      <c r="AA31" s="2281"/>
      <c r="AB31" s="2281"/>
      <c r="AC31" s="337"/>
      <c r="AD31" s="2281" t="str">
        <f>IF(TITLE_NUMBER_PR_CHANGE="",IF(TITLE_NUMBER_PR="","",TITLE_NUMBER_PR),TITLE_NUMBER_PR_CHANGE)</f>
        <v/>
      </c>
      <c r="AE31" s="2281"/>
      <c r="AF31" s="2281"/>
      <c r="AG31" s="2281"/>
      <c r="AH31" s="2281"/>
      <c r="AI31" s="2281"/>
      <c r="AJ31" s="2281"/>
      <c r="AK31" s="337"/>
      <c r="AL31" s="337"/>
      <c r="AM31" s="291"/>
      <c r="AN31" s="379"/>
      <c r="AO31" s="379"/>
      <c r="AP31" s="379"/>
      <c r="AQ31" s="379"/>
      <c r="AR31" s="379"/>
      <c r="AS31" s="429">
        <v>0</v>
      </c>
    </row>
    <row s="1861" customFormat="1" customHeight="1" ht="18.75" hidden="1">
      <c r="A32" s="1379"/>
      <c r="B32" s="1379"/>
      <c r="C32" s="1379"/>
      <c r="D32" s="1379"/>
      <c r="E32" s="1379"/>
      <c r="F32" s="1379"/>
      <c r="G32" s="1379"/>
      <c r="H32" s="1379"/>
      <c r="I32" s="1379"/>
      <c r="J32" s="1379"/>
      <c r="K32" s="1379"/>
      <c r="L32" s="1380"/>
      <c r="M32" s="1379"/>
      <c r="N32" s="1379"/>
      <c r="O32" s="1379"/>
      <c r="S32" s="2280" t="s">
        <v>43</v>
      </c>
      <c r="T32" s="2280"/>
      <c r="U32" s="1383"/>
      <c r="V32" s="2281" t="str">
        <f>IF(TITLE_IST_PUB_CHANGE="",IF(TITLE_IST_PUB="","",TITLE_IST_PUB),TITLE_IST_PUB_CHANGE)</f>
        <v/>
      </c>
      <c r="W32" s="2281"/>
      <c r="X32" s="2281"/>
      <c r="Y32" s="2281"/>
      <c r="Z32" s="2281"/>
      <c r="AA32" s="2281"/>
      <c r="AB32" s="2281"/>
      <c r="AC32" s="337"/>
      <c r="AD32" s="2281" t="str">
        <f>IF(TITLE_IST_PUB_CHANGE="",IF(TITLE_IST_PUB="","",TITLE_IST_PUB),TITLE_IST_PUB_CHANGE)</f>
        <v/>
      </c>
      <c r="AE32" s="2281"/>
      <c r="AF32" s="2281"/>
      <c r="AG32" s="2281"/>
      <c r="AH32" s="2281"/>
      <c r="AI32" s="2281"/>
      <c r="AJ32" s="2281"/>
      <c r="AK32" s="337"/>
      <c r="AL32" s="337"/>
      <c r="AM32" s="291"/>
      <c r="AN32" s="379"/>
      <c r="AO32" s="379"/>
      <c r="AP32" s="379"/>
      <c r="AQ32" s="379"/>
      <c r="AR32" s="379"/>
      <c r="AS32" s="429">
        <v>0</v>
      </c>
    </row>
    <row customHeight="1" ht="14.25" hidden="1">
      <c r="Q33" s="387"/>
      <c r="R33" s="387"/>
      <c r="S33" s="1286"/>
      <c r="T33" s="468"/>
      <c r="U33" s="374"/>
      <c r="V33" s="333"/>
      <c r="W33" s="333"/>
      <c r="X33" s="333"/>
      <c r="Y33" s="333"/>
      <c r="Z33" s="333"/>
      <c r="AA33" s="333"/>
      <c r="AB33" s="333"/>
      <c r="AC33" s="333"/>
      <c r="AD33" s="333"/>
      <c r="AE33" s="333"/>
      <c r="AF33" s="333"/>
      <c r="AG33" s="333"/>
      <c r="AH33" s="333"/>
      <c r="AI33" s="333"/>
      <c r="AJ33" s="333"/>
      <c r="AK33" s="333"/>
      <c r="AL33" s="520"/>
      <c r="AS33" s="1166">
        <v>0</v>
      </c>
    </row>
    <row s="1861" customFormat="1" customHeight="1" ht="18.75" hidden="1">
      <c r="A34" s="1379"/>
      <c r="B34" s="1379"/>
      <c r="C34" s="1379"/>
      <c r="D34" s="1379"/>
      <c r="E34" s="1379"/>
      <c r="F34" s="1379"/>
      <c r="G34" s="1379"/>
      <c r="H34" s="1379"/>
      <c r="I34" s="1379"/>
      <c r="J34" s="1379"/>
      <c r="K34" s="1379"/>
      <c r="L34" s="1380"/>
      <c r="M34" s="1379"/>
      <c r="N34" s="1379"/>
      <c r="O34" s="1379"/>
      <c r="S34" s="2280" t="str">
        <f>"Дата подачи заявления об "&amp;IF(TITLE_DATE_PR_CHANGE="","утверждении","изменении")&amp;" тарифов"</f>
        <v>Дата подачи заявления об утверждении тарифов</v>
      </c>
      <c r="T34" s="2280"/>
      <c r="U34" s="1383"/>
      <c r="V34" s="2294" t="str">
        <f>IF(TITLE_DATE_PR_CHANGE="",IF(TITLE_DATE_PR="","",TITLE_DATE_PR),TITLE_DATE_PR_CHANGE)</f>
        <v/>
      </c>
      <c r="W34" s="2294"/>
      <c r="X34" s="2294"/>
      <c r="Y34" s="2294"/>
      <c r="Z34" s="2294"/>
      <c r="AA34" s="2294"/>
      <c r="AB34" s="2294"/>
      <c r="AC34" s="337"/>
      <c r="AD34" s="2294" t="str">
        <f>IF(TITLE_DATE_PR_CHANGE="",IF(TITLE_DATE_PR="","",TITLE_DATE_PR),TITLE_DATE_PR_CHANGE)</f>
        <v/>
      </c>
      <c r="AE34" s="2294"/>
      <c r="AF34" s="2294"/>
      <c r="AG34" s="2294"/>
      <c r="AH34" s="2294"/>
      <c r="AI34" s="2294"/>
      <c r="AJ34" s="2294"/>
      <c r="AK34" s="337"/>
      <c r="AL34" s="337"/>
      <c r="AM34" s="291"/>
      <c r="AN34" s="379"/>
      <c r="AO34" s="379"/>
      <c r="AP34" s="379"/>
      <c r="AQ34" s="379"/>
      <c r="AR34" s="379"/>
      <c r="AS34" s="429">
        <v>0</v>
      </c>
    </row>
    <row s="1861" customFormat="1" customHeight="1" ht="25.5" hidden="1">
      <c r="A35" s="1379"/>
      <c r="B35" s="1379"/>
      <c r="C35" s="1379"/>
      <c r="D35" s="1379"/>
      <c r="E35" s="1379"/>
      <c r="F35" s="1379"/>
      <c r="G35" s="1379"/>
      <c r="H35" s="1379"/>
      <c r="I35" s="1379"/>
      <c r="J35" s="1379"/>
      <c r="K35" s="1379"/>
      <c r="L35" s="1380"/>
      <c r="M35" s="1379"/>
      <c r="N35" s="1379"/>
      <c r="O35" s="1379"/>
      <c r="S35" s="2280" t="str">
        <f>"Номер подачи заявления об "&amp;IF(TITLE_DATE_PR_CHANGE="","утверждении","изменении")&amp;" тарифов"</f>
        <v>Номер подачи заявления об утверждении тарифов</v>
      </c>
      <c r="T35" s="2280"/>
      <c r="U35" s="1383"/>
      <c r="V35" s="2281" t="str">
        <f>IF(TITLE_NUMBER_PR_CHANGE="",IF(TITLE_NUMBER_PR="","",TITLE_NUMBER_PR),TITLE_NUMBER_PR_CHANGE)</f>
        <v/>
      </c>
      <c r="W35" s="2281"/>
      <c r="X35" s="2281"/>
      <c r="Y35" s="2281"/>
      <c r="Z35" s="2281"/>
      <c r="AA35" s="2281"/>
      <c r="AB35" s="2281"/>
      <c r="AC35" s="337"/>
      <c r="AD35" s="2281" t="str">
        <f>IF(TITLE_NUMBER_PR_CHANGE="",IF(TITLE_NUMBER_PR="","",TITLE_NUMBER_PR),TITLE_NUMBER_PR_CHANGE)</f>
        <v/>
      </c>
      <c r="AE35" s="2281"/>
      <c r="AF35" s="2281"/>
      <c r="AG35" s="2281"/>
      <c r="AH35" s="2281"/>
      <c r="AI35" s="2281"/>
      <c r="AJ35" s="2281"/>
      <c r="AK35" s="337"/>
      <c r="AL35" s="337"/>
      <c r="AM35" s="291"/>
      <c r="AN35" s="379"/>
      <c r="AO35" s="379"/>
      <c r="AP35" s="379"/>
      <c r="AQ35" s="379"/>
      <c r="AR35" s="379"/>
      <c r="AS35" s="429">
        <v>0</v>
      </c>
    </row>
    <row s="1861" customFormat="1" customHeight="1" ht="0">
      <c r="A36" s="1379"/>
      <c r="B36" s="1379"/>
      <c r="C36" s="1379"/>
      <c r="D36" s="1379"/>
      <c r="E36" s="1379"/>
      <c r="F36" s="1379"/>
      <c r="G36" s="1379"/>
      <c r="H36" s="1379"/>
      <c r="I36" s="1379"/>
      <c r="J36" s="1379"/>
      <c r="K36" s="1379"/>
      <c r="L36" s="1380"/>
      <c r="M36" s="1379"/>
      <c r="N36" s="1379"/>
      <c r="O36" s="1379"/>
      <c r="S36" s="334"/>
      <c r="T36" s="334"/>
      <c r="U36" s="1351"/>
      <c r="V36" s="337"/>
      <c r="W36" s="337"/>
      <c r="X36" s="337"/>
      <c r="Y36" s="337"/>
      <c r="Z36" s="337"/>
      <c r="AA36" s="337"/>
      <c r="AB36" s="337"/>
      <c r="AC36" s="289" t="s">
        <v>437</v>
      </c>
      <c r="AD36" s="337"/>
      <c r="AE36" s="337"/>
      <c r="AF36" s="337"/>
      <c r="AG36" s="337"/>
      <c r="AH36" s="337"/>
      <c r="AI36" s="337"/>
      <c r="AJ36" s="337"/>
      <c r="AK36" s="289" t="s">
        <v>437</v>
      </c>
      <c r="AN36" s="379"/>
      <c r="AO36" s="379"/>
      <c r="AP36" s="379"/>
      <c r="AQ36" s="379"/>
      <c r="AR36" s="379"/>
      <c r="AS36" s="429">
        <v>0</v>
      </c>
    </row>
    <row customHeight="1" ht="14.699999999999998">
      <c r="Q37" s="387"/>
      <c r="R37" s="387"/>
      <c r="S37" s="1286"/>
      <c r="T37" s="374"/>
      <c r="U37" s="1255"/>
      <c r="V37" s="2282"/>
      <c r="W37" s="2282"/>
      <c r="X37" s="2282"/>
      <c r="Y37" s="2282"/>
      <c r="Z37" s="2282"/>
      <c r="AA37" s="2282"/>
      <c r="AB37" s="2282"/>
      <c r="AC37" s="2282"/>
      <c r="AD37" s="2282"/>
      <c r="AE37" s="2282"/>
      <c r="AF37" s="2282"/>
      <c r="AG37" s="2282"/>
      <c r="AH37" s="2282"/>
      <c r="AI37" s="2282"/>
      <c r="AJ37" s="2282"/>
      <c r="AK37" s="2282"/>
      <c r="AS37" s="1166">
        <v>14</v>
      </c>
    </row>
    <row customHeight="1" ht="14.699999999999998">
      <c r="Q38" s="387"/>
      <c r="R38" s="387"/>
      <c r="S38" s="2157" t="s">
        <v>314</v>
      </c>
      <c r="T38" s="2157"/>
      <c r="U38" s="2157"/>
      <c r="V38" s="2157"/>
      <c r="W38" s="2157"/>
      <c r="X38" s="2157"/>
      <c r="Y38" s="2157"/>
      <c r="Z38" s="2157"/>
      <c r="AA38" s="2157"/>
      <c r="AB38" s="2157"/>
      <c r="AC38" s="2157"/>
      <c r="AD38" s="2157"/>
      <c r="AE38" s="2157"/>
      <c r="AF38" s="2157"/>
      <c r="AG38" s="2157"/>
      <c r="AH38" s="2157"/>
      <c r="AI38" s="2157"/>
      <c r="AJ38" s="2157"/>
      <c r="AK38" s="2157"/>
      <c r="AL38" s="2157"/>
      <c r="AM38" s="2157" t="s">
        <v>315</v>
      </c>
      <c r="AS38" s="1166">
        <v>14</v>
      </c>
    </row>
    <row customHeight="1" ht="14.699999999999998">
      <c r="Q39" s="387"/>
      <c r="R39" s="387"/>
      <c r="S39" s="2303" t="s">
        <v>89</v>
      </c>
      <c r="T39" s="2239" t="s">
        <v>438</v>
      </c>
      <c r="U39" s="312"/>
      <c r="V39" s="2304" t="s">
        <v>439</v>
      </c>
      <c r="W39" s="2305"/>
      <c r="X39" s="2305"/>
      <c r="Y39" s="2305"/>
      <c r="Z39" s="2305"/>
      <c r="AA39" s="2305"/>
      <c r="AB39" s="2306"/>
      <c r="AC39" s="2307" t="s">
        <v>440</v>
      </c>
      <c r="AD39" s="2304" t="s">
        <v>439</v>
      </c>
      <c r="AE39" s="2305"/>
      <c r="AF39" s="2305"/>
      <c r="AG39" s="2305"/>
      <c r="AH39" s="2305"/>
      <c r="AI39" s="2305"/>
      <c r="AJ39" s="2306"/>
      <c r="AK39" s="2307" t="s">
        <v>441</v>
      </c>
      <c r="AL39" s="2310" t="s">
        <v>442</v>
      </c>
      <c r="AM39" s="2157"/>
      <c r="AS39" s="1166">
        <v>14</v>
      </c>
    </row>
    <row customHeight="1" ht="35.699999999999996">
      <c r="Q40" s="387"/>
      <c r="R40" s="387"/>
      <c r="S40" s="2303"/>
      <c r="T40" s="2239"/>
      <c r="U40" s="1042"/>
      <c r="V40" s="2290" t="s">
        <v>443</v>
      </c>
      <c r="W40" s="2313"/>
      <c r="X40" s="2292" t="s">
        <v>445</v>
      </c>
      <c r="Y40" s="2293"/>
      <c r="Z40" s="2292" t="s">
        <v>446</v>
      </c>
      <c r="AA40" s="2299"/>
      <c r="AB40" s="2293"/>
      <c r="AC40" s="2308"/>
      <c r="AD40" s="2290" t="s">
        <v>460</v>
      </c>
      <c r="AE40" s="2313"/>
      <c r="AF40" s="2292" t="s">
        <v>445</v>
      </c>
      <c r="AG40" s="2293"/>
      <c r="AH40" s="2292" t="s">
        <v>446</v>
      </c>
      <c r="AI40" s="2299"/>
      <c r="AJ40" s="2293"/>
      <c r="AK40" s="2308"/>
      <c r="AL40" s="2311"/>
      <c r="AM40" s="2157"/>
      <c r="AS40" s="1166">
        <v>34</v>
      </c>
    </row>
    <row customHeight="1" ht="35.699999999999996">
      <c r="A41" s="1381"/>
      <c r="B41" s="1381" t="s">
        <v>151</v>
      </c>
      <c r="C41" s="1381" t="s">
        <v>152</v>
      </c>
      <c r="D41" s="1381" t="s">
        <v>153</v>
      </c>
      <c r="E41" s="1375" t="s">
        <v>447</v>
      </c>
      <c r="F41" s="1375" t="s">
        <v>448</v>
      </c>
      <c r="G41" s="1375" t="s">
        <v>449</v>
      </c>
      <c r="H41" s="1375" t="s">
        <v>450</v>
      </c>
      <c r="I41" s="1375" t="s">
        <v>451</v>
      </c>
      <c r="J41" s="1375" t="s">
        <v>452</v>
      </c>
      <c r="K41" s="1375" t="s">
        <v>453</v>
      </c>
      <c r="L41" s="1375" t="s">
        <v>432</v>
      </c>
      <c r="Q41" s="387"/>
      <c r="R41" s="387"/>
      <c r="S41" s="2303"/>
      <c r="T41" s="2239"/>
      <c r="U41" s="313"/>
      <c r="V41" s="2291"/>
      <c r="W41" s="2314"/>
      <c r="X41" s="1233" t="s">
        <v>454</v>
      </c>
      <c r="Y41" s="1233" t="s">
        <v>455</v>
      </c>
      <c r="Z41" s="1349" t="s">
        <v>456</v>
      </c>
      <c r="AA41" s="2300" t="s">
        <v>457</v>
      </c>
      <c r="AB41" s="2301"/>
      <c r="AC41" s="2309"/>
      <c r="AD41" s="2291"/>
      <c r="AE41" s="2314"/>
      <c r="AF41" s="1233" t="s">
        <v>454</v>
      </c>
      <c r="AG41" s="1233" t="s">
        <v>455</v>
      </c>
      <c r="AH41" s="1349" t="s">
        <v>456</v>
      </c>
      <c r="AI41" s="2300" t="s">
        <v>457</v>
      </c>
      <c r="AJ41" s="2301"/>
      <c r="AK41" s="2309"/>
      <c r="AL41" s="2312"/>
      <c r="AM41" s="2157"/>
      <c r="AS41" s="1166">
        <v>34</v>
      </c>
    </row>
    <row s="1652" customFormat="1" customHeight="1" ht="11.25" hidden="1">
      <c r="A42" s="1381"/>
      <c r="B42" s="1381"/>
      <c r="C42" s="1381"/>
      <c r="D42" s="1381"/>
      <c r="E42" s="1381"/>
      <c r="F42" s="1381"/>
      <c r="G42" s="1381"/>
      <c r="H42" s="1381"/>
      <c r="I42" s="1381"/>
      <c r="J42" s="1381"/>
      <c r="K42" s="1381"/>
      <c r="L42" s="1375"/>
      <c r="M42" s="1373"/>
      <c r="N42" s="1373"/>
      <c r="O42" s="1373"/>
      <c r="P42" s="1257"/>
      <c r="Q42" s="1258"/>
      <c r="R42" s="1265">
        <v>1</v>
      </c>
      <c r="S42" s="1288" t="s">
        <v>120</v>
      </c>
      <c r="T42" s="1266" t="s">
        <v>104</v>
      </c>
      <c r="U42" s="1256" t="str">
        <f>OFFSET(U42,0,-1)</f>
        <v>2</v>
      </c>
      <c r="V42" s="1346">
        <f>OFFSET(V42,0,-1)+1</f>
        <v>3</v>
      </c>
      <c r="W42" s="1346"/>
      <c r="X42" s="1346">
        <f>OFFSET(X42,0,-1)+1</f>
        <v>1</v>
      </c>
      <c r="Y42" s="1346">
        <f>OFFSET(Y42,0,-1)+1</f>
        <v>2</v>
      </c>
      <c r="Z42" s="1346">
        <f>OFFSET(Z42,0,-1)+1</f>
        <v>3</v>
      </c>
      <c r="AA42" s="2302">
        <f>OFFSET(AA42,0,-1)+1</f>
        <v>4</v>
      </c>
      <c r="AB42" s="2302"/>
      <c r="AC42" s="1346">
        <f>OFFSET(AC42,0,-2)+1</f>
        <v>5</v>
      </c>
      <c r="AD42" s="1346">
        <f>OFFSET(AD42,0,-1)+1</f>
        <v>6</v>
      </c>
      <c r="AE42" s="1346"/>
      <c r="AF42" s="1346">
        <f>OFFSET(AF42,0,-1)+1</f>
        <v>1</v>
      </c>
      <c r="AG42" s="1346">
        <f>OFFSET(AG42,0,-1)+1</f>
        <v>2</v>
      </c>
      <c r="AH42" s="1346">
        <f>OFFSET(AH42,0,-1)+1</f>
        <v>3</v>
      </c>
      <c r="AI42" s="2302">
        <f>OFFSET(AI42,0,-1)+1</f>
        <v>4</v>
      </c>
      <c r="AJ42" s="2302"/>
      <c r="AK42" s="1346">
        <f>OFFSET(AK42,0,-2)+1</f>
        <v>5</v>
      </c>
      <c r="AL42" s="1256">
        <f>OFFSET(AL42,0,-1)</f>
        <v>5</v>
      </c>
      <c r="AM42" s="1346">
        <f>OFFSET(AM42,0,-1)+1</f>
        <v>6</v>
      </c>
      <c r="AN42" s="522"/>
      <c r="AO42" s="522"/>
      <c r="AP42" s="522"/>
      <c r="AQ42" s="522"/>
      <c r="AR42" s="522"/>
      <c r="AS42" s="507">
        <v>0</v>
      </c>
    </row>
    <row customHeight="1" ht="22.049999999999997">
      <c r="A43" s="1374" t="s">
        <v>202</v>
      </c>
      <c r="B43" s="1374"/>
      <c r="C43" s="1374"/>
      <c r="D43" s="1374"/>
      <c r="E43" s="2288">
        <v>1</v>
      </c>
      <c r="F43" s="1374"/>
      <c r="G43" s="1374"/>
      <c r="H43" s="1374"/>
      <c r="I43" s="1374"/>
      <c r="J43" s="1374"/>
      <c r="K43" s="1374"/>
      <c r="L43" s="1375"/>
      <c r="M43" s="1376"/>
      <c r="N43" s="1376"/>
      <c r="O43" s="1376"/>
      <c r="P43" s="372"/>
      <c r="Q43" s="371"/>
      <c r="R43" s="366"/>
      <c r="S43" s="1347">
        <f>INDEX(PT_DIFFERENTIATION_NUM_NTAR,MATCH(A43,PT_DIFFERENTIATION_NTAR_ID,0))</f>
        <v>0</v>
      </c>
      <c r="T43" s="309" t="s">
        <v>139</v>
      </c>
      <c r="U43" s="311"/>
      <c r="V43" s="2272"/>
      <c r="W43" s="2273"/>
      <c r="X43" s="2273"/>
      <c r="Y43" s="2273"/>
      <c r="Z43" s="2273"/>
      <c r="AA43" s="2273"/>
      <c r="AB43" s="2273"/>
      <c r="AC43" s="2274"/>
      <c r="AD43" s="2272" t="str">
        <f>INDEX(PT_DIFFERENTIATION_NTAR,MATCH(A43,PT_DIFFERENTIATION_NTAR_ID,0))</f>
        <v/>
      </c>
      <c r="AE43" s="2273"/>
      <c r="AF43" s="2273"/>
      <c r="AG43" s="2273"/>
      <c r="AH43" s="2273"/>
      <c r="AI43" s="2273"/>
      <c r="AJ43" s="2273"/>
      <c r="AK43" s="2273"/>
      <c r="AL43" s="2274"/>
      <c r="AM43" s="12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1"/>
      <c r="AP43" s="511" t="str">
        <f>IF(T43="","",T43)</f>
        <v>Наименование тарифа</v>
      </c>
      <c r="AQ43" s="511"/>
      <c r="AR43" s="511"/>
      <c r="AS43" s="1166">
        <v>21</v>
      </c>
    </row>
    <row customHeight="1" ht="22.049999999999997">
      <c r="A44" s="1374" t="s">
        <v>202</v>
      </c>
      <c r="B44" s="1374" t="s">
        <v>203</v>
      </c>
      <c r="C44" s="1374"/>
      <c r="D44" s="1374"/>
      <c r="E44" s="2289"/>
      <c r="F44" s="2288">
        <v>1</v>
      </c>
      <c r="G44" s="1374"/>
      <c r="H44" s="1374"/>
      <c r="I44" s="1374"/>
      <c r="J44" s="1374"/>
      <c r="K44" s="1374"/>
      <c r="L44" s="1375"/>
      <c r="M44" s="1376"/>
      <c r="N44" s="1376"/>
      <c r="O44" s="1376"/>
      <c r="P44" s="1343"/>
      <c r="Q44" s="363"/>
      <c r="R44" s="364"/>
      <c r="S44" s="1347" t="str">
        <f>INDEX(PT_DIFFERENTIATION_NUM_TER,MATCH(B44,PT_DIFFERENTIATION_TER_ID,0))</f>
        <v>.</v>
      </c>
      <c r="T44" s="319" t="s">
        <v>411</v>
      </c>
      <c r="U44" s="311"/>
      <c r="V44" s="2272"/>
      <c r="W44" s="2273"/>
      <c r="X44" s="2273"/>
      <c r="Y44" s="2273"/>
      <c r="Z44" s="2273"/>
      <c r="AA44" s="2273"/>
      <c r="AB44" s="2273"/>
      <c r="AC44" s="2274"/>
      <c r="AD44" s="2272" t="str">
        <f>INDEX(PT_DIFFERENTIATION_TER,MATCH(B44,PT_DIFFERENTIATION_TER_ID,0))</f>
        <v/>
      </c>
      <c r="AE44" s="2273"/>
      <c r="AF44" s="2273"/>
      <c r="AG44" s="2273"/>
      <c r="AH44" s="2273"/>
      <c r="AI44" s="2273"/>
      <c r="AJ44" s="2273"/>
      <c r="AK44" s="2273"/>
      <c r="AL44" s="2274"/>
      <c r="AM44" s="1269" t="s">
        <v>412</v>
      </c>
      <c r="AO44" s="511"/>
      <c r="AP44" s="511" t="str">
        <f>IF(T44="","",T44)</f>
        <v>Территория действия тарифа</v>
      </c>
      <c r="AQ44" s="511"/>
      <c r="AR44" s="511"/>
      <c r="AS44" s="1166">
        <v>21</v>
      </c>
    </row>
    <row customHeight="1" ht="24">
      <c r="A45" s="1374" t="s">
        <v>202</v>
      </c>
      <c r="B45" s="1374" t="s">
        <v>203</v>
      </c>
      <c r="C45" s="1374" t="s">
        <v>204</v>
      </c>
      <c r="D45" s="1374"/>
      <c r="E45" s="2289"/>
      <c r="F45" s="2289"/>
      <c r="G45" s="2288">
        <v>1</v>
      </c>
      <c r="H45" s="1374"/>
      <c r="I45" s="1374"/>
      <c r="J45" s="1374"/>
      <c r="K45" s="1374"/>
      <c r="L45" s="1375"/>
      <c r="M45" s="1376"/>
      <c r="N45" s="1376"/>
      <c r="O45" s="1376"/>
      <c r="P45" s="365"/>
      <c r="Q45" s="363"/>
      <c r="R45" s="364"/>
      <c r="S45" s="1347" t="str">
        <f>INDEX(PT_DIFFERENTIATION_NUM_CS,MATCH(C45,PT_DIFFERENTIATION_CS_ID,0))</f>
        <v>..</v>
      </c>
      <c r="T45" s="320" t="s">
        <v>413</v>
      </c>
      <c r="U45" s="311"/>
      <c r="V45" s="2272"/>
      <c r="W45" s="2273"/>
      <c r="X45" s="2273"/>
      <c r="Y45" s="2273"/>
      <c r="Z45" s="2273"/>
      <c r="AA45" s="2273"/>
      <c r="AB45" s="2273"/>
      <c r="AC45" s="2274"/>
      <c r="AD45" s="2272" t="str">
        <f>INDEX(PT_DIFFERENTIATION_CS,MATCH(C45,PT_DIFFERENTIATION_CS_ID,0))</f>
        <v/>
      </c>
      <c r="AE45" s="2273"/>
      <c r="AF45" s="2273"/>
      <c r="AG45" s="2273"/>
      <c r="AH45" s="2273"/>
      <c r="AI45" s="2273"/>
      <c r="AJ45" s="2273"/>
      <c r="AK45" s="2273"/>
      <c r="AL45" s="2274"/>
      <c r="AM45" s="1269" t="s">
        <v>414</v>
      </c>
      <c r="AO45" s="511"/>
      <c r="AP45" s="511" t="str">
        <f>IF(T45="","",T45)</f>
        <v>Наименование системы теплоснабжения </v>
      </c>
      <c r="AQ45" s="511"/>
      <c r="AR45" s="511"/>
      <c r="AS45" s="1166">
        <v>23</v>
      </c>
    </row>
    <row customHeight="1" ht="22.049999999999997">
      <c r="A46" s="1374" t="s">
        <v>202</v>
      </c>
      <c r="B46" s="1374" t="s">
        <v>203</v>
      </c>
      <c r="C46" s="1374" t="s">
        <v>204</v>
      </c>
      <c r="D46" s="1374" t="s">
        <v>205</v>
      </c>
      <c r="E46" s="2289"/>
      <c r="F46" s="2289"/>
      <c r="G46" s="2289"/>
      <c r="H46" s="2288">
        <v>1</v>
      </c>
      <c r="I46" s="1374"/>
      <c r="J46" s="1374"/>
      <c r="K46" s="1374"/>
      <c r="L46" s="1375"/>
      <c r="M46" s="1376"/>
      <c r="N46" s="1376"/>
      <c r="O46" s="1376"/>
      <c r="P46" s="365"/>
      <c r="Q46" s="363"/>
      <c r="R46" s="364"/>
      <c r="S46" s="1347" t="str">
        <f>INDEX(PT_DIFFERENTIATION_NUM_IST_TE,MATCH(D46,PT_DIFFERENTIATION_IST_TE_ID,0))</f>
        <v>...</v>
      </c>
      <c r="T46" s="321" t="s">
        <v>415</v>
      </c>
      <c r="U46" s="311"/>
      <c r="V46" s="2272"/>
      <c r="W46" s="2273"/>
      <c r="X46" s="2273"/>
      <c r="Y46" s="2273"/>
      <c r="Z46" s="2273"/>
      <c r="AA46" s="2273"/>
      <c r="AB46" s="2273"/>
      <c r="AC46" s="2274"/>
      <c r="AD46" s="2272" t="str">
        <f>INDEX(PT_DIFFERENTIATION_IST_TE,MATCH(D46,PT_DIFFERENTIATION_IST_TE_ID,0))</f>
        <v/>
      </c>
      <c r="AE46" s="2273"/>
      <c r="AF46" s="2273"/>
      <c r="AG46" s="2273"/>
      <c r="AH46" s="2273"/>
      <c r="AI46" s="2273"/>
      <c r="AJ46" s="2273"/>
      <c r="AK46" s="2273"/>
      <c r="AL46" s="2274"/>
      <c r="AM46" s="1269" t="s">
        <v>416</v>
      </c>
      <c r="AO46" s="511"/>
      <c r="AP46" s="511" t="str">
        <f>IF(T46="","",T46)</f>
        <v>Источник тепловой энергии  </v>
      </c>
      <c r="AQ46" s="511"/>
      <c r="AR46" s="511"/>
      <c r="AS46" s="1166">
        <v>21</v>
      </c>
    </row>
    <row s="1653" customFormat="1" customHeight="1" ht="0">
      <c r="A47" s="1354" t="s">
        <v>202</v>
      </c>
      <c r="B47" s="1354" t="s">
        <v>203</v>
      </c>
      <c r="C47" s="1354" t="s">
        <v>204</v>
      </c>
      <c r="D47" s="1354" t="s">
        <v>205</v>
      </c>
      <c r="E47" s="2289"/>
      <c r="F47" s="2289"/>
      <c r="G47" s="2289"/>
      <c r="H47" s="2289"/>
      <c r="I47" s="2286" t="str">
        <f>S46&amp;".1"</f>
        <v>....1</v>
      </c>
      <c r="J47" s="1354"/>
      <c r="K47" s="1354"/>
      <c r="L47" s="1357" t="s">
        <v>417</v>
      </c>
      <c r="M47" s="521"/>
      <c r="N47" s="521"/>
      <c r="O47" s="521"/>
      <c r="P47" s="2287">
        <v>1</v>
      </c>
      <c r="Q47" s="1342"/>
      <c r="R47" s="367"/>
      <c r="S47" s="1053"/>
      <c r="T47" s="1394"/>
      <c r="U47" s="1395"/>
      <c r="V47" s="2326"/>
      <c r="W47" s="2327"/>
      <c r="X47" s="2327"/>
      <c r="Y47" s="2327"/>
      <c r="Z47" s="2327"/>
      <c r="AA47" s="2327"/>
      <c r="AB47" s="2327"/>
      <c r="AC47" s="2328"/>
      <c r="AD47" s="2326"/>
      <c r="AE47" s="2327"/>
      <c r="AF47" s="2327"/>
      <c r="AG47" s="2327"/>
      <c r="AH47" s="2327"/>
      <c r="AI47" s="2327"/>
      <c r="AJ47" s="2327"/>
      <c r="AK47" s="2327"/>
      <c r="AL47" s="2328"/>
      <c r="AM47" s="1396"/>
      <c r="AO47" s="511"/>
      <c r="AP47" s="511" t="str">
        <f>IF(T47="","",T47)</f>
        <v/>
      </c>
      <c r="AQ47" s="511"/>
      <c r="AR47" s="511"/>
      <c r="AS47" s="522">
        <v>0</v>
      </c>
    </row>
    <row customHeight="1" ht="22.049999999999997">
      <c r="A48" s="1374" t="s">
        <v>202</v>
      </c>
      <c r="B48" s="1374" t="s">
        <v>203</v>
      </c>
      <c r="C48" s="1374" t="s">
        <v>204</v>
      </c>
      <c r="D48" s="1374" t="s">
        <v>205</v>
      </c>
      <c r="E48" s="2289"/>
      <c r="F48" s="2289"/>
      <c r="G48" s="2289"/>
      <c r="H48" s="2289"/>
      <c r="I48" s="2316"/>
      <c r="J48" s="2286" t="str">
        <f>S46&amp;".1"</f>
        <v>....1</v>
      </c>
      <c r="K48" s="1374"/>
      <c r="L48" s="1375" t="s">
        <v>420</v>
      </c>
      <c r="P48" s="2287"/>
      <c r="Q48" s="2287">
        <v>1</v>
      </c>
      <c r="R48" s="368"/>
      <c r="S48" s="1347" t="str">
        <f>$J48</f>
        <v>....1</v>
      </c>
      <c r="T48" s="297" t="s">
        <v>421</v>
      </c>
      <c r="U48" s="311"/>
      <c r="V48" s="2275"/>
      <c r="W48" s="2276"/>
      <c r="X48" s="2276"/>
      <c r="Y48" s="2276"/>
      <c r="Z48" s="2276"/>
      <c r="AA48" s="2276"/>
      <c r="AB48" s="2276"/>
      <c r="AC48" s="2277"/>
      <c r="AD48" s="2275"/>
      <c r="AE48" s="2276"/>
      <c r="AF48" s="2276"/>
      <c r="AG48" s="2276"/>
      <c r="AH48" s="2276"/>
      <c r="AI48" s="2276"/>
      <c r="AJ48" s="2276"/>
      <c r="AK48" s="2276"/>
      <c r="AL48" s="2277"/>
      <c r="AM48" s="1269" t="s">
        <v>422</v>
      </c>
      <c r="AO48" s="511"/>
      <c r="AP48" s="511" t="str">
        <f>IF(T48="","",T48)</f>
        <v>Группа потребителей</v>
      </c>
      <c r="AQ48" s="511"/>
      <c r="AR48" s="511"/>
      <c r="AS48" s="1166">
        <v>21</v>
      </c>
    </row>
    <row customHeight="1" ht="22.049999999999997">
      <c r="A49" s="1374" t="s">
        <v>202</v>
      </c>
      <c r="B49" s="1374" t="s">
        <v>203</v>
      </c>
      <c r="C49" s="1374" t="s">
        <v>204</v>
      </c>
      <c r="D49" s="1374" t="s">
        <v>205</v>
      </c>
      <c r="E49" s="2289"/>
      <c r="F49" s="2289"/>
      <c r="G49" s="2289"/>
      <c r="H49" s="2289"/>
      <c r="I49" s="2316"/>
      <c r="J49" s="2316"/>
      <c r="K49" s="2286" t="str">
        <f>J48&amp;".1"</f>
        <v>....1.1</v>
      </c>
      <c r="L49" s="1375" t="s">
        <v>423</v>
      </c>
      <c r="P49" s="2287"/>
      <c r="Q49" s="2287"/>
      <c r="R49" s="368">
        <v>1</v>
      </c>
      <c r="S49" s="1347" t="str">
        <f>$K49</f>
        <v>....1.1</v>
      </c>
      <c r="T49" s="1358"/>
      <c r="U49" s="311"/>
      <c r="V49" s="762"/>
      <c r="W49" s="336"/>
      <c r="X49" s="762"/>
      <c r="Y49" s="1268"/>
      <c r="Z49" s="2295"/>
      <c r="AA49" s="2137" t="s">
        <v>63</v>
      </c>
      <c r="AB49" s="2295"/>
      <c r="AC49" s="2137" t="s">
        <v>63</v>
      </c>
      <c r="AD49" s="762"/>
      <c r="AE49" s="336"/>
      <c r="AF49" s="762"/>
      <c r="AG49" s="1268"/>
      <c r="AH49" s="2295"/>
      <c r="AI49" s="2137" t="s">
        <v>63</v>
      </c>
      <c r="AJ49" s="2317"/>
      <c r="AK49" s="2137" t="s">
        <v>63</v>
      </c>
      <c r="AL49" s="1359"/>
      <c r="AM49" s="2283" t="s">
        <v>461</v>
      </c>
      <c r="AN49" s="522">
        <f>STRCHECKDATE(V50:AL50)</f>
      </c>
      <c r="AO49" s="511"/>
      <c r="AP49" s="511" t="str">
        <f>IF(T49="","",T49)</f>
        <v/>
      </c>
      <c r="AQ49" s="511"/>
      <c r="AR49" s="511"/>
      <c r="AS49" s="1166">
        <v>21</v>
      </c>
    </row>
    <row customHeight="1" ht="0">
      <c r="A50" s="1374" t="s">
        <v>202</v>
      </c>
      <c r="B50" s="1374" t="s">
        <v>203</v>
      </c>
      <c r="C50" s="1374" t="s">
        <v>204</v>
      </c>
      <c r="D50" s="1374" t="s">
        <v>205</v>
      </c>
      <c r="E50" s="2289"/>
      <c r="F50" s="2289"/>
      <c r="G50" s="2289"/>
      <c r="H50" s="2289"/>
      <c r="I50" s="2316"/>
      <c r="J50" s="2316"/>
      <c r="K50" s="2286"/>
      <c r="L50" s="1375"/>
      <c r="P50" s="2287"/>
      <c r="Q50" s="2287"/>
      <c r="R50" s="368"/>
      <c r="S50" s="1353"/>
      <c r="T50" s="311"/>
      <c r="U50" s="311"/>
      <c r="V50" s="336"/>
      <c r="W50" s="336"/>
      <c r="X50" s="336"/>
      <c r="Y50" s="339" t="str">
        <f>Z49&amp;"-"&amp;AB49</f>
        <v>-</v>
      </c>
      <c r="Z50" s="2296"/>
      <c r="AA50" s="2137"/>
      <c r="AB50" s="2296"/>
      <c r="AC50" s="2137"/>
      <c r="AD50" s="336"/>
      <c r="AE50" s="336"/>
      <c r="AF50" s="336"/>
      <c r="AG50" s="339" t="str">
        <f>AH49&amp;"-"&amp;AJ49</f>
        <v>-</v>
      </c>
      <c r="AH50" s="2296"/>
      <c r="AI50" s="2137"/>
      <c r="AJ50" s="2318"/>
      <c r="AK50" s="2137"/>
      <c r="AL50" s="1360"/>
      <c r="AM50" s="2284"/>
      <c r="AO50" s="511"/>
      <c r="AP50" s="511" t="str">
        <f>IF(T50="","",T50)</f>
        <v/>
      </c>
      <c r="AQ50" s="511"/>
      <c r="AR50" s="511"/>
      <c r="AS50" s="1166">
        <v>0</v>
      </c>
    </row>
    <row customHeight="1" ht="11.549999999999999">
      <c r="A51" s="1374" t="s">
        <v>202</v>
      </c>
      <c r="B51" s="1374" t="s">
        <v>203</v>
      </c>
      <c r="C51" s="1374" t="s">
        <v>204</v>
      </c>
      <c r="D51" s="1374" t="s">
        <v>205</v>
      </c>
      <c r="E51" s="2289"/>
      <c r="F51" s="2289"/>
      <c r="G51" s="2289"/>
      <c r="H51" s="2289"/>
      <c r="I51" s="2316"/>
      <c r="J51" s="2286"/>
      <c r="K51" s="1374"/>
      <c r="L51" s="1375"/>
      <c r="P51" s="2287"/>
      <c r="Q51" s="2287"/>
      <c r="R51" s="367"/>
      <c r="S51" s="1289"/>
      <c r="T51" s="298" t="s">
        <v>425</v>
      </c>
      <c r="U51" s="378"/>
      <c r="V51" s="378"/>
      <c r="W51" s="378"/>
      <c r="X51" s="378"/>
      <c r="Y51" s="378"/>
      <c r="Z51" s="378"/>
      <c r="AA51" s="378"/>
      <c r="AB51" s="378"/>
      <c r="AC51" s="378"/>
      <c r="AD51" s="378"/>
      <c r="AE51" s="378"/>
      <c r="AF51" s="378"/>
      <c r="AG51" s="378"/>
      <c r="AH51" s="378"/>
      <c r="AI51" s="378"/>
      <c r="AJ51" s="378"/>
      <c r="AK51" s="378"/>
      <c r="AL51" s="335"/>
      <c r="AM51" s="2285"/>
      <c r="AO51" s="511"/>
      <c r="AP51" s="511" t="str">
        <f>IF(T51="","",T51)</f>
        <v>Добавить вид теплоносителя (параметры теплоносителя)</v>
      </c>
      <c r="AQ51" s="511"/>
      <c r="AR51" s="511"/>
      <c r="AS51" s="1166">
        <v>11</v>
      </c>
    </row>
    <row customHeight="1" ht="11.549999999999999">
      <c r="A52" s="1374" t="s">
        <v>202</v>
      </c>
      <c r="B52" s="1374" t="s">
        <v>203</v>
      </c>
      <c r="C52" s="1374" t="s">
        <v>204</v>
      </c>
      <c r="D52" s="1374" t="s">
        <v>205</v>
      </c>
      <c r="E52" s="2289"/>
      <c r="F52" s="2289"/>
      <c r="G52" s="2289"/>
      <c r="H52" s="2289"/>
      <c r="I52" s="2286"/>
      <c r="J52" s="1374"/>
      <c r="K52" s="1374"/>
      <c r="L52" s="1375"/>
      <c r="P52" s="2287"/>
      <c r="Q52" s="1342"/>
      <c r="R52" s="367"/>
      <c r="S52" s="1289"/>
      <c r="T52" s="376" t="s">
        <v>426</v>
      </c>
      <c r="U52" s="378"/>
      <c r="V52" s="378"/>
      <c r="W52" s="378"/>
      <c r="X52" s="378"/>
      <c r="Y52" s="378"/>
      <c r="Z52" s="378"/>
      <c r="AA52" s="378"/>
      <c r="AB52" s="378"/>
      <c r="AC52" s="377"/>
      <c r="AD52" s="378"/>
      <c r="AE52" s="378"/>
      <c r="AF52" s="378"/>
      <c r="AG52" s="378"/>
      <c r="AH52" s="378"/>
      <c r="AI52" s="378"/>
      <c r="AJ52" s="378"/>
      <c r="AK52" s="377"/>
      <c r="AL52" s="378"/>
      <c r="AM52" s="314"/>
      <c r="AO52" s="511"/>
      <c r="AP52" s="511" t="str">
        <f>IF(T52="","",T52)</f>
        <v>Добавить группу потребителей</v>
      </c>
      <c r="AQ52" s="511"/>
      <c r="AR52" s="511"/>
      <c r="AS52" s="1166">
        <v>11</v>
      </c>
    </row>
    <row customHeight="1" ht="0">
      <c r="A53" s="1374" t="s">
        <v>202</v>
      </c>
      <c r="B53" s="1374" t="s">
        <v>203</v>
      </c>
      <c r="C53" s="1374" t="s">
        <v>204</v>
      </c>
      <c r="D53" s="1374" t="s">
        <v>205</v>
      </c>
      <c r="E53" s="2289"/>
      <c r="F53" s="2289"/>
      <c r="G53" s="2289"/>
      <c r="H53" s="2288"/>
      <c r="I53" s="1374"/>
      <c r="J53" s="1374"/>
      <c r="K53" s="1374"/>
      <c r="L53" s="1375"/>
      <c r="M53" s="1376"/>
      <c r="N53" s="1376"/>
      <c r="O53" s="548"/>
      <c r="P53" s="371"/>
      <c r="Q53" s="386"/>
      <c r="R53" s="366"/>
      <c r="S53" s="1397"/>
      <c r="T53" s="1398"/>
      <c r="U53" s="1399"/>
      <c r="V53" s="1399"/>
      <c r="W53" s="1399"/>
      <c r="X53" s="1399"/>
      <c r="Y53" s="1399"/>
      <c r="Z53" s="1399"/>
      <c r="AA53" s="1399"/>
      <c r="AB53" s="1399"/>
      <c r="AC53" s="1399"/>
      <c r="AD53" s="1399"/>
      <c r="AE53" s="1399"/>
      <c r="AF53" s="1399"/>
      <c r="AG53" s="1399"/>
      <c r="AH53" s="1399"/>
      <c r="AI53" s="1399"/>
      <c r="AJ53" s="1399"/>
      <c r="AK53" s="1399"/>
      <c r="AL53" s="1399"/>
      <c r="AM53" s="1400"/>
      <c r="AO53" s="511"/>
      <c r="AP53" s="511" t="str">
        <f>IF(T53="","",T53)</f>
        <v/>
      </c>
      <c r="AQ53" s="511"/>
      <c r="AR53" s="511"/>
      <c r="AS53" s="1166">
        <v>0</v>
      </c>
    </row>
    <row s="1653" customFormat="1" customHeight="1" ht="0">
      <c r="A54" s="1354" t="s">
        <v>202</v>
      </c>
      <c r="B54" s="1354" t="s">
        <v>203</v>
      </c>
      <c r="C54" s="1354" t="s">
        <v>204</v>
      </c>
      <c r="D54" s="1325"/>
      <c r="E54" s="2289"/>
      <c r="F54" s="2289"/>
      <c r="G54" s="2288"/>
      <c r="H54" s="1325"/>
      <c r="I54" s="1325"/>
      <c r="J54" s="1325"/>
      <c r="K54" s="1325"/>
      <c r="L54" s="1350"/>
      <c r="M54" s="1326"/>
      <c r="N54" s="1326"/>
      <c r="P54" s="1327"/>
      <c r="Q54" s="1328"/>
      <c r="R54" s="1327"/>
      <c r="S54" s="1333"/>
      <c r="T54" s="1336" t="s">
        <v>428</v>
      </c>
      <c r="U54" s="1335"/>
      <c r="V54" s="1335"/>
      <c r="W54" s="1335"/>
      <c r="X54" s="1335"/>
      <c r="Y54" s="1335"/>
      <c r="Z54" s="1335"/>
      <c r="AA54" s="1335"/>
      <c r="AB54" s="1335"/>
      <c r="AC54" s="1335"/>
      <c r="AD54" s="1335"/>
      <c r="AE54" s="1335"/>
      <c r="AF54" s="1335"/>
      <c r="AG54" s="1335"/>
      <c r="AH54" s="1335"/>
      <c r="AI54" s="1335"/>
      <c r="AJ54" s="1335"/>
      <c r="AK54" s="1335"/>
      <c r="AL54" s="1335"/>
      <c r="AM54" s="1335"/>
      <c r="AO54" s="800"/>
      <c r="AP54" s="800" t="str">
        <f>IF(T54="","",T54)</f>
        <v>Добавить источник для дифференциации</v>
      </c>
      <c r="AQ54" s="800"/>
      <c r="AR54" s="800"/>
      <c r="AS54" s="529">
        <v>0</v>
      </c>
    </row>
    <row s="1653" customFormat="1" customHeight="1" ht="0">
      <c r="A55" s="1354" t="s">
        <v>202</v>
      </c>
      <c r="B55" s="1354" t="s">
        <v>203</v>
      </c>
      <c r="C55" s="1325"/>
      <c r="D55" s="1325"/>
      <c r="E55" s="2289"/>
      <c r="F55" s="2288"/>
      <c r="G55" s="1325"/>
      <c r="H55" s="1325"/>
      <c r="I55" s="1325"/>
      <c r="J55" s="1325"/>
      <c r="K55" s="1325"/>
      <c r="L55" s="1350"/>
      <c r="M55" s="1332"/>
      <c r="N55" s="1332"/>
      <c r="P55" s="1327"/>
      <c r="Q55" s="1328"/>
      <c r="R55" s="1327"/>
      <c r="S55" s="1333"/>
      <c r="T55" s="1336" t="s">
        <v>429</v>
      </c>
      <c r="U55" s="1335"/>
      <c r="V55" s="1335"/>
      <c r="W55" s="1335"/>
      <c r="X55" s="1335"/>
      <c r="Y55" s="1335"/>
      <c r="Z55" s="1335"/>
      <c r="AA55" s="1335"/>
      <c r="AB55" s="1335"/>
      <c r="AC55" s="1335"/>
      <c r="AD55" s="1335"/>
      <c r="AE55" s="1335"/>
      <c r="AF55" s="1335"/>
      <c r="AG55" s="1335"/>
      <c r="AH55" s="1335"/>
      <c r="AI55" s="1335"/>
      <c r="AJ55" s="1335"/>
      <c r="AK55" s="1335"/>
      <c r="AL55" s="1335"/>
      <c r="AM55" s="1335"/>
      <c r="AO55" s="800"/>
      <c r="AP55" s="800" t="str">
        <f>IF(T55="","",T55)</f>
        <v>Добавить централизованную систему для дифференциации</v>
      </c>
      <c r="AQ55" s="800"/>
      <c r="AR55" s="800"/>
      <c r="AS55" s="529">
        <v>0</v>
      </c>
    </row>
    <row s="1653" customFormat="1" customHeight="1" ht="0">
      <c r="A56" s="1354" t="s">
        <v>202</v>
      </c>
      <c r="B56" s="1354"/>
      <c r="C56" s="1354"/>
      <c r="D56" s="1354"/>
      <c r="E56" s="2288"/>
      <c r="F56" s="1354"/>
      <c r="G56" s="1354"/>
      <c r="H56" s="1354"/>
      <c r="I56" s="1354"/>
      <c r="J56" s="1354"/>
      <c r="K56" s="1354"/>
      <c r="L56" s="1357"/>
      <c r="M56" s="1332"/>
      <c r="N56" s="1332"/>
      <c r="O56" s="529"/>
      <c r="P56" s="391"/>
      <c r="Q56" s="1355"/>
      <c r="R56" s="391"/>
      <c r="S56" s="1333"/>
      <c r="T56" s="1336" t="s">
        <v>430</v>
      </c>
      <c r="U56" s="1335"/>
      <c r="V56" s="1335"/>
      <c r="W56" s="1335"/>
      <c r="X56" s="1335"/>
      <c r="Y56" s="1335"/>
      <c r="Z56" s="1335"/>
      <c r="AA56" s="1335"/>
      <c r="AB56" s="1335"/>
      <c r="AC56" s="1335"/>
      <c r="AD56" s="1335"/>
      <c r="AE56" s="1335"/>
      <c r="AF56" s="1335"/>
      <c r="AG56" s="1335"/>
      <c r="AH56" s="1335"/>
      <c r="AI56" s="1335"/>
      <c r="AJ56" s="1335"/>
      <c r="AK56" s="1335"/>
      <c r="AL56" s="1335"/>
      <c r="AM56" s="1335"/>
      <c r="AO56" s="511"/>
      <c r="AP56" s="511" t="str">
        <f>IF(T56="","",T56)</f>
        <v>Добавить территорию для дифференциации</v>
      </c>
      <c r="AQ56" s="511"/>
      <c r="AR56" s="511"/>
      <c r="AS56" s="522">
        <v>0</v>
      </c>
    </row>
    <row s="1653" customFormat="1" customHeight="1" ht="4.2">
      <c r="A57" s="1325"/>
      <c r="B57" s="1325"/>
      <c r="C57" s="1325"/>
      <c r="D57" s="1325"/>
      <c r="E57" s="1354"/>
      <c r="F57" s="1325"/>
      <c r="G57" s="1325"/>
      <c r="H57" s="1325"/>
      <c r="I57" s="1325"/>
      <c r="J57" s="1325"/>
      <c r="K57" s="1325"/>
      <c r="L57" s="1350"/>
      <c r="M57" s="1332"/>
      <c r="N57" s="1332"/>
      <c r="P57" s="1327"/>
      <c r="Q57" s="1328"/>
      <c r="R57" s="1327"/>
      <c r="S57" s="1333"/>
      <c r="T57" s="1336" t="s">
        <v>458</v>
      </c>
      <c r="U57" s="1335"/>
      <c r="V57" s="1335"/>
      <c r="W57" s="1335"/>
      <c r="X57" s="1335"/>
      <c r="Y57" s="1335"/>
      <c r="Z57" s="1335"/>
      <c r="AA57" s="1335"/>
      <c r="AB57" s="1335"/>
      <c r="AC57" s="1335"/>
      <c r="AD57" s="1335"/>
      <c r="AE57" s="1335"/>
      <c r="AF57" s="1335"/>
      <c r="AG57" s="1335"/>
      <c r="AH57" s="1335"/>
      <c r="AI57" s="1335"/>
      <c r="AJ57" s="1335"/>
      <c r="AK57" s="1335"/>
      <c r="AL57" s="1335"/>
      <c r="AM57" s="1335"/>
      <c r="AO57" s="800"/>
      <c r="AP57" s="800" t="str">
        <f>IF(T57="","",T57)</f>
        <v>Добавить наименование тарифа</v>
      </c>
      <c r="AQ57" s="800"/>
      <c r="AR57" s="800"/>
      <c r="AS57" s="529">
        <v>4</v>
      </c>
    </row>
    <row customHeight="1" ht="11.549999999999999">
      <c r="M58" s="1171"/>
      <c r="N58" s="1171"/>
      <c r="O58" s="548"/>
      <c r="P58" s="1166"/>
      <c r="Q58" s="1166"/>
      <c r="R58" s="1166"/>
      <c r="S58" s="1166"/>
      <c r="AN58" s="1166"/>
      <c r="AO58" s="1166"/>
      <c r="AP58" s="1166"/>
      <c r="AQ58" s="1166"/>
      <c r="AR58" s="1166"/>
      <c r="AS58" s="1166">
        <v>11</v>
      </c>
    </row>
    <row customHeight="1" ht="14.699999999999998">
      <c r="O59" s="548"/>
      <c r="S59" s="1264"/>
      <c r="T59" s="2315"/>
      <c r="U59" s="2315"/>
      <c r="V59" s="2315"/>
      <c r="W59" s="2315"/>
      <c r="X59" s="2315"/>
      <c r="Y59" s="2315"/>
      <c r="Z59" s="2315"/>
      <c r="AA59" s="2315"/>
      <c r="AB59" s="2315"/>
      <c r="AC59" s="2315"/>
      <c r="AD59" s="2315"/>
      <c r="AE59" s="2315"/>
      <c r="AF59" s="2315"/>
      <c r="AG59" s="2315"/>
      <c r="AH59" s="2315"/>
      <c r="AI59" s="2315"/>
      <c r="AJ59" s="2315"/>
      <c r="AK59" s="2315"/>
      <c r="AL59" s="2315"/>
      <c r="AM59" s="2315"/>
      <c r="AS59" s="1166">
        <v>14</v>
      </c>
    </row>
    <row customHeight="1" ht="14.699999999999998">
      <c r="O60" s="548"/>
      <c r="T60" s="2315"/>
      <c r="U60" s="2315"/>
      <c r="V60" s="2315"/>
      <c r="W60" s="2315"/>
      <c r="X60" s="2315"/>
      <c r="Y60" s="2315"/>
      <c r="Z60" s="2315"/>
      <c r="AA60" s="2315"/>
      <c r="AB60" s="2315"/>
      <c r="AC60" s="2315"/>
      <c r="AD60" s="2315"/>
      <c r="AE60" s="2315"/>
      <c r="AF60" s="2315"/>
      <c r="AG60" s="2315"/>
      <c r="AH60" s="2315"/>
      <c r="AI60" s="2315"/>
      <c r="AJ60" s="2315"/>
      <c r="AK60" s="2315"/>
      <c r="AL60" s="2315"/>
      <c r="AM60" s="2315"/>
      <c r="AS60" s="1166">
        <v>14</v>
      </c>
    </row>
    <row customHeight="1" ht="14.699999999999998">
      <c r="O61" s="548"/>
      <c r="T61" s="2315"/>
      <c r="U61" s="2315"/>
      <c r="V61" s="2315"/>
      <c r="W61" s="2315"/>
      <c r="X61" s="2315"/>
      <c r="Y61" s="2315"/>
      <c r="Z61" s="2315"/>
      <c r="AA61" s="2315"/>
      <c r="AB61" s="2315"/>
      <c r="AC61" s="2315"/>
      <c r="AD61" s="2315"/>
      <c r="AE61" s="2315"/>
      <c r="AF61" s="2315"/>
      <c r="AG61" s="2315"/>
      <c r="AH61" s="2315"/>
      <c r="AI61" s="2315"/>
      <c r="AJ61" s="2315"/>
      <c r="AK61" s="2315"/>
      <c r="AL61" s="2315"/>
      <c r="AM61" s="2315"/>
      <c r="AS61" s="1166">
        <v>14</v>
      </c>
    </row>
    <row customHeight="1" ht="14.699999999999998">
      <c r="O62" s="548"/>
      <c r="AS62" s="1166">
        <v>14</v>
      </c>
    </row>
    <row customHeight="1" ht="14.699999999999998">
      <c r="O63" s="548"/>
      <c r="S63" s="1264"/>
      <c r="T63" s="2329"/>
      <c r="U63" s="2315"/>
      <c r="V63" s="2315"/>
      <c r="W63" s="2315"/>
      <c r="X63" s="2315"/>
      <c r="Y63" s="2315"/>
      <c r="Z63" s="2315"/>
      <c r="AA63" s="2315"/>
      <c r="AB63" s="2315"/>
      <c r="AC63" s="2315"/>
      <c r="AD63" s="2315"/>
      <c r="AE63" s="2315"/>
      <c r="AF63" s="2315"/>
      <c r="AG63" s="2315"/>
      <c r="AH63" s="2315"/>
      <c r="AI63" s="2315"/>
      <c r="AJ63" s="2315"/>
      <c r="AK63" s="2315"/>
      <c r="AL63" s="2315"/>
      <c r="AM63" s="2315"/>
      <c r="AS63" s="1166">
        <v>14</v>
      </c>
    </row>
    <row customHeight="1" ht="14.699999999999998">
      <c r="O64" s="548"/>
      <c r="T64" s="2315"/>
      <c r="U64" s="2315"/>
      <c r="V64" s="2315"/>
      <c r="W64" s="2315"/>
      <c r="X64" s="2315"/>
      <c r="Y64" s="2315"/>
      <c r="Z64" s="2315"/>
      <c r="AA64" s="2315"/>
      <c r="AB64" s="2315"/>
      <c r="AC64" s="2315"/>
      <c r="AD64" s="2315"/>
      <c r="AE64" s="2315"/>
      <c r="AF64" s="2315"/>
      <c r="AG64" s="2315"/>
      <c r="AH64" s="2315"/>
      <c r="AI64" s="2315"/>
      <c r="AJ64" s="2315"/>
      <c r="AK64" s="2315"/>
      <c r="AL64" s="2315"/>
      <c r="AM64" s="2315"/>
      <c r="AS64" s="1166">
        <v>14</v>
      </c>
    </row>
    <row customHeight="1" ht="14.699999999999998">
      <c r="T65" s="2315"/>
      <c r="U65" s="2315"/>
      <c r="V65" s="2315"/>
      <c r="W65" s="2315"/>
      <c r="X65" s="2315"/>
      <c r="Y65" s="2315"/>
      <c r="Z65" s="2315"/>
      <c r="AA65" s="2315"/>
      <c r="AB65" s="2315"/>
      <c r="AC65" s="2315"/>
      <c r="AD65" s="2315"/>
      <c r="AE65" s="2315"/>
      <c r="AF65" s="2315"/>
      <c r="AG65" s="2315"/>
      <c r="AH65" s="2315"/>
      <c r="AI65" s="2315"/>
      <c r="AJ65" s="2315"/>
      <c r="AK65" s="2315"/>
      <c r="AL65" s="2315"/>
      <c r="AM65" s="2315"/>
      <c r="AS65" s="1166">
        <v>14</v>
      </c>
    </row>
    <row customHeight="1" ht="22.5" hidden="1">
      <c r="A66" s="1171" t="s">
        <v>83</v>
      </c>
      <c r="B66" s="1171">
        <v>0</v>
      </c>
      <c r="C66" s="1171">
        <v>0</v>
      </c>
      <c r="D66" s="1171">
        <v>0</v>
      </c>
      <c r="E66" s="1171">
        <v>0</v>
      </c>
      <c r="F66" s="1171">
        <v>0</v>
      </c>
      <c r="G66" s="1171">
        <v>0</v>
      </c>
      <c r="H66" s="1171">
        <v>0</v>
      </c>
      <c r="I66" s="1171">
        <v>0</v>
      </c>
      <c r="J66" s="1171">
        <v>0</v>
      </c>
      <c r="K66" s="1171">
        <v>0</v>
      </c>
      <c r="L66" s="1340">
        <v>0</v>
      </c>
      <c r="M66" s="1373">
        <v>0</v>
      </c>
      <c r="N66" s="1373">
        <v>0</v>
      </c>
      <c r="O66" s="1373">
        <v>0</v>
      </c>
      <c r="P66" s="1339">
        <v>0</v>
      </c>
      <c r="Q66" s="355">
        <v>3</v>
      </c>
      <c r="R66" s="355">
        <v>3</v>
      </c>
      <c r="S66" s="592">
        <v>12</v>
      </c>
      <c r="T66" s="1166">
        <v>31</v>
      </c>
      <c r="U66" s="1166">
        <v>0</v>
      </c>
      <c r="V66" s="1166">
        <v>0</v>
      </c>
      <c r="W66" s="1166">
        <v>0</v>
      </c>
      <c r="X66" s="1166">
        <v>0</v>
      </c>
      <c r="Y66" s="1166">
        <v>0</v>
      </c>
      <c r="Z66" s="1166">
        <v>0</v>
      </c>
      <c r="AA66" s="1166">
        <v>0</v>
      </c>
      <c r="AB66" s="1166">
        <v>0</v>
      </c>
      <c r="AC66" s="1166">
        <v>0</v>
      </c>
      <c r="AD66" s="1166">
        <v>24</v>
      </c>
      <c r="AE66" s="1166">
        <v>0</v>
      </c>
      <c r="AF66" s="1166">
        <v>24</v>
      </c>
      <c r="AG66" s="1166">
        <v>24</v>
      </c>
      <c r="AH66" s="1166">
        <v>11</v>
      </c>
      <c r="AI66" s="1166">
        <v>3</v>
      </c>
      <c r="AJ66" s="1166">
        <v>11</v>
      </c>
      <c r="AK66" s="1166">
        <v>0</v>
      </c>
      <c r="AL66" s="1166">
        <v>4</v>
      </c>
      <c r="AM66" s="1166">
        <v>115</v>
      </c>
      <c r="AN66" s="522">
        <v>10</v>
      </c>
      <c r="AO66" s="522">
        <v>10</v>
      </c>
      <c r="AP66" s="522">
        <v>10</v>
      </c>
      <c r="AQ66" s="522">
        <v>10</v>
      </c>
      <c r="AR66" s="522">
        <v>10</v>
      </c>
      <c r="AS66" s="116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DADA8-1CE8-5735-66F8-46D9CD10BF3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6" width="10.57421875" hidden="1"/>
    <col min="2" max="2" style="1646" width="11.00390625" hidden="1" customWidth="1"/>
    <col min="3" max="3" style="1646" width="10.57421875" hidden="1"/>
    <col min="4" max="4" style="1646" width="11.8515625" hidden="1" customWidth="1"/>
    <col min="5" max="5" style="1646" width="10.00390625" hidden="1" customWidth="1"/>
    <col min="6" max="6" style="1646" width="8.7109375" hidden="1" customWidth="1"/>
    <col min="7" max="7" style="1646" width="7.57421875" hidden="1" customWidth="1"/>
    <col min="8" max="8" style="1646" width="11.421875" hidden="1" customWidth="1"/>
    <col min="9" max="9" style="1646" width="12.00390625" hidden="1" customWidth="1"/>
    <col min="10" max="10" style="1646" width="9.8515625" hidden="1" customWidth="1"/>
    <col min="11" max="12" style="1646" width="11.421875" hidden="1" customWidth="1"/>
    <col min="13" max="13" style="2155" width="19.140625" hidden="1" customWidth="1"/>
    <col min="14" max="15" style="2427" width="12.28125" hidden="1" customWidth="1"/>
    <col min="16" max="16" style="2427" width="23.421875" hidden="1" customWidth="1"/>
    <col min="17" max="17" style="2427" width="3.7109375" hidden="1" customWidth="1"/>
    <col min="18" max="20" style="355" width="3.00390625" customWidth="1"/>
    <col min="21" max="21" style="2437" width="12.00390625" customWidth="1"/>
    <col min="22" max="22" style="1646" width="31.00390625" customWidth="1"/>
    <col min="23" max="23" style="1646" width="0.140625" customWidth="1"/>
    <col min="24" max="28" style="1646" width="21.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21.7109375" customWidth="1"/>
    <col min="34" max="37" style="1646" width="21.00390625" customWidth="1"/>
    <col min="38" max="38" style="1646" width="11.00390625" customWidth="1"/>
    <col min="39" max="39" style="1646" width="3.7109375" customWidth="1"/>
    <col min="40" max="40" style="1646" width="11.00390625" customWidth="1"/>
    <col min="41" max="41" style="1646" width="8.57421875" hidden="1" customWidth="1"/>
    <col min="42" max="42" style="1646" width="4.00390625" customWidth="1"/>
    <col min="43" max="43" style="1646" width="115.00390625" customWidth="1"/>
    <col min="44" max="48" style="1653" width="10.00390625" customWidth="1"/>
    <col min="49" max="49" style="1646" width="10.57421875" hidden="1"/>
  </cols>
  <sheetData>
    <row customHeight="1" ht="22.5" hidden="1">
      <c r="AB1" s="338"/>
      <c r="AC1" s="338"/>
      <c r="AK1" s="338"/>
      <c r="AL1" s="338"/>
      <c r="AW1" s="1166" t="s">
        <v>14</v>
      </c>
    </row>
    <row customHeight="1" ht="21" hidden="1">
      <c r="A2" s="1278"/>
      <c r="B2" s="1278"/>
      <c r="C2" s="1278"/>
      <c r="D2" s="1278"/>
      <c r="E2" s="2319">
        <v>1</v>
      </c>
      <c r="F2" s="1278"/>
      <c r="G2" s="1278"/>
      <c r="H2" s="1278"/>
      <c r="I2" s="1278"/>
      <c r="J2" s="1278"/>
      <c r="K2" s="1278"/>
      <c r="L2" s="1278"/>
      <c r="M2" s="1321"/>
      <c r="N2" s="699"/>
      <c r="O2" s="699"/>
      <c r="P2" s="699"/>
      <c r="Q2" s="372"/>
      <c r="R2" s="371"/>
      <c r="S2" s="371"/>
      <c r="T2" s="366"/>
      <c r="U2" s="1347">
        <f>INDEX(PT_DIFFERENTIATION_NUM_NTAR,MATCH(A2,PT_DIFFERENTIATION_NTAR_ID,0))</f>
      </c>
      <c r="V2" s="309" t="s">
        <v>139</v>
      </c>
      <c r="W2" s="311"/>
      <c r="X2" s="2272"/>
      <c r="Y2" s="2273"/>
      <c r="Z2" s="2273"/>
      <c r="AA2" s="2273"/>
      <c r="AB2" s="2273"/>
      <c r="AC2" s="2273"/>
      <c r="AD2" s="2273"/>
      <c r="AE2" s="2273"/>
      <c r="AF2" s="2274"/>
      <c r="AG2" s="2272">
        <f>INDEX(PT_DIFFERENTIATION_NTAR,MATCH(A2,PT_DIFFERENTIATION_NTAR_ID,0))</f>
      </c>
      <c r="AH2" s="2273"/>
      <c r="AI2" s="2273"/>
      <c r="AJ2" s="2273"/>
      <c r="AK2" s="2273"/>
      <c r="AL2" s="2273"/>
      <c r="AM2" s="2273"/>
      <c r="AN2" s="2273"/>
      <c r="AO2" s="2273"/>
      <c r="AP2" s="2274"/>
      <c r="AQ2" s="1269" t="s">
        <v>410</v>
      </c>
      <c r="AS2" s="511"/>
      <c r="AT2" s="511" t="str">
        <f>IF(V2="","",V2)</f>
        <v>Наименование тарифа</v>
      </c>
      <c r="AU2" s="511"/>
      <c r="AV2" s="511"/>
      <c r="AW2" s="1166">
        <v>0</v>
      </c>
    </row>
    <row customHeight="1" ht="21" hidden="1">
      <c r="A3" s="1278"/>
      <c r="B3" s="1278"/>
      <c r="C3" s="1278"/>
      <c r="D3" s="1278"/>
      <c r="E3" s="2320"/>
      <c r="F3" s="2319">
        <v>1</v>
      </c>
      <c r="G3" s="1278"/>
      <c r="H3" s="1278"/>
      <c r="I3" s="1278"/>
      <c r="J3" s="1278"/>
      <c r="K3" s="1278"/>
      <c r="L3" s="1278"/>
      <c r="M3" s="1321"/>
      <c r="N3" s="699"/>
      <c r="O3" s="699"/>
      <c r="P3" s="699"/>
      <c r="Q3" s="1343"/>
      <c r="R3" s="363"/>
      <c r="S3" s="520"/>
      <c r="T3" s="364"/>
      <c r="U3" s="1347">
        <f>INDEX(PT_DIFFERENTIATION_NUM_TER,MATCH(B3,PT_DIFFERENTIATION_TER_ID,0))</f>
      </c>
      <c r="V3" s="319" t="s">
        <v>411</v>
      </c>
      <c r="W3" s="311"/>
      <c r="X3" s="2272"/>
      <c r="Y3" s="2273"/>
      <c r="Z3" s="2273"/>
      <c r="AA3" s="2273"/>
      <c r="AB3" s="2273"/>
      <c r="AC3" s="2273"/>
      <c r="AD3" s="2273"/>
      <c r="AE3" s="2273"/>
      <c r="AF3" s="2274"/>
      <c r="AG3" s="2272">
        <f>INDEX(PT_DIFFERENTIATION_TER,MATCH(B3,PT_DIFFERENTIATION_TER_ID,0))</f>
      </c>
      <c r="AH3" s="2273"/>
      <c r="AI3" s="2273"/>
      <c r="AJ3" s="2273"/>
      <c r="AK3" s="2273"/>
      <c r="AL3" s="2273"/>
      <c r="AM3" s="2273"/>
      <c r="AN3" s="2273"/>
      <c r="AO3" s="2273"/>
      <c r="AP3" s="2274"/>
      <c r="AQ3" s="1269" t="s">
        <v>412</v>
      </c>
      <c r="AS3" s="511"/>
      <c r="AT3" s="511" t="str">
        <f>IF(V3="","",V3)</f>
        <v>Территория действия тарифа</v>
      </c>
      <c r="AU3" s="511"/>
      <c r="AV3" s="511"/>
      <c r="AW3" s="1166">
        <v>0</v>
      </c>
    </row>
    <row customHeight="1" ht="22.5" hidden="1">
      <c r="A4" s="1278"/>
      <c r="B4" s="1278"/>
      <c r="C4" s="1278"/>
      <c r="D4" s="1278"/>
      <c r="E4" s="2320"/>
      <c r="F4" s="2320"/>
      <c r="G4" s="2319">
        <v>1</v>
      </c>
      <c r="H4" s="1278"/>
      <c r="I4" s="1278"/>
      <c r="J4" s="1278"/>
      <c r="K4" s="1278"/>
      <c r="L4" s="1278"/>
      <c r="M4" s="1321"/>
      <c r="N4" s="699"/>
      <c r="O4" s="699"/>
      <c r="P4" s="699"/>
      <c r="Q4" s="365"/>
      <c r="R4" s="363"/>
      <c r="S4" s="520"/>
      <c r="T4" s="364"/>
      <c r="U4" s="1347">
        <f>INDEX(PT_DIFFERENTIATION_NUM_CS,MATCH(C4,PT_DIFFERENTIATION_CS_ID,0))</f>
      </c>
      <c r="V4" s="320" t="s">
        <v>413</v>
      </c>
      <c r="W4" s="311"/>
      <c r="X4" s="2272"/>
      <c r="Y4" s="2273"/>
      <c r="Z4" s="2273"/>
      <c r="AA4" s="2273"/>
      <c r="AB4" s="2273"/>
      <c r="AC4" s="2273"/>
      <c r="AD4" s="2273"/>
      <c r="AE4" s="2273"/>
      <c r="AF4" s="2274"/>
      <c r="AG4" s="2272">
        <f>INDEX(PT_DIFFERENTIATION_CS,MATCH(C4,PT_DIFFERENTIATION_CS_ID,0))</f>
      </c>
      <c r="AH4" s="2273"/>
      <c r="AI4" s="2273"/>
      <c r="AJ4" s="2273"/>
      <c r="AK4" s="2273"/>
      <c r="AL4" s="2273"/>
      <c r="AM4" s="2273"/>
      <c r="AN4" s="2273"/>
      <c r="AO4" s="2273"/>
      <c r="AP4" s="2274"/>
      <c r="AQ4" s="1269" t="s">
        <v>414</v>
      </c>
      <c r="AS4" s="511"/>
      <c r="AT4" s="511" t="str">
        <f>IF(V4="","",V4)</f>
        <v>Наименование системы теплоснабжения </v>
      </c>
      <c r="AU4" s="511"/>
      <c r="AV4" s="511"/>
      <c r="AW4" s="1166">
        <v>0</v>
      </c>
    </row>
    <row customHeight="1" ht="21" hidden="1">
      <c r="A5" s="1278"/>
      <c r="B5" s="1278"/>
      <c r="C5" s="1278"/>
      <c r="D5" s="1278"/>
      <c r="E5" s="2320"/>
      <c r="F5" s="2320"/>
      <c r="G5" s="2320"/>
      <c r="H5" s="2319">
        <v>1</v>
      </c>
      <c r="I5" s="1278"/>
      <c r="J5" s="1278"/>
      <c r="K5" s="1278"/>
      <c r="L5" s="1278"/>
      <c r="M5" s="1321"/>
      <c r="N5" s="699"/>
      <c r="O5" s="699"/>
      <c r="P5" s="699"/>
      <c r="Q5" s="365"/>
      <c r="R5" s="363"/>
      <c r="S5" s="520"/>
      <c r="T5" s="364"/>
      <c r="U5" s="1347">
        <f>INDEX(PT_DIFFERENTIATION_NUM_IST_TE,MATCH(D5,PT_DIFFERENTIATION_IST_TE_ID,0))</f>
      </c>
      <c r="V5" s="321" t="s">
        <v>415</v>
      </c>
      <c r="W5" s="311"/>
      <c r="X5" s="2272"/>
      <c r="Y5" s="2273"/>
      <c r="Z5" s="2273"/>
      <c r="AA5" s="2273"/>
      <c r="AB5" s="2273"/>
      <c r="AC5" s="2273"/>
      <c r="AD5" s="2273"/>
      <c r="AE5" s="2273"/>
      <c r="AF5" s="2274"/>
      <c r="AG5" s="2272">
        <f>INDEX(PT_DIFFERENTIATION_IST_TE,MATCH(D5,PT_DIFFERENTIATION_IST_TE_ID,0))</f>
      </c>
      <c r="AH5" s="2273"/>
      <c r="AI5" s="2273"/>
      <c r="AJ5" s="2273"/>
      <c r="AK5" s="2273"/>
      <c r="AL5" s="2273"/>
      <c r="AM5" s="2273"/>
      <c r="AN5" s="2273"/>
      <c r="AO5" s="2273"/>
      <c r="AP5" s="2274"/>
      <c r="AQ5" s="1269" t="s">
        <v>416</v>
      </c>
      <c r="AS5" s="511"/>
      <c r="AT5" s="511" t="str">
        <f>IF(V5="","",V5)</f>
        <v>Источник тепловой энергии  </v>
      </c>
      <c r="AU5" s="511"/>
      <c r="AV5" s="511"/>
      <c r="AW5" s="1166">
        <v>0</v>
      </c>
    </row>
    <row customHeight="1" ht="14.25" hidden="1">
      <c r="A6" s="1278"/>
      <c r="B6" s="1278"/>
      <c r="C6" s="1278"/>
      <c r="D6" s="1278"/>
      <c r="E6" s="2320"/>
      <c r="F6" s="2320"/>
      <c r="G6" s="2320"/>
      <c r="H6" s="2320"/>
      <c r="I6" s="2157">
        <f>U5&amp;".1"</f>
      </c>
      <c r="J6" s="1278"/>
      <c r="K6" s="1278"/>
      <c r="L6" s="1278"/>
      <c r="M6" s="1321" t="s">
        <v>417</v>
      </c>
      <c r="N6" s="520"/>
      <c r="Q6" s="2287">
        <v>1</v>
      </c>
      <c r="R6" s="1342"/>
      <c r="S6" s="1342"/>
      <c r="T6" s="367"/>
      <c r="U6" s="1053"/>
      <c r="V6" s="1394"/>
      <c r="W6" s="1395"/>
      <c r="X6" s="2326"/>
      <c r="Y6" s="2327"/>
      <c r="Z6" s="2327"/>
      <c r="AA6" s="2327"/>
      <c r="AB6" s="2327"/>
      <c r="AC6" s="2327"/>
      <c r="AD6" s="2327"/>
      <c r="AE6" s="2327"/>
      <c r="AF6" s="2328"/>
      <c r="AG6" s="2326"/>
      <c r="AH6" s="2327"/>
      <c r="AI6" s="2327"/>
      <c r="AJ6" s="2327"/>
      <c r="AK6" s="2327"/>
      <c r="AL6" s="2327"/>
      <c r="AM6" s="2327"/>
      <c r="AN6" s="2327"/>
      <c r="AO6" s="2327"/>
      <c r="AP6" s="2328"/>
      <c r="AQ6" s="1396"/>
      <c r="AS6" s="511"/>
      <c r="AT6" s="511" t="str">
        <f>IF(V6="","",V6)</f>
        <v/>
      </c>
      <c r="AU6" s="511"/>
      <c r="AV6" s="511"/>
      <c r="AW6" s="1166">
        <v>0</v>
      </c>
    </row>
    <row customHeight="1" ht="21" hidden="1">
      <c r="A7" s="1278"/>
      <c r="B7" s="1278"/>
      <c r="C7" s="1278"/>
      <c r="D7" s="1278"/>
      <c r="E7" s="2320"/>
      <c r="F7" s="2320"/>
      <c r="G7" s="2320"/>
      <c r="H7" s="2320"/>
      <c r="I7" s="2131"/>
      <c r="J7" s="2157">
        <f>I6&amp;".1"</f>
      </c>
      <c r="K7" s="1278"/>
      <c r="L7" s="1278"/>
      <c r="M7" s="1321" t="s">
        <v>420</v>
      </c>
      <c r="N7" s="520"/>
      <c r="O7" s="338"/>
      <c r="Q7" s="2287"/>
      <c r="R7" s="2287">
        <v>1</v>
      </c>
      <c r="S7" s="529"/>
      <c r="T7" s="368"/>
      <c r="U7" s="1347">
        <f>$J7</f>
      </c>
      <c r="V7" s="297" t="s">
        <v>421</v>
      </c>
      <c r="W7" s="311"/>
      <c r="X7" s="2275"/>
      <c r="Y7" s="2276"/>
      <c r="Z7" s="2276"/>
      <c r="AA7" s="2276"/>
      <c r="AB7" s="2276"/>
      <c r="AC7" s="2265"/>
      <c r="AD7" s="2265"/>
      <c r="AE7" s="2265"/>
      <c r="AF7" s="2338"/>
      <c r="AG7" s="2275"/>
      <c r="AH7" s="2276"/>
      <c r="AI7" s="2276"/>
      <c r="AJ7" s="2276"/>
      <c r="AK7" s="2276"/>
      <c r="AL7" s="2276"/>
      <c r="AM7" s="2276"/>
      <c r="AN7" s="2276"/>
      <c r="AO7" s="2276"/>
      <c r="AP7" s="2277"/>
      <c r="AQ7" s="1269" t="s">
        <v>422</v>
      </c>
      <c r="AS7" s="511"/>
      <c r="AT7" s="511" t="str">
        <f>IF(V7="","",V7)</f>
        <v>Группа потребителей</v>
      </c>
      <c r="AU7" s="511"/>
      <c r="AV7" s="511"/>
      <c r="AW7" s="1166">
        <v>0</v>
      </c>
    </row>
    <row customHeight="1" ht="21" hidden="1">
      <c r="A8" s="1278"/>
      <c r="B8" s="1278"/>
      <c r="C8" s="1278"/>
      <c r="D8" s="1278"/>
      <c r="E8" s="2320"/>
      <c r="F8" s="2320"/>
      <c r="G8" s="2320"/>
      <c r="H8" s="2320"/>
      <c r="I8" s="2131"/>
      <c r="J8" s="2131"/>
      <c r="K8" s="2157">
        <f>J7&amp;".1"</f>
      </c>
      <c r="L8" s="150"/>
      <c r="M8" s="1321" t="s">
        <v>423</v>
      </c>
      <c r="N8" s="520"/>
      <c r="O8" s="338"/>
      <c r="P8" s="338"/>
      <c r="Q8" s="2287"/>
      <c r="R8" s="2287"/>
      <c r="S8" s="2287">
        <v>1</v>
      </c>
      <c r="T8" s="368"/>
      <c r="U8" s="1347">
        <f>$K8</f>
      </c>
      <c r="V8" s="1358"/>
      <c r="W8" s="311"/>
      <c r="X8" s="762"/>
      <c r="Y8" s="762"/>
      <c r="Z8" s="762"/>
      <c r="AA8" s="762"/>
      <c r="AB8" s="1416"/>
      <c r="AC8" s="2295"/>
      <c r="AD8" s="2137" t="s">
        <v>63</v>
      </c>
      <c r="AE8" s="2295"/>
      <c r="AF8" s="2137" t="s">
        <v>63</v>
      </c>
      <c r="AG8" s="1418"/>
      <c r="AH8" s="762"/>
      <c r="AI8" s="762"/>
      <c r="AJ8" s="762"/>
      <c r="AK8" s="1268"/>
      <c r="AL8" s="2295"/>
      <c r="AM8" s="2137" t="s">
        <v>63</v>
      </c>
      <c r="AN8" s="2295"/>
      <c r="AO8" s="2137" t="s">
        <v>63</v>
      </c>
      <c r="AP8" s="336"/>
      <c r="AQ8" s="1318" t="s">
        <v>462</v>
      </c>
      <c r="AR8" s="522">
        <f>STRCHECKDATE(X10:AP10)</f>
      </c>
      <c r="AS8" s="511"/>
      <c r="AT8" s="511" t="str">
        <f>IF(V8="","",V8)</f>
        <v/>
      </c>
      <c r="AU8" s="511"/>
      <c r="AV8" s="511"/>
      <c r="AW8" s="1166">
        <v>0</v>
      </c>
    </row>
    <row customHeight="1" ht="21" hidden="1">
      <c r="A9" s="1278"/>
      <c r="B9" s="1278"/>
      <c r="C9" s="1278"/>
      <c r="D9" s="1278"/>
      <c r="E9" s="2320"/>
      <c r="F9" s="2320"/>
      <c r="G9" s="2320"/>
      <c r="H9" s="2320"/>
      <c r="I9" s="2131"/>
      <c r="J9" s="2131"/>
      <c r="K9" s="2131"/>
      <c r="L9" s="2157">
        <f>K8&amp;".1"</f>
      </c>
      <c r="M9" s="1321"/>
      <c r="N9" s="520"/>
      <c r="O9" s="338"/>
      <c r="P9" s="338"/>
      <c r="Q9" s="2287"/>
      <c r="R9" s="2287"/>
      <c r="S9" s="2287"/>
      <c r="T9" s="368"/>
      <c r="U9" s="1347">
        <f>$L9</f>
      </c>
      <c r="V9" s="1402"/>
      <c r="W9" s="311"/>
      <c r="X9" s="336"/>
      <c r="Y9" s="762"/>
      <c r="Z9" s="762"/>
      <c r="AA9" s="762"/>
      <c r="AB9" s="1416"/>
      <c r="AC9" s="2339"/>
      <c r="AD9" s="2137"/>
      <c r="AE9" s="2339"/>
      <c r="AF9" s="2137"/>
      <c r="AG9" s="1418"/>
      <c r="AH9" s="762"/>
      <c r="AI9" s="762"/>
      <c r="AJ9" s="762"/>
      <c r="AK9" s="1268"/>
      <c r="AL9" s="2339"/>
      <c r="AM9" s="2137"/>
      <c r="AN9" s="2339"/>
      <c r="AO9" s="2137"/>
      <c r="AP9" s="336"/>
      <c r="AQ9" s="2283" t="s">
        <v>463</v>
      </c>
      <c r="AS9" s="511"/>
      <c r="AT9" s="511"/>
      <c r="AU9" s="511"/>
      <c r="AV9" s="511"/>
      <c r="AW9" s="1166">
        <v>0</v>
      </c>
    </row>
    <row customHeight="1" ht="14.25" hidden="1">
      <c r="A10" s="1278"/>
      <c r="B10" s="1278"/>
      <c r="C10" s="1278"/>
      <c r="D10" s="1278"/>
      <c r="E10" s="2320"/>
      <c r="F10" s="2320"/>
      <c r="G10" s="2320"/>
      <c r="H10" s="2320"/>
      <c r="I10" s="2131"/>
      <c r="J10" s="2131"/>
      <c r="K10" s="2131"/>
      <c r="L10" s="2157"/>
      <c r="M10" s="1321"/>
      <c r="N10" s="520"/>
      <c r="O10" s="338"/>
      <c r="P10" s="338"/>
      <c r="Q10" s="2287"/>
      <c r="R10" s="2287"/>
      <c r="S10" s="2287"/>
      <c r="T10" s="368"/>
      <c r="U10" s="1353"/>
      <c r="V10" s="311"/>
      <c r="W10" s="311"/>
      <c r="X10" s="336"/>
      <c r="Y10" s="336"/>
      <c r="Z10" s="336"/>
      <c r="AA10" s="336"/>
      <c r="AB10" s="1417" t="str">
        <f>AC8&amp;"-"&amp;AE8</f>
        <v>-</v>
      </c>
      <c r="AC10" s="2339"/>
      <c r="AD10" s="2137"/>
      <c r="AE10" s="2339"/>
      <c r="AF10" s="2137"/>
      <c r="AG10" s="1393"/>
      <c r="AH10" s="336"/>
      <c r="AI10" s="336"/>
      <c r="AJ10" s="336"/>
      <c r="AK10" s="339" t="str">
        <f>AL8&amp;"-"&amp;AN8</f>
        <v>-</v>
      </c>
      <c r="AL10" s="2339"/>
      <c r="AM10" s="2137"/>
      <c r="AN10" s="2339"/>
      <c r="AO10" s="2137"/>
      <c r="AP10" s="336"/>
      <c r="AQ10" s="2284"/>
      <c r="AS10" s="511"/>
      <c r="AT10" s="511" t="str">
        <f>IF(V10="","",V10)</f>
        <v/>
      </c>
      <c r="AU10" s="511"/>
      <c r="AV10" s="511"/>
      <c r="AW10" s="1166">
        <v>0</v>
      </c>
    </row>
    <row customHeight="1" ht="11.25" hidden="1">
      <c r="A11" s="1278"/>
      <c r="B11" s="1278"/>
      <c r="C11" s="1278"/>
      <c r="D11" s="1278"/>
      <c r="E11" s="2320"/>
      <c r="F11" s="2320"/>
      <c r="G11" s="2320"/>
      <c r="H11" s="2320"/>
      <c r="I11" s="2131"/>
      <c r="J11" s="2131"/>
      <c r="K11" s="2157"/>
      <c r="L11" s="1278"/>
      <c r="M11" s="1321"/>
      <c r="N11" s="520"/>
      <c r="O11" s="338"/>
      <c r="P11" s="338"/>
      <c r="Q11" s="2287"/>
      <c r="R11" s="2287"/>
      <c r="S11" s="2287"/>
      <c r="T11" s="368"/>
      <c r="U11" s="1289"/>
      <c r="V11" s="299" t="s">
        <v>464</v>
      </c>
      <c r="W11" s="1403"/>
      <c r="X11" s="1404"/>
      <c r="Y11" s="1404"/>
      <c r="Z11" s="1404"/>
      <c r="AA11" s="1404"/>
      <c r="AB11" s="1405"/>
      <c r="AC11" s="2339"/>
      <c r="AD11" s="2137"/>
      <c r="AE11" s="2339"/>
      <c r="AF11" s="2137"/>
      <c r="AG11" s="1404"/>
      <c r="AH11" s="1404"/>
      <c r="AI11" s="1404"/>
      <c r="AJ11" s="1404"/>
      <c r="AK11" s="1405"/>
      <c r="AL11" s="2339"/>
      <c r="AM11" s="2137"/>
      <c r="AN11" s="2339"/>
      <c r="AO11" s="2137"/>
      <c r="AP11" s="1406"/>
      <c r="AQ11" s="2284"/>
      <c r="AS11" s="511"/>
      <c r="AT11" s="511"/>
      <c r="AU11" s="511"/>
      <c r="AV11" s="511"/>
      <c r="AW11" s="1166">
        <v>0</v>
      </c>
    </row>
    <row customHeight="1" ht="15" hidden="1">
      <c r="A12" s="1278"/>
      <c r="B12" s="1278"/>
      <c r="C12" s="1278"/>
      <c r="D12" s="1278"/>
      <c r="E12" s="2320"/>
      <c r="F12" s="2320"/>
      <c r="G12" s="2320"/>
      <c r="H12" s="2320"/>
      <c r="I12" s="2131"/>
      <c r="J12" s="2157"/>
      <c r="K12" s="1278"/>
      <c r="L12" s="1278"/>
      <c r="M12" s="1321"/>
      <c r="N12" s="520"/>
      <c r="O12" s="338"/>
      <c r="Q12" s="2287"/>
      <c r="R12" s="2287"/>
      <c r="S12" s="1342"/>
      <c r="T12" s="367"/>
      <c r="U12" s="1289"/>
      <c r="V12" s="298" t="s">
        <v>425</v>
      </c>
      <c r="W12" s="378"/>
      <c r="X12" s="378"/>
      <c r="Y12" s="378"/>
      <c r="Z12" s="378"/>
      <c r="AA12" s="378"/>
      <c r="AB12" s="378"/>
      <c r="AC12" s="1419"/>
      <c r="AD12" s="1419"/>
      <c r="AE12" s="1419"/>
      <c r="AF12" s="1419"/>
      <c r="AG12" s="378"/>
      <c r="AH12" s="378"/>
      <c r="AI12" s="378"/>
      <c r="AJ12" s="378"/>
      <c r="AK12" s="378"/>
      <c r="AL12" s="378"/>
      <c r="AM12" s="378"/>
      <c r="AN12" s="378"/>
      <c r="AO12" s="378"/>
      <c r="AP12" s="335"/>
      <c r="AQ12" s="2285"/>
      <c r="AS12" s="511"/>
      <c r="AT12" s="511" t="str">
        <f>IF(V12="","",V12)</f>
        <v>Добавить вид теплоносителя (параметры теплоносителя)</v>
      </c>
      <c r="AU12" s="511"/>
      <c r="AV12" s="511"/>
      <c r="AW12" s="1166">
        <v>0</v>
      </c>
    </row>
    <row customHeight="1" ht="11.25" hidden="1">
      <c r="A13" s="1278"/>
      <c r="B13" s="1278"/>
      <c r="C13" s="1278"/>
      <c r="D13" s="1278"/>
      <c r="E13" s="2320"/>
      <c r="F13" s="2320"/>
      <c r="G13" s="2320"/>
      <c r="H13" s="2320"/>
      <c r="I13" s="2157"/>
      <c r="J13" s="1278"/>
      <c r="K13" s="1278"/>
      <c r="L13" s="1278"/>
      <c r="M13" s="1321"/>
      <c r="N13" s="520"/>
      <c r="Q13" s="2287"/>
      <c r="R13" s="1342"/>
      <c r="S13" s="1342"/>
      <c r="T13" s="367"/>
      <c r="U13" s="1289"/>
      <c r="V13" s="376" t="s">
        <v>426</v>
      </c>
      <c r="W13" s="378"/>
      <c r="X13" s="378"/>
      <c r="Y13" s="378"/>
      <c r="Z13" s="378"/>
      <c r="AA13" s="378"/>
      <c r="AB13" s="378"/>
      <c r="AC13" s="378"/>
      <c r="AD13" s="378"/>
      <c r="AE13" s="378"/>
      <c r="AF13" s="377"/>
      <c r="AG13" s="378"/>
      <c r="AH13" s="378"/>
      <c r="AI13" s="378"/>
      <c r="AJ13" s="378"/>
      <c r="AK13" s="378"/>
      <c r="AL13" s="378"/>
      <c r="AM13" s="378"/>
      <c r="AN13" s="378"/>
      <c r="AO13" s="377"/>
      <c r="AP13" s="378"/>
      <c r="AQ13" s="314"/>
      <c r="AS13" s="511"/>
      <c r="AT13" s="511" t="str">
        <f>IF(V13="","",V13)</f>
        <v>Добавить группу потребителей</v>
      </c>
      <c r="AU13" s="511"/>
      <c r="AV13" s="511"/>
      <c r="AW13" s="1166">
        <v>0</v>
      </c>
    </row>
    <row customHeight="1" ht="14.25" hidden="1">
      <c r="A14" s="1278"/>
      <c r="B14" s="1278"/>
      <c r="C14" s="1278"/>
      <c r="D14" s="1278"/>
      <c r="E14" s="2320"/>
      <c r="F14" s="2320"/>
      <c r="G14" s="2320"/>
      <c r="H14" s="2319"/>
      <c r="I14" s="1278"/>
      <c r="J14" s="1278"/>
      <c r="K14" s="1278"/>
      <c r="L14" s="1278"/>
      <c r="M14" s="1321"/>
      <c r="N14" s="699"/>
      <c r="O14" s="699"/>
      <c r="P14" s="520"/>
      <c r="Q14" s="371"/>
      <c r="R14" s="386"/>
      <c r="S14" s="366"/>
      <c r="T14" s="371"/>
      <c r="U14" s="1397"/>
      <c r="V14" s="1398"/>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400"/>
      <c r="AS14" s="511"/>
      <c r="AT14" s="511" t="str">
        <f>IF(V14="","",V14)</f>
        <v/>
      </c>
      <c r="AU14" s="511"/>
      <c r="AV14" s="511"/>
      <c r="AW14" s="1166">
        <v>0</v>
      </c>
    </row>
    <row s="1653" customFormat="1" customHeight="1" ht="14.25" hidden="1">
      <c r="A15" s="1385"/>
      <c r="B15" s="1385"/>
      <c r="C15" s="1385"/>
      <c r="D15" s="1385"/>
      <c r="E15" s="2320"/>
      <c r="F15" s="2320"/>
      <c r="G15" s="2319"/>
      <c r="H15" s="1385"/>
      <c r="I15" s="1385"/>
      <c r="J15" s="1385"/>
      <c r="K15" s="1385"/>
      <c r="L15" s="1385"/>
      <c r="M15" s="1388"/>
      <c r="N15" s="1389"/>
      <c r="O15" s="1389"/>
      <c r="P15" s="362"/>
      <c r="Q15" s="1327"/>
      <c r="R15" s="1328"/>
      <c r="S15" s="1327"/>
      <c r="T15" s="1327"/>
      <c r="U15" s="1329"/>
      <c r="V15" s="1330" t="s">
        <v>428</v>
      </c>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S15" s="800"/>
      <c r="AT15" s="800" t="str">
        <f>IF(V15="","",V15)</f>
        <v>Добавить источник для дифференциации</v>
      </c>
      <c r="AU15" s="800"/>
      <c r="AV15" s="800"/>
      <c r="AW15" s="529">
        <v>0</v>
      </c>
    </row>
    <row s="1653" customFormat="1" customHeight="1" ht="14.25" hidden="1">
      <c r="A16" s="1385"/>
      <c r="B16" s="1385"/>
      <c r="C16" s="1385"/>
      <c r="D16" s="1385"/>
      <c r="E16" s="2320"/>
      <c r="F16" s="2319"/>
      <c r="G16" s="1385"/>
      <c r="H16" s="1385"/>
      <c r="I16" s="1385"/>
      <c r="J16" s="1385"/>
      <c r="K16" s="1385"/>
      <c r="L16" s="1385"/>
      <c r="M16" s="1388"/>
      <c r="N16" s="1390"/>
      <c r="O16" s="1390"/>
      <c r="P16" s="362"/>
      <c r="Q16" s="1327"/>
      <c r="R16" s="1328"/>
      <c r="S16" s="1327"/>
      <c r="T16" s="1327"/>
      <c r="U16" s="1333"/>
      <c r="V16" s="1334" t="s">
        <v>429</v>
      </c>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S16" s="800"/>
      <c r="AT16" s="800" t="str">
        <f>IF(V16="","",V16)</f>
        <v>Добавить централизованную систему для дифференциации</v>
      </c>
      <c r="AU16" s="800"/>
      <c r="AV16" s="800"/>
      <c r="AW16" s="529">
        <v>0</v>
      </c>
    </row>
    <row s="1653" customFormat="1" customHeight="1" ht="14.25" hidden="1">
      <c r="A17" s="1385"/>
      <c r="B17" s="1385"/>
      <c r="C17" s="1385"/>
      <c r="D17" s="1385"/>
      <c r="E17" s="2319"/>
      <c r="F17" s="1385"/>
      <c r="G17" s="1385"/>
      <c r="H17" s="1385"/>
      <c r="I17" s="1385"/>
      <c r="J17" s="1385"/>
      <c r="K17" s="1385"/>
      <c r="L17" s="1385"/>
      <c r="M17" s="1388"/>
      <c r="N17" s="1390"/>
      <c r="O17" s="1390"/>
      <c r="P17" s="362"/>
      <c r="Q17" s="1327"/>
      <c r="R17" s="1328"/>
      <c r="S17" s="1327"/>
      <c r="T17" s="1327"/>
      <c r="U17" s="1333"/>
      <c r="V17" s="1336" t="s">
        <v>430</v>
      </c>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S17" s="800"/>
      <c r="AT17" s="800" t="str">
        <f>IF(V17="","",V17)</f>
        <v>Добавить территорию для дифференциации</v>
      </c>
      <c r="AU17" s="800"/>
      <c r="AV17" s="800"/>
      <c r="AW17" s="529">
        <v>0</v>
      </c>
    </row>
    <row customHeight="1" ht="14.25" hidden="1">
      <c r="AF18" s="338"/>
      <c r="AO18" s="338"/>
      <c r="AW18" s="1166">
        <v>0</v>
      </c>
    </row>
    <row customHeight="1" ht="14.25" hidden="1">
      <c r="AG19" s="1371"/>
      <c r="AH19" s="1371"/>
      <c r="AI19" s="1371"/>
      <c r="AJ19" s="1371"/>
      <c r="AK19" s="1372"/>
      <c r="AL19" s="2297"/>
      <c r="AM19" s="2298" t="s">
        <v>63</v>
      </c>
      <c r="AN19" s="2297"/>
      <c r="AO19" s="2298" t="s">
        <v>63</v>
      </c>
      <c r="AW19" s="1166">
        <v>0</v>
      </c>
    </row>
    <row customHeight="1" ht="14.25" hidden="1">
      <c r="AG20" s="1371"/>
      <c r="AH20" s="1371"/>
      <c r="AI20" s="1371"/>
      <c r="AJ20" s="1371"/>
      <c r="AK20" s="1372"/>
      <c r="AL20" s="2297"/>
      <c r="AM20" s="2298"/>
      <c r="AN20" s="2297"/>
      <c r="AO20" s="2298"/>
      <c r="AW20" s="1166">
        <v>0</v>
      </c>
    </row>
    <row customHeight="1" ht="14.25" hidden="1">
      <c r="AG21" s="1371"/>
      <c r="AH21" s="1371"/>
      <c r="AI21" s="1371"/>
      <c r="AJ21" s="1371"/>
      <c r="AK21" s="1372"/>
      <c r="AL21" s="2297"/>
      <c r="AM21" s="2298"/>
      <c r="AN21" s="2297"/>
      <c r="AO21" s="2298"/>
      <c r="AW21" s="1166">
        <v>0</v>
      </c>
    </row>
    <row customHeight="1" ht="14.25" hidden="1">
      <c r="AG22" s="1371"/>
      <c r="AH22" s="1371"/>
      <c r="AI22" s="1371"/>
      <c r="AJ22" s="1371"/>
      <c r="AK22" s="339" t="str">
        <f>AL19&amp;"-"&amp;AN19</f>
        <v>-</v>
      </c>
      <c r="AL22" s="2298"/>
      <c r="AM22" s="2298"/>
      <c r="AN22" s="2298"/>
      <c r="AO22" s="2298"/>
      <c r="AW22" s="1166">
        <v>0</v>
      </c>
    </row>
    <row customHeight="1" ht="14.25" hidden="1">
      <c r="AO23" s="338"/>
      <c r="AW23" s="1166">
        <v>0</v>
      </c>
    </row>
    <row s="1377" customFormat="1" customHeight="1" ht="22.5" hidden="1">
      <c r="A24" s="1166"/>
      <c r="B24" s="1166"/>
      <c r="C24" s="1166"/>
      <c r="D24" s="1166"/>
      <c r="E24" s="1166"/>
      <c r="F24" s="1166"/>
      <c r="G24" s="1166"/>
      <c r="H24" s="1166"/>
      <c r="I24" s="1166"/>
      <c r="J24" s="1166"/>
      <c r="K24" s="1166"/>
      <c r="L24" s="1166"/>
      <c r="M24" s="1338"/>
      <c r="N24" s="1339"/>
      <c r="O24" s="1339"/>
      <c r="P24" s="1356" t="s">
        <v>431</v>
      </c>
      <c r="Q24" s="1373"/>
      <c r="R24" s="1382"/>
      <c r="S24" s="1382"/>
      <c r="T24" s="1382"/>
      <c r="U24" s="740"/>
      <c r="AC24" s="1378"/>
      <c r="AE24" s="1378"/>
      <c r="AF24" s="1377"/>
      <c r="AL24" s="1378"/>
      <c r="AN24" s="1378"/>
      <c r="AO24" s="1377"/>
      <c r="AR24" s="522"/>
      <c r="AS24" s="522"/>
      <c r="AT24" s="522"/>
      <c r="AU24" s="522"/>
      <c r="AV24" s="522"/>
      <c r="AW24" s="1171">
        <v>0</v>
      </c>
    </row>
    <row s="1377" customFormat="1" customHeight="1" ht="14.25" hidden="1">
      <c r="A25" s="1166"/>
      <c r="B25" s="1166"/>
      <c r="C25" s="1166"/>
      <c r="D25" s="1166"/>
      <c r="E25" s="1166"/>
      <c r="F25" s="1166"/>
      <c r="G25" s="1166"/>
      <c r="H25" s="1166"/>
      <c r="I25" s="1166"/>
      <c r="J25" s="1166"/>
      <c r="K25" s="1166"/>
      <c r="L25" s="1166"/>
      <c r="M25" s="1338"/>
      <c r="N25" s="1339"/>
      <c r="O25" s="1339"/>
      <c r="P25" s="1339"/>
      <c r="Q25" s="1373"/>
      <c r="R25" s="1382"/>
      <c r="S25" s="1382"/>
      <c r="T25" s="1382"/>
      <c r="U25" s="740"/>
      <c r="AF25" s="1377"/>
      <c r="AO25" s="1377"/>
      <c r="AR25" s="522"/>
      <c r="AS25" s="522"/>
      <c r="AT25" s="522"/>
      <c r="AU25" s="522"/>
      <c r="AV25" s="522"/>
      <c r="AW25" s="1171">
        <v>0</v>
      </c>
    </row>
    <row s="1377" customFormat="1" customHeight="1" ht="14.25" hidden="1">
      <c r="A26" s="1166"/>
      <c r="B26" s="1166"/>
      <c r="C26" s="1166"/>
      <c r="D26" s="1166"/>
      <c r="E26" s="1166"/>
      <c r="F26" s="1166"/>
      <c r="G26" s="1166"/>
      <c r="H26" s="1166"/>
      <c r="I26" s="1166"/>
      <c r="J26" s="1166"/>
      <c r="K26" s="1166"/>
      <c r="L26" s="1166"/>
      <c r="M26" s="1338"/>
      <c r="N26" s="1339"/>
      <c r="O26" s="1339"/>
      <c r="P26" s="1321" t="s">
        <v>432</v>
      </c>
      <c r="Q26" s="1373"/>
      <c r="R26" s="1382"/>
      <c r="S26" s="1382"/>
      <c r="T26" s="1382"/>
      <c r="U26" s="740"/>
      <c r="V26" s="1171" t="s">
        <v>433</v>
      </c>
      <c r="AD26" s="197" t="s">
        <v>434</v>
      </c>
      <c r="AF26" s="197" t="s">
        <v>435</v>
      </c>
      <c r="AG26" s="1171" t="s">
        <v>433</v>
      </c>
      <c r="AM26" s="197" t="s">
        <v>436</v>
      </c>
      <c r="AO26" s="197" t="s">
        <v>435</v>
      </c>
      <c r="AR26" s="522"/>
      <c r="AS26" s="522"/>
      <c r="AT26" s="522"/>
      <c r="AU26" s="522"/>
      <c r="AV26" s="522"/>
      <c r="AW26" s="1171">
        <v>0</v>
      </c>
    </row>
    <row customHeight="1" ht="14.25" hidden="1">
      <c r="P27" s="1321"/>
      <c r="AW27" s="1166">
        <v>0</v>
      </c>
    </row>
    <row customHeight="1" ht="14.25" hidden="1">
      <c r="P28" s="1321"/>
      <c r="AW28" s="1166">
        <v>0</v>
      </c>
    </row>
    <row customHeight="1" ht="14.699999999999998">
      <c r="R29" s="387"/>
      <c r="S29" s="387"/>
      <c r="T29" s="387"/>
      <c r="U29" s="1286"/>
      <c r="V29" s="374"/>
      <c r="W29" s="374"/>
      <c r="X29" s="520"/>
      <c r="Y29" s="520"/>
      <c r="Z29" s="520"/>
      <c r="AA29" s="520"/>
      <c r="AB29" s="520"/>
      <c r="AC29" s="520"/>
      <c r="AD29" s="520"/>
      <c r="AE29" s="520"/>
      <c r="AF29" s="520"/>
      <c r="AG29" s="520"/>
      <c r="AH29" s="520"/>
      <c r="AI29" s="520"/>
      <c r="AJ29" s="520"/>
      <c r="AK29" s="520"/>
      <c r="AL29" s="520"/>
      <c r="AM29" s="520"/>
      <c r="AN29" s="520"/>
      <c r="AO29" s="520"/>
      <c r="AW29" s="1166">
        <v>14</v>
      </c>
    </row>
    <row customHeight="1" ht="56.699999999999996">
      <c r="R30" s="387"/>
      <c r="S30" s="387"/>
      <c r="T30" s="387"/>
      <c r="U30" s="227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8"/>
      <c r="W30" s="2278"/>
      <c r="X30" s="2278"/>
      <c r="Y30" s="2278"/>
      <c r="Z30" s="2278"/>
      <c r="AA30" s="2278"/>
      <c r="AB30" s="2278"/>
      <c r="AC30" s="2278"/>
      <c r="AD30" s="2278"/>
      <c r="AE30" s="2278"/>
      <c r="AF30" s="2278"/>
      <c r="AG30" s="2278"/>
      <c r="AH30" s="2278"/>
      <c r="AI30" s="2278"/>
      <c r="AJ30" s="2278"/>
      <c r="AK30" s="2278"/>
      <c r="AL30" s="2278"/>
      <c r="AM30" s="2278"/>
      <c r="AN30" s="2278"/>
      <c r="AO30" s="1254"/>
      <c r="AW30" s="1166">
        <v>54</v>
      </c>
    </row>
    <row customHeight="1" ht="14.699999999999998">
      <c r="R31" s="387"/>
      <c r="S31" s="387"/>
      <c r="T31" s="387"/>
      <c r="U31" s="2279" t="str">
        <f>IF(org=0,"Не определено",org)</f>
        <v>ПАО "КГК"</v>
      </c>
      <c r="V31" s="2279"/>
      <c r="W31" s="2279"/>
      <c r="X31" s="2279"/>
      <c r="Y31" s="2279"/>
      <c r="Z31" s="2279"/>
      <c r="AA31" s="2279"/>
      <c r="AB31" s="2279"/>
      <c r="AC31" s="2279"/>
      <c r="AD31" s="2279"/>
      <c r="AE31" s="2279"/>
      <c r="AF31" s="2279"/>
      <c r="AG31" s="2279"/>
      <c r="AH31" s="2279"/>
      <c r="AI31" s="2279"/>
      <c r="AJ31" s="2279"/>
      <c r="AK31" s="2279"/>
      <c r="AL31" s="2279"/>
      <c r="AM31" s="2279"/>
      <c r="AN31" s="2279"/>
      <c r="AO31" s="1254"/>
      <c r="AW31" s="1166">
        <v>14</v>
      </c>
    </row>
    <row customHeight="1" ht="14.25" hidden="1">
      <c r="R32" s="387"/>
      <c r="S32" s="387"/>
      <c r="T32" s="387"/>
      <c r="U32" s="1286"/>
      <c r="V32" s="374"/>
      <c r="W32" s="374"/>
      <c r="X32" s="333"/>
      <c r="Y32" s="333"/>
      <c r="Z32" s="333"/>
      <c r="AA32" s="333"/>
      <c r="AB32" s="333"/>
      <c r="AC32" s="333"/>
      <c r="AD32" s="333"/>
      <c r="AE32" s="333"/>
      <c r="AF32" s="333"/>
      <c r="AG32" s="333"/>
      <c r="AH32" s="333"/>
      <c r="AI32" s="333"/>
      <c r="AJ32" s="333"/>
      <c r="AK32" s="333"/>
      <c r="AL32" s="333"/>
      <c r="AM32" s="333"/>
      <c r="AN32" s="333"/>
      <c r="AO32" s="333"/>
      <c r="AP32" s="520"/>
      <c r="AW32" s="1166">
        <v>0</v>
      </c>
    </row>
    <row s="1861" customFormat="1" customHeight="1" ht="25.5" hidden="1">
      <c r="A33" s="1259"/>
      <c r="B33" s="1259"/>
      <c r="C33" s="1259"/>
      <c r="D33" s="1259"/>
      <c r="E33" s="1259"/>
      <c r="F33" s="1259"/>
      <c r="G33" s="1259"/>
      <c r="H33" s="1259"/>
      <c r="I33" s="1259"/>
      <c r="J33" s="1259"/>
      <c r="K33" s="1259"/>
      <c r="L33" s="1259"/>
      <c r="M33" s="1391"/>
      <c r="N33" s="1259"/>
      <c r="O33" s="1259"/>
      <c r="P33" s="1259"/>
      <c r="U33"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80"/>
      <c r="W33" s="1383"/>
      <c r="X33" s="2281" t="str">
        <f>IF(TITLE_NAME_OR_PR_CHANGE="",IF(TITLE_NAME_OR_PR="","",TITLE_NAME_OR_PR),TITLE_NAME_OR_PR_CHANGE)</f>
        <v/>
      </c>
      <c r="Y33" s="2281"/>
      <c r="Z33" s="2281"/>
      <c r="AA33" s="2281"/>
      <c r="AB33" s="2281"/>
      <c r="AC33" s="2281"/>
      <c r="AD33" s="2281"/>
      <c r="AE33" s="2281"/>
      <c r="AF33" s="337"/>
      <c r="AG33" s="2281" t="str">
        <f>IF(TITLE_NAME_OR_PR_CHANGE="",IF(TITLE_NAME_OR_PR="","",TITLE_NAME_OR_PR),TITLE_NAME_OR_PR_CHANGE)</f>
        <v/>
      </c>
      <c r="AH33" s="2281"/>
      <c r="AI33" s="2281"/>
      <c r="AJ33" s="2281"/>
      <c r="AK33" s="2281"/>
      <c r="AL33" s="2281"/>
      <c r="AM33" s="2281"/>
      <c r="AN33" s="2281"/>
      <c r="AO33" s="337"/>
      <c r="AP33" s="337"/>
      <c r="AQ33" s="291"/>
      <c r="AR33" s="379"/>
      <c r="AS33" s="379"/>
      <c r="AT33" s="379"/>
      <c r="AU33" s="379"/>
      <c r="AV33" s="379"/>
      <c r="AW33" s="429">
        <v>0</v>
      </c>
    </row>
    <row s="1861" customFormat="1" customHeight="1" ht="18.75" hidden="1">
      <c r="A34" s="1259"/>
      <c r="B34" s="1259"/>
      <c r="C34" s="1259"/>
      <c r="D34" s="1259"/>
      <c r="E34" s="1259"/>
      <c r="F34" s="1259"/>
      <c r="G34" s="1259"/>
      <c r="H34" s="1259"/>
      <c r="I34" s="1259"/>
      <c r="J34" s="1259"/>
      <c r="K34" s="1259"/>
      <c r="L34" s="1259"/>
      <c r="M34" s="1391"/>
      <c r="N34" s="1259"/>
      <c r="O34" s="1259"/>
      <c r="P34" s="1259"/>
      <c r="U34" s="2280" t="str">
        <f>"Дата документа об "&amp;IF(TITLE_DATE_PR_CHANGE="","утверждении","изменении")&amp;" тарифов"</f>
        <v>Дата документа об утверждении тарифов</v>
      </c>
      <c r="V34" s="2280"/>
      <c r="W34" s="1383"/>
      <c r="X34" s="2294" t="str">
        <f>IF(TITLE_DATE_PR_CHANGE="",IF(TITLE_DATE_PR="","",TITLE_DATE_PR),TITLE_DATE_PR_CHANGE)</f>
        <v/>
      </c>
      <c r="Y34" s="2294"/>
      <c r="Z34" s="2294"/>
      <c r="AA34" s="2294"/>
      <c r="AB34" s="2294"/>
      <c r="AC34" s="2294"/>
      <c r="AD34" s="2294"/>
      <c r="AE34" s="2294"/>
      <c r="AF34" s="337"/>
      <c r="AG34" s="2294" t="str">
        <f>IF(TITLE_DATE_PR_CHANGE="",IF(TITLE_DATE_PR="","",TITLE_DATE_PR),TITLE_DATE_PR_CHANGE)</f>
        <v/>
      </c>
      <c r="AH34" s="2294"/>
      <c r="AI34" s="2294"/>
      <c r="AJ34" s="2294"/>
      <c r="AK34" s="2294"/>
      <c r="AL34" s="2294"/>
      <c r="AM34" s="2294"/>
      <c r="AN34" s="2294"/>
      <c r="AO34" s="337"/>
      <c r="AP34" s="337"/>
      <c r="AQ34" s="291"/>
      <c r="AR34" s="379"/>
      <c r="AS34" s="379"/>
      <c r="AT34" s="379"/>
      <c r="AU34" s="379"/>
      <c r="AV34" s="379"/>
      <c r="AW34" s="429">
        <v>0</v>
      </c>
    </row>
    <row s="1861" customFormat="1" customHeight="1" ht="18.75" hidden="1">
      <c r="A35" s="1259"/>
      <c r="B35" s="1259"/>
      <c r="C35" s="1259"/>
      <c r="D35" s="1259"/>
      <c r="E35" s="1259"/>
      <c r="F35" s="1259"/>
      <c r="G35" s="1259"/>
      <c r="H35" s="1259"/>
      <c r="I35" s="1259"/>
      <c r="J35" s="1259"/>
      <c r="K35" s="1259"/>
      <c r="L35" s="1259"/>
      <c r="M35" s="1391"/>
      <c r="N35" s="1259"/>
      <c r="O35" s="1259"/>
      <c r="P35" s="1259"/>
      <c r="U35" s="2280" t="str">
        <f>"Номер документа об "&amp;IF(TITLE_DATE_PR_CHANGE="","утверждении","изменении")&amp;" тарифов"</f>
        <v>Номер документа об утверждении тарифов</v>
      </c>
      <c r="V35" s="2280"/>
      <c r="W35" s="1383"/>
      <c r="X35" s="2281" t="str">
        <f>IF(TITLE_NUMBER_PR_CHANGE="",IF(TITLE_NUMBER_PR="","",TITLE_NUMBER_PR),TITLE_NUMBER_PR_CHANGE)</f>
        <v/>
      </c>
      <c r="Y35" s="2281"/>
      <c r="Z35" s="2281"/>
      <c r="AA35" s="2281"/>
      <c r="AB35" s="2281"/>
      <c r="AC35" s="2281"/>
      <c r="AD35" s="2281"/>
      <c r="AE35" s="2281"/>
      <c r="AF35" s="337"/>
      <c r="AG35" s="2281" t="str">
        <f>IF(TITLE_NUMBER_PR_CHANGE="",IF(TITLE_NUMBER_PR="","",TITLE_NUMBER_PR),TITLE_NUMBER_PR_CHANGE)</f>
        <v/>
      </c>
      <c r="AH35" s="2281"/>
      <c r="AI35" s="2281"/>
      <c r="AJ35" s="2281"/>
      <c r="AK35" s="2281"/>
      <c r="AL35" s="2281"/>
      <c r="AM35" s="2281"/>
      <c r="AN35" s="2281"/>
      <c r="AO35" s="337"/>
      <c r="AP35" s="337"/>
      <c r="AQ35" s="291"/>
      <c r="AR35" s="379"/>
      <c r="AS35" s="379"/>
      <c r="AT35" s="379"/>
      <c r="AU35" s="379"/>
      <c r="AV35" s="379"/>
      <c r="AW35" s="429">
        <v>0</v>
      </c>
    </row>
    <row s="1861" customFormat="1" customHeight="1" ht="18.75" hidden="1">
      <c r="A36" s="1259"/>
      <c r="B36" s="1259"/>
      <c r="C36" s="1259"/>
      <c r="D36" s="1259"/>
      <c r="E36" s="1259"/>
      <c r="F36" s="1259"/>
      <c r="G36" s="1259"/>
      <c r="H36" s="1259"/>
      <c r="I36" s="1259"/>
      <c r="J36" s="1259"/>
      <c r="K36" s="1259"/>
      <c r="L36" s="1259"/>
      <c r="M36" s="1391"/>
      <c r="N36" s="1259"/>
      <c r="O36" s="1259"/>
      <c r="P36" s="1259"/>
      <c r="U36" s="2280" t="s">
        <v>43</v>
      </c>
      <c r="V36" s="2280"/>
      <c r="W36" s="1383"/>
      <c r="X36" s="2281" t="str">
        <f>IF(TITLE_IST_PUB_CHANGE="",IF(TITLE_IST_PUB="","",TITLE_IST_PUB),TITLE_IST_PUB_CHANGE)</f>
        <v/>
      </c>
      <c r="Y36" s="2281"/>
      <c r="Z36" s="2281"/>
      <c r="AA36" s="2281"/>
      <c r="AB36" s="2281"/>
      <c r="AC36" s="2281"/>
      <c r="AD36" s="2281"/>
      <c r="AE36" s="2281"/>
      <c r="AF36" s="337"/>
      <c r="AG36" s="2281" t="str">
        <f>IF(TITLE_IST_PUB_CHANGE="",IF(TITLE_IST_PUB="","",TITLE_IST_PUB),TITLE_IST_PUB_CHANGE)</f>
        <v/>
      </c>
      <c r="AH36" s="2281"/>
      <c r="AI36" s="2281"/>
      <c r="AJ36" s="2281"/>
      <c r="AK36" s="2281"/>
      <c r="AL36" s="2281"/>
      <c r="AM36" s="2281"/>
      <c r="AN36" s="2281"/>
      <c r="AO36" s="337"/>
      <c r="AP36" s="337"/>
      <c r="AQ36" s="291"/>
      <c r="AR36" s="379"/>
      <c r="AS36" s="379"/>
      <c r="AT36" s="379"/>
      <c r="AU36" s="379"/>
      <c r="AV36" s="379"/>
      <c r="AW36" s="429">
        <v>0</v>
      </c>
    </row>
    <row customHeight="1" ht="14.25" hidden="1">
      <c r="R37" s="387"/>
      <c r="S37" s="387"/>
      <c r="T37" s="387"/>
      <c r="U37" s="1286"/>
      <c r="V37" s="468"/>
      <c r="W37" s="374"/>
      <c r="X37" s="333"/>
      <c r="Y37" s="333"/>
      <c r="Z37" s="333"/>
      <c r="AA37" s="333"/>
      <c r="AB37" s="333"/>
      <c r="AC37" s="333"/>
      <c r="AD37" s="333"/>
      <c r="AE37" s="333"/>
      <c r="AF37" s="333"/>
      <c r="AG37" s="333"/>
      <c r="AH37" s="333"/>
      <c r="AI37" s="333"/>
      <c r="AJ37" s="333"/>
      <c r="AK37" s="333"/>
      <c r="AL37" s="333"/>
      <c r="AM37" s="333"/>
      <c r="AN37" s="333"/>
      <c r="AO37" s="333"/>
      <c r="AP37" s="520"/>
      <c r="AW37" s="1166">
        <v>0</v>
      </c>
    </row>
    <row s="1861" customFormat="1" customHeight="1" ht="18.75" hidden="1">
      <c r="A38" s="1259"/>
      <c r="B38" s="1259"/>
      <c r="C38" s="1259"/>
      <c r="D38" s="1259"/>
      <c r="E38" s="1259"/>
      <c r="F38" s="1259"/>
      <c r="G38" s="1259"/>
      <c r="H38" s="1259"/>
      <c r="I38" s="1259"/>
      <c r="J38" s="1259"/>
      <c r="K38" s="1259"/>
      <c r="L38" s="1259"/>
      <c r="M38" s="1391"/>
      <c r="N38" s="1259"/>
      <c r="O38" s="1259"/>
      <c r="P38" s="1259"/>
      <c r="U38" s="2280" t="str">
        <f>"Дата подачи заявления об "&amp;IF(TITLE_DATE_PR_CHANGE="","утверждении","изменении")&amp;" тарифов"</f>
        <v>Дата подачи заявления об утверждении тарифов</v>
      </c>
      <c r="V38" s="2280"/>
      <c r="W38" s="1383"/>
      <c r="X38" s="2294" t="str">
        <f>IF(TITLE_DATE_PR_CHANGE="",IF(TITLE_DATE_PR="","",TITLE_DATE_PR),TITLE_DATE_PR_CHANGE)</f>
        <v/>
      </c>
      <c r="Y38" s="2294"/>
      <c r="Z38" s="2294"/>
      <c r="AA38" s="2294"/>
      <c r="AB38" s="2294"/>
      <c r="AC38" s="2294"/>
      <c r="AD38" s="2294"/>
      <c r="AE38" s="2294"/>
      <c r="AF38" s="337"/>
      <c r="AG38" s="2294" t="str">
        <f>IF(TITLE_DATE_PR_CHANGE="",IF(TITLE_DATE_PR="","",TITLE_DATE_PR),TITLE_DATE_PR_CHANGE)</f>
        <v/>
      </c>
      <c r="AH38" s="2294"/>
      <c r="AI38" s="2294"/>
      <c r="AJ38" s="2294"/>
      <c r="AK38" s="2294"/>
      <c r="AL38" s="2294"/>
      <c r="AM38" s="2294"/>
      <c r="AN38" s="2294"/>
      <c r="AO38" s="337"/>
      <c r="AP38" s="337"/>
      <c r="AQ38" s="291"/>
      <c r="AR38" s="379"/>
      <c r="AS38" s="379"/>
      <c r="AT38" s="379"/>
      <c r="AU38" s="379"/>
      <c r="AV38" s="379"/>
      <c r="AW38" s="429">
        <v>0</v>
      </c>
    </row>
    <row s="1861" customFormat="1" customHeight="1" ht="18.75" hidden="1">
      <c r="A39" s="1259"/>
      <c r="B39" s="1259"/>
      <c r="C39" s="1259"/>
      <c r="D39" s="1259"/>
      <c r="E39" s="1259"/>
      <c r="F39" s="1259"/>
      <c r="G39" s="1259"/>
      <c r="H39" s="1259"/>
      <c r="I39" s="1259"/>
      <c r="J39" s="1259"/>
      <c r="K39" s="1259"/>
      <c r="L39" s="1259"/>
      <c r="M39" s="1391"/>
      <c r="N39" s="1259"/>
      <c r="O39" s="1259"/>
      <c r="P39" s="1259"/>
      <c r="U39" s="2280" t="str">
        <f>"Номер подачи заявления об "&amp;IF(TITLE_DATE_PR_CHANGE="","утверждении","изменении")&amp;" тарифов"</f>
        <v>Номер подачи заявления об утверждении тарифов</v>
      </c>
      <c r="V39" s="2280"/>
      <c r="W39" s="1383"/>
      <c r="X39" s="2281" t="str">
        <f>IF(TITLE_NUMBER_PR_CHANGE="",IF(TITLE_NUMBER_PR="","",TITLE_NUMBER_PR),TITLE_NUMBER_PR_CHANGE)</f>
        <v/>
      </c>
      <c r="Y39" s="2281"/>
      <c r="Z39" s="2281"/>
      <c r="AA39" s="2281"/>
      <c r="AB39" s="2281"/>
      <c r="AC39" s="2281"/>
      <c r="AD39" s="2281"/>
      <c r="AE39" s="2281"/>
      <c r="AF39" s="337"/>
      <c r="AG39" s="2281" t="str">
        <f>IF(TITLE_NUMBER_PR_CHANGE="",IF(TITLE_NUMBER_PR="","",TITLE_NUMBER_PR),TITLE_NUMBER_PR_CHANGE)</f>
        <v/>
      </c>
      <c r="AH39" s="2281"/>
      <c r="AI39" s="2281"/>
      <c r="AJ39" s="2281"/>
      <c r="AK39" s="2281"/>
      <c r="AL39" s="2281"/>
      <c r="AM39" s="2281"/>
      <c r="AN39" s="2281"/>
      <c r="AO39" s="337"/>
      <c r="AP39" s="337"/>
      <c r="AQ39" s="291"/>
      <c r="AR39" s="379"/>
      <c r="AS39" s="379"/>
      <c r="AT39" s="379"/>
      <c r="AU39" s="379"/>
      <c r="AV39" s="379"/>
      <c r="AW39" s="429">
        <v>0</v>
      </c>
    </row>
    <row s="1861" customFormat="1" customHeight="1" ht="0">
      <c r="A40" s="1259"/>
      <c r="B40" s="1259"/>
      <c r="C40" s="1259"/>
      <c r="D40" s="1259"/>
      <c r="E40" s="1259"/>
      <c r="F40" s="1259"/>
      <c r="G40" s="1259"/>
      <c r="H40" s="1259"/>
      <c r="I40" s="1259"/>
      <c r="J40" s="1259"/>
      <c r="K40" s="1259"/>
      <c r="L40" s="1259"/>
      <c r="M40" s="1391"/>
      <c r="N40" s="1259"/>
      <c r="O40" s="1259"/>
      <c r="P40" s="1259"/>
      <c r="U40" s="334"/>
      <c r="V40" s="334"/>
      <c r="W40" s="1351"/>
      <c r="X40" s="337"/>
      <c r="Y40" s="337"/>
      <c r="Z40" s="337"/>
      <c r="AA40" s="337"/>
      <c r="AB40" s="337"/>
      <c r="AC40" s="337"/>
      <c r="AD40" s="337"/>
      <c r="AE40" s="337"/>
      <c r="AF40" s="289" t="s">
        <v>437</v>
      </c>
      <c r="AG40" s="337"/>
      <c r="AH40" s="337"/>
      <c r="AI40" s="337"/>
      <c r="AJ40" s="337"/>
      <c r="AK40" s="337"/>
      <c r="AL40" s="337"/>
      <c r="AM40" s="337"/>
      <c r="AN40" s="337"/>
      <c r="AO40" s="289" t="s">
        <v>437</v>
      </c>
      <c r="AR40" s="379"/>
      <c r="AS40" s="379"/>
      <c r="AT40" s="379"/>
      <c r="AU40" s="379"/>
      <c r="AV40" s="379"/>
      <c r="AW40" s="429">
        <v>0</v>
      </c>
    </row>
    <row customHeight="1" ht="14.699999999999998">
      <c r="R41" s="387"/>
      <c r="S41" s="387"/>
      <c r="T41" s="387"/>
      <c r="U41" s="1286"/>
      <c r="V41" s="374"/>
      <c r="W41" s="1255"/>
      <c r="X41" s="2282"/>
      <c r="Y41" s="2282"/>
      <c r="Z41" s="2282"/>
      <c r="AA41" s="2282"/>
      <c r="AB41" s="2282"/>
      <c r="AC41" s="2282"/>
      <c r="AD41" s="2282"/>
      <c r="AE41" s="2282"/>
      <c r="AF41" s="2282"/>
      <c r="AG41" s="2282"/>
      <c r="AH41" s="2282"/>
      <c r="AI41" s="2282"/>
      <c r="AJ41" s="2282"/>
      <c r="AK41" s="2282"/>
      <c r="AL41" s="2282"/>
      <c r="AM41" s="2282"/>
      <c r="AN41" s="2282"/>
      <c r="AO41" s="2282"/>
      <c r="AW41" s="1166">
        <v>14</v>
      </c>
    </row>
    <row customHeight="1" ht="14.699999999999998">
      <c r="R42" s="387"/>
      <c r="S42" s="387"/>
      <c r="T42" s="387"/>
      <c r="U42" s="2157" t="s">
        <v>314</v>
      </c>
      <c r="V42" s="2157"/>
      <c r="W42" s="2157"/>
      <c r="X42" s="2157"/>
      <c r="Y42" s="2157"/>
      <c r="Z42" s="2157"/>
      <c r="AA42" s="2157"/>
      <c r="AB42" s="2157"/>
      <c r="AC42" s="2157"/>
      <c r="AD42" s="2157"/>
      <c r="AE42" s="2157"/>
      <c r="AF42" s="2157"/>
      <c r="AG42" s="2157"/>
      <c r="AH42" s="2157"/>
      <c r="AI42" s="2157"/>
      <c r="AJ42" s="2157"/>
      <c r="AK42" s="2157"/>
      <c r="AL42" s="2157"/>
      <c r="AM42" s="2157"/>
      <c r="AN42" s="2157"/>
      <c r="AO42" s="2157"/>
      <c r="AP42" s="2157"/>
      <c r="AQ42" s="2157" t="s">
        <v>315</v>
      </c>
      <c r="AW42" s="1166">
        <v>14</v>
      </c>
    </row>
    <row customHeight="1" ht="14.699999999999998">
      <c r="R43" s="387"/>
      <c r="S43" s="387"/>
      <c r="T43" s="387"/>
      <c r="U43" s="2303" t="s">
        <v>89</v>
      </c>
      <c r="V43" s="2239" t="s">
        <v>438</v>
      </c>
      <c r="W43" s="312"/>
      <c r="X43" s="2304" t="s">
        <v>439</v>
      </c>
      <c r="Y43" s="2321"/>
      <c r="Z43" s="2321"/>
      <c r="AA43" s="2321"/>
      <c r="AB43" s="2321"/>
      <c r="AC43" s="2305"/>
      <c r="AD43" s="2305"/>
      <c r="AE43" s="2306"/>
      <c r="AF43" s="2307" t="s">
        <v>440</v>
      </c>
      <c r="AG43" s="2304" t="s">
        <v>439</v>
      </c>
      <c r="AH43" s="2321"/>
      <c r="AI43" s="2321"/>
      <c r="AJ43" s="2321"/>
      <c r="AK43" s="2321"/>
      <c r="AL43" s="2305"/>
      <c r="AM43" s="2305"/>
      <c r="AN43" s="2306"/>
      <c r="AO43" s="2307" t="s">
        <v>441</v>
      </c>
      <c r="AP43" s="2310" t="s">
        <v>442</v>
      </c>
      <c r="AQ43" s="2157"/>
      <c r="AW43" s="1166">
        <v>14</v>
      </c>
    </row>
    <row customHeight="1" ht="35.699999999999996">
      <c r="R44" s="387"/>
      <c r="S44" s="387"/>
      <c r="T44" s="387"/>
      <c r="U44" s="2303"/>
      <c r="V44" s="2239"/>
      <c r="W44" s="1042"/>
      <c r="X44" s="2324" t="s">
        <v>465</v>
      </c>
      <c r="Y44" s="2342" t="s">
        <v>466</v>
      </c>
      <c r="Z44" s="2342"/>
      <c r="AA44" s="2342"/>
      <c r="AB44" s="2342"/>
      <c r="AC44" s="2324" t="s">
        <v>446</v>
      </c>
      <c r="AD44" s="2645"/>
      <c r="AE44" s="2344"/>
      <c r="AF44" s="2308"/>
      <c r="AG44" s="2324" t="s">
        <v>465</v>
      </c>
      <c r="AH44" s="2342" t="s">
        <v>466</v>
      </c>
      <c r="AI44" s="2342"/>
      <c r="AJ44" s="2342"/>
      <c r="AK44" s="2342"/>
      <c r="AL44" s="2324" t="s">
        <v>446</v>
      </c>
      <c r="AM44" s="2645"/>
      <c r="AN44" s="2344"/>
      <c r="AO44" s="2308"/>
      <c r="AP44" s="2311"/>
      <c r="AQ44" s="2157"/>
      <c r="AW44" s="1166">
        <v>34</v>
      </c>
    </row>
    <row customHeight="1" ht="14.699999999999998">
      <c r="R45" s="387"/>
      <c r="S45" s="387"/>
      <c r="T45" s="387"/>
      <c r="U45" s="2303"/>
      <c r="V45" s="2239"/>
      <c r="W45" s="1042"/>
      <c r="X45" s="2355"/>
      <c r="Y45" s="2347" t="s">
        <v>467</v>
      </c>
      <c r="Z45" s="2300" t="s">
        <v>468</v>
      </c>
      <c r="AA45" s="2350"/>
      <c r="AB45" s="2301"/>
      <c r="AC45" s="2325"/>
      <c r="AD45" s="2646"/>
      <c r="AE45" s="2346"/>
      <c r="AF45" s="2308"/>
      <c r="AG45" s="2355"/>
      <c r="AH45" s="2347" t="s">
        <v>467</v>
      </c>
      <c r="AI45" s="2300" t="s">
        <v>468</v>
      </c>
      <c r="AJ45" s="2350"/>
      <c r="AK45" s="2301"/>
      <c r="AL45" s="2325"/>
      <c r="AM45" s="2646"/>
      <c r="AN45" s="2346"/>
      <c r="AO45" s="2308"/>
      <c r="AP45" s="2311"/>
      <c r="AQ45" s="2157"/>
      <c r="AW45" s="1166">
        <v>14</v>
      </c>
    </row>
    <row customHeight="1" ht="27.299999999999997">
      <c r="R46" s="387"/>
      <c r="S46" s="387"/>
      <c r="T46" s="387"/>
      <c r="U46" s="2303"/>
      <c r="V46" s="2239"/>
      <c r="W46" s="1042"/>
      <c r="X46" s="2355"/>
      <c r="Y46" s="2348"/>
      <c r="Z46" s="2347" t="s">
        <v>469</v>
      </c>
      <c r="AA46" s="2300" t="s">
        <v>470</v>
      </c>
      <c r="AB46" s="2301"/>
      <c r="AC46" s="2347" t="s">
        <v>456</v>
      </c>
      <c r="AD46" s="2351" t="s">
        <v>457</v>
      </c>
      <c r="AE46" s="2352"/>
      <c r="AF46" s="2308"/>
      <c r="AG46" s="2355"/>
      <c r="AH46" s="2348"/>
      <c r="AI46" s="2347" t="s">
        <v>469</v>
      </c>
      <c r="AJ46" s="2300" t="s">
        <v>470</v>
      </c>
      <c r="AK46" s="2301"/>
      <c r="AL46" s="2347" t="s">
        <v>456</v>
      </c>
      <c r="AM46" s="2351" t="s">
        <v>457</v>
      </c>
      <c r="AN46" s="2352"/>
      <c r="AO46" s="2308"/>
      <c r="AP46" s="2311"/>
      <c r="AQ46" s="2157"/>
      <c r="AW46" s="1166">
        <v>26</v>
      </c>
    </row>
    <row customHeight="1" ht="65.25">
      <c r="A47" s="1270"/>
      <c r="B47" s="1270" t="s">
        <v>151</v>
      </c>
      <c r="C47" s="1270" t="s">
        <v>152</v>
      </c>
      <c r="D47" s="1270" t="s">
        <v>153</v>
      </c>
      <c r="E47" s="1321" t="s">
        <v>447</v>
      </c>
      <c r="F47" s="1321" t="s">
        <v>448</v>
      </c>
      <c r="G47" s="1321" t="s">
        <v>449</v>
      </c>
      <c r="H47" s="1321" t="s">
        <v>450</v>
      </c>
      <c r="I47" s="1321" t="s">
        <v>451</v>
      </c>
      <c r="J47" s="1321" t="s">
        <v>452</v>
      </c>
      <c r="K47" s="1321" t="s">
        <v>453</v>
      </c>
      <c r="L47" s="1321" t="s">
        <v>471</v>
      </c>
      <c r="M47" s="1321" t="s">
        <v>432</v>
      </c>
      <c r="R47" s="387"/>
      <c r="S47" s="387"/>
      <c r="T47" s="387"/>
      <c r="U47" s="2303"/>
      <c r="V47" s="2239"/>
      <c r="W47" s="313"/>
      <c r="X47" s="2325"/>
      <c r="Y47" s="2349"/>
      <c r="Z47" s="2349"/>
      <c r="AA47" s="1233" t="s">
        <v>472</v>
      </c>
      <c r="AB47" s="1233" t="s">
        <v>473</v>
      </c>
      <c r="AC47" s="2349"/>
      <c r="AD47" s="2353"/>
      <c r="AE47" s="2354"/>
      <c r="AF47" s="2309"/>
      <c r="AG47" s="2325"/>
      <c r="AH47" s="2349"/>
      <c r="AI47" s="2349"/>
      <c r="AJ47" s="1233" t="s">
        <v>472</v>
      </c>
      <c r="AK47" s="1233" t="s">
        <v>473</v>
      </c>
      <c r="AL47" s="2349"/>
      <c r="AM47" s="2353"/>
      <c r="AN47" s="2354"/>
      <c r="AO47" s="2309"/>
      <c r="AP47" s="2312"/>
      <c r="AQ47" s="2157"/>
      <c r="AW47" s="1166">
        <v>62</v>
      </c>
    </row>
    <row s="1652" customFormat="1" customHeight="1" ht="11.25" hidden="1">
      <c r="A48" s="1270"/>
      <c r="B48" s="1270"/>
      <c r="C48" s="1270"/>
      <c r="D48" s="1270"/>
      <c r="E48" s="1270"/>
      <c r="F48" s="1270"/>
      <c r="G48" s="1270"/>
      <c r="H48" s="1270"/>
      <c r="I48" s="1270"/>
      <c r="J48" s="1270"/>
      <c r="K48" s="1270"/>
      <c r="L48" s="1270"/>
      <c r="M48" s="1321"/>
      <c r="N48" s="1339"/>
      <c r="O48" s="1339"/>
      <c r="P48" s="1339"/>
      <c r="Q48" s="1257"/>
      <c r="R48" s="1258"/>
      <c r="S48" s="1265">
        <v>1</v>
      </c>
      <c r="T48" s="1265"/>
      <c r="U48" s="1288" t="s">
        <v>120</v>
      </c>
      <c r="V48" s="1266" t="s">
        <v>104</v>
      </c>
      <c r="W48" s="1256" t="str">
        <f>OFFSET(W48,0,-1)</f>
        <v>2</v>
      </c>
      <c r="X48" s="1346">
        <f>OFFSET(X48,0,-1)+1</f>
        <v>3</v>
      </c>
      <c r="Y48" s="1352"/>
      <c r="Z48" s="1352"/>
      <c r="AA48" s="1352">
        <f>OFFSET(AA48,0,-1)+1</f>
        <v>1</v>
      </c>
      <c r="AB48" s="1352">
        <f>OFFSET(AB48,0,-1)+1</f>
        <v>2</v>
      </c>
      <c r="AC48" s="1346">
        <f>OFFSET(AC48,0,-1)+1</f>
        <v>3</v>
      </c>
      <c r="AD48" s="2302">
        <f>OFFSET(AD48,0,-1)+1</f>
        <v>4</v>
      </c>
      <c r="AE48" s="2302"/>
      <c r="AF48" s="1346">
        <f>OFFSET(AF48,0,-2)+1</f>
        <v>5</v>
      </c>
      <c r="AG48" s="1346">
        <f>OFFSET(AG48,0,-1)+1</f>
        <v>6</v>
      </c>
      <c r="AH48" s="1346"/>
      <c r="AI48" s="1346"/>
      <c r="AJ48" s="1346">
        <f>OFFSET(AJ48,0,-1)+1</f>
        <v>1</v>
      </c>
      <c r="AK48" s="1346">
        <f>OFFSET(AK48,0,-1)+1</f>
        <v>2</v>
      </c>
      <c r="AL48" s="1346">
        <f>OFFSET(AL48,0,-1)+1</f>
        <v>3</v>
      </c>
      <c r="AM48" s="2302">
        <f>OFFSET(AM48,0,-1)+1</f>
        <v>4</v>
      </c>
      <c r="AN48" s="2302"/>
      <c r="AO48" s="1346">
        <f>OFFSET(AO48,0,-2)+1</f>
        <v>5</v>
      </c>
      <c r="AP48" s="1256">
        <f>OFFSET(AP48,0,-1)</f>
        <v>5</v>
      </c>
      <c r="AQ48" s="1346">
        <f>OFFSET(AQ48,0,-1)+1</f>
        <v>6</v>
      </c>
      <c r="AR48" s="522"/>
      <c r="AS48" s="522"/>
      <c r="AT48" s="522"/>
      <c r="AU48" s="522"/>
      <c r="AV48" s="522"/>
      <c r="AW48" s="507">
        <v>0</v>
      </c>
    </row>
    <row customHeight="1" ht="22.049999999999997">
      <c r="A49" s="1278" t="s">
        <v>190</v>
      </c>
      <c r="B49" s="1278"/>
      <c r="C49" s="1278"/>
      <c r="D49" s="1278"/>
      <c r="E49" s="2319">
        <v>1</v>
      </c>
      <c r="F49" s="1278"/>
      <c r="G49" s="1278"/>
      <c r="H49" s="1278"/>
      <c r="I49" s="1278"/>
      <c r="J49" s="1278"/>
      <c r="K49" s="1278"/>
      <c r="L49" s="1278"/>
      <c r="M49" s="1321"/>
      <c r="N49" s="699"/>
      <c r="O49" s="699"/>
      <c r="P49" s="699"/>
      <c r="Q49" s="372"/>
      <c r="R49" s="371"/>
      <c r="S49" s="371"/>
      <c r="T49" s="366"/>
      <c r="U49" s="1347">
        <f>INDEX(PT_DIFFERENTIATION_NUM_NTAR,MATCH(A49,PT_DIFFERENTIATION_NTAR_ID,0))</f>
        <v>0</v>
      </c>
      <c r="V49" s="309" t="s">
        <v>139</v>
      </c>
      <c r="W49" s="311"/>
      <c r="X49" s="2272"/>
      <c r="Y49" s="2273"/>
      <c r="Z49" s="2273"/>
      <c r="AA49" s="2273"/>
      <c r="AB49" s="2273"/>
      <c r="AC49" s="2273"/>
      <c r="AD49" s="2273"/>
      <c r="AE49" s="2273"/>
      <c r="AF49" s="2274"/>
      <c r="AG49" s="2272" t="str">
        <f>INDEX(PT_DIFFERENTIATION_NTAR,MATCH(A49,PT_DIFFERENTIATION_NTAR_ID,0))</f>
        <v/>
      </c>
      <c r="AH49" s="2273"/>
      <c r="AI49" s="2273"/>
      <c r="AJ49" s="2273"/>
      <c r="AK49" s="2273"/>
      <c r="AL49" s="2273"/>
      <c r="AM49" s="2273"/>
      <c r="AN49" s="2273"/>
      <c r="AO49" s="2273"/>
      <c r="AP49" s="2274"/>
      <c r="AQ49"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1"/>
      <c r="AT49" s="511" t="str">
        <f>IF(V49="","",V49)</f>
        <v>Наименование тарифа</v>
      </c>
      <c r="AU49" s="511"/>
      <c r="AV49" s="511"/>
      <c r="AW49" s="1166">
        <v>21</v>
      </c>
    </row>
    <row customHeight="1" ht="22.049999999999997">
      <c r="A50" s="1278" t="s">
        <v>190</v>
      </c>
      <c r="B50" s="1278" t="s">
        <v>191</v>
      </c>
      <c r="C50" s="1278"/>
      <c r="D50" s="1278"/>
      <c r="E50" s="2320"/>
      <c r="F50" s="2319">
        <v>1</v>
      </c>
      <c r="G50" s="1278"/>
      <c r="H50" s="1278"/>
      <c r="I50" s="1278"/>
      <c r="J50" s="1278"/>
      <c r="K50" s="1278"/>
      <c r="L50" s="1278"/>
      <c r="M50" s="1321"/>
      <c r="N50" s="699"/>
      <c r="O50" s="699"/>
      <c r="P50" s="699"/>
      <c r="Q50" s="1343"/>
      <c r="R50" s="363"/>
      <c r="S50" s="520"/>
      <c r="T50" s="364"/>
      <c r="U50" s="1347" t="str">
        <f>INDEX(PT_DIFFERENTIATION_NUM_TER,MATCH(B50,PT_DIFFERENTIATION_TER_ID,0))</f>
        <v>.</v>
      </c>
      <c r="V50" s="319" t="s">
        <v>411</v>
      </c>
      <c r="W50" s="311"/>
      <c r="X50" s="2272"/>
      <c r="Y50" s="2273"/>
      <c r="Z50" s="2273"/>
      <c r="AA50" s="2273"/>
      <c r="AB50" s="2273"/>
      <c r="AC50" s="2273"/>
      <c r="AD50" s="2273"/>
      <c r="AE50" s="2273"/>
      <c r="AF50" s="2274"/>
      <c r="AG50" s="2272" t="str">
        <f>INDEX(PT_DIFFERENTIATION_TER,MATCH(B50,PT_DIFFERENTIATION_TER_ID,0))</f>
        <v/>
      </c>
      <c r="AH50" s="2273"/>
      <c r="AI50" s="2273"/>
      <c r="AJ50" s="2273"/>
      <c r="AK50" s="2273"/>
      <c r="AL50" s="2273"/>
      <c r="AM50" s="2273"/>
      <c r="AN50" s="2273"/>
      <c r="AO50" s="2273"/>
      <c r="AP50" s="2274"/>
      <c r="AQ50" s="1269" t="s">
        <v>412</v>
      </c>
      <c r="AS50" s="511"/>
      <c r="AT50" s="511" t="str">
        <f>IF(V50="","",V50)</f>
        <v>Территория действия тарифа</v>
      </c>
      <c r="AU50" s="511"/>
      <c r="AV50" s="511"/>
      <c r="AW50" s="1166">
        <v>21</v>
      </c>
    </row>
    <row customHeight="1" ht="24">
      <c r="A51" s="1278" t="s">
        <v>190</v>
      </c>
      <c r="B51" s="1278" t="s">
        <v>191</v>
      </c>
      <c r="C51" s="1278" t="s">
        <v>192</v>
      </c>
      <c r="D51" s="1278"/>
      <c r="E51" s="2320"/>
      <c r="F51" s="2320"/>
      <c r="G51" s="2319">
        <v>1</v>
      </c>
      <c r="H51" s="1278"/>
      <c r="I51" s="1278"/>
      <c r="J51" s="1278"/>
      <c r="K51" s="1278"/>
      <c r="L51" s="1278"/>
      <c r="M51" s="1321"/>
      <c r="N51" s="699"/>
      <c r="O51" s="699"/>
      <c r="P51" s="699"/>
      <c r="Q51" s="365"/>
      <c r="R51" s="363"/>
      <c r="S51" s="520"/>
      <c r="T51" s="364"/>
      <c r="U51" s="1347" t="str">
        <f>INDEX(PT_DIFFERENTIATION_NUM_CS,MATCH(C51,PT_DIFFERENTIATION_CS_ID,0))</f>
        <v>..</v>
      </c>
      <c r="V51" s="320" t="s">
        <v>413</v>
      </c>
      <c r="W51" s="311"/>
      <c r="X51" s="2272"/>
      <c r="Y51" s="2273"/>
      <c r="Z51" s="2273"/>
      <c r="AA51" s="2273"/>
      <c r="AB51" s="2273"/>
      <c r="AC51" s="2273"/>
      <c r="AD51" s="2273"/>
      <c r="AE51" s="2273"/>
      <c r="AF51" s="2274"/>
      <c r="AG51" s="2272" t="str">
        <f>INDEX(PT_DIFFERENTIATION_CS,MATCH(C51,PT_DIFFERENTIATION_CS_ID,0))</f>
        <v/>
      </c>
      <c r="AH51" s="2273"/>
      <c r="AI51" s="2273"/>
      <c r="AJ51" s="2273"/>
      <c r="AK51" s="2273"/>
      <c r="AL51" s="2273"/>
      <c r="AM51" s="2273"/>
      <c r="AN51" s="2273"/>
      <c r="AO51" s="2273"/>
      <c r="AP51" s="2274"/>
      <c r="AQ51" s="1269" t="s">
        <v>414</v>
      </c>
      <c r="AS51" s="511"/>
      <c r="AT51" s="511" t="str">
        <f>IF(V51="","",V51)</f>
        <v>Наименование системы теплоснабжения </v>
      </c>
      <c r="AU51" s="511"/>
      <c r="AV51" s="511"/>
      <c r="AW51" s="1166">
        <v>23</v>
      </c>
    </row>
    <row customHeight="1" ht="22.049999999999997">
      <c r="A52" s="1278" t="s">
        <v>190</v>
      </c>
      <c r="B52" s="1278" t="s">
        <v>191</v>
      </c>
      <c r="C52" s="1278" t="s">
        <v>192</v>
      </c>
      <c r="D52" s="1278" t="s">
        <v>193</v>
      </c>
      <c r="E52" s="2320"/>
      <c r="F52" s="2320"/>
      <c r="G52" s="2320"/>
      <c r="H52" s="2340">
        <v>1</v>
      </c>
      <c r="I52" s="1278"/>
      <c r="J52" s="1278"/>
      <c r="K52" s="1278"/>
      <c r="L52" s="1278"/>
      <c r="M52" s="1321"/>
      <c r="N52" s="699"/>
      <c r="O52" s="699"/>
      <c r="P52" s="699"/>
      <c r="Q52" s="365"/>
      <c r="R52" s="363"/>
      <c r="S52" s="520"/>
      <c r="T52" s="364"/>
      <c r="U52" s="1347" t="str">
        <f>INDEX(PT_DIFFERENTIATION_NUM_IST_TE,MATCH(D52,PT_DIFFERENTIATION_IST_TE_ID,0))</f>
        <v>...</v>
      </c>
      <c r="V52" s="321" t="s">
        <v>415</v>
      </c>
      <c r="W52" s="311"/>
      <c r="X52" s="2272"/>
      <c r="Y52" s="2273"/>
      <c r="Z52" s="2273"/>
      <c r="AA52" s="2273"/>
      <c r="AB52" s="2273"/>
      <c r="AC52" s="2273"/>
      <c r="AD52" s="2273"/>
      <c r="AE52" s="2273"/>
      <c r="AF52" s="2274"/>
      <c r="AG52" s="2272" t="str">
        <f>INDEX(PT_DIFFERENTIATION_IST_TE,MATCH(D52,PT_DIFFERENTIATION_IST_TE_ID,0))</f>
        <v/>
      </c>
      <c r="AH52" s="2273"/>
      <c r="AI52" s="2273"/>
      <c r="AJ52" s="2273"/>
      <c r="AK52" s="2273"/>
      <c r="AL52" s="2273"/>
      <c r="AM52" s="2273"/>
      <c r="AN52" s="2273"/>
      <c r="AO52" s="2273"/>
      <c r="AP52" s="2274"/>
      <c r="AQ52" s="1269" t="s">
        <v>416</v>
      </c>
      <c r="AS52" s="511"/>
      <c r="AT52" s="511" t="str">
        <f>IF(V52="","",V52)</f>
        <v>Источник тепловой энергии  </v>
      </c>
      <c r="AU52" s="511"/>
      <c r="AV52" s="511"/>
      <c r="AW52" s="1166">
        <v>21</v>
      </c>
    </row>
    <row s="1653" customFormat="1" customHeight="1" ht="0">
      <c r="A53" s="1386" t="s">
        <v>190</v>
      </c>
      <c r="B53" s="1386" t="s">
        <v>191</v>
      </c>
      <c r="C53" s="1386" t="s">
        <v>192</v>
      </c>
      <c r="D53" s="1386" t="s">
        <v>193</v>
      </c>
      <c r="E53" s="2320"/>
      <c r="F53" s="2320"/>
      <c r="G53" s="2320"/>
      <c r="H53" s="2341"/>
      <c r="I53" s="2157" t="str">
        <f>U52&amp;".1"</f>
        <v>....1</v>
      </c>
      <c r="J53" s="1386"/>
      <c r="K53" s="1386"/>
      <c r="L53" s="1386"/>
      <c r="M53" s="1392" t="s">
        <v>417</v>
      </c>
      <c r="N53" s="1257"/>
      <c r="O53" s="1257"/>
      <c r="P53" s="1257"/>
      <c r="Q53" s="2287">
        <v>1</v>
      </c>
      <c r="R53" s="1342"/>
      <c r="S53" s="1342"/>
      <c r="T53" s="367"/>
      <c r="U53" s="1053"/>
      <c r="V53" s="1394"/>
      <c r="W53" s="1395"/>
      <c r="X53" s="2326"/>
      <c r="Y53" s="2327"/>
      <c r="Z53" s="2327"/>
      <c r="AA53" s="2327"/>
      <c r="AB53" s="2327"/>
      <c r="AC53" s="2327"/>
      <c r="AD53" s="2327"/>
      <c r="AE53" s="2327"/>
      <c r="AF53" s="2328"/>
      <c r="AG53" s="2326"/>
      <c r="AH53" s="2327"/>
      <c r="AI53" s="2327"/>
      <c r="AJ53" s="2327"/>
      <c r="AK53" s="2327"/>
      <c r="AL53" s="2327"/>
      <c r="AM53" s="2327"/>
      <c r="AN53" s="2327"/>
      <c r="AO53" s="2327"/>
      <c r="AP53" s="2328"/>
      <c r="AQ53" s="1396"/>
      <c r="AS53" s="511"/>
      <c r="AT53" s="511" t="str">
        <f>IF(V53="","",V53)</f>
        <v/>
      </c>
      <c r="AU53" s="511"/>
      <c r="AV53" s="511"/>
      <c r="AW53" s="522">
        <v>0</v>
      </c>
    </row>
    <row customHeight="1" ht="22.049999999999997">
      <c r="A54" s="1278" t="s">
        <v>190</v>
      </c>
      <c r="B54" s="1278" t="s">
        <v>191</v>
      </c>
      <c r="C54" s="1278" t="s">
        <v>192</v>
      </c>
      <c r="D54" s="1278" t="s">
        <v>193</v>
      </c>
      <c r="E54" s="2320"/>
      <c r="F54" s="2320"/>
      <c r="G54" s="2320"/>
      <c r="H54" s="2341"/>
      <c r="I54" s="2131"/>
      <c r="J54" s="2157" t="str">
        <f>I53&amp;".1"</f>
        <v>....1.1</v>
      </c>
      <c r="K54" s="1278"/>
      <c r="L54" s="1278"/>
      <c r="M54" s="1321" t="s">
        <v>420</v>
      </c>
      <c r="Q54" s="2287"/>
      <c r="R54" s="2287">
        <v>1</v>
      </c>
      <c r="S54" s="529"/>
      <c r="T54" s="368"/>
      <c r="U54" s="1347" t="str">
        <f>$J54</f>
        <v>....1.1</v>
      </c>
      <c r="V54" s="297" t="s">
        <v>421</v>
      </c>
      <c r="W54" s="311"/>
      <c r="X54" s="2275"/>
      <c r="Y54" s="2276"/>
      <c r="Z54" s="2276"/>
      <c r="AA54" s="2276"/>
      <c r="AB54" s="2276"/>
      <c r="AC54" s="2265"/>
      <c r="AD54" s="2265"/>
      <c r="AE54" s="2265"/>
      <c r="AF54" s="2338"/>
      <c r="AG54" s="2275"/>
      <c r="AH54" s="2276"/>
      <c r="AI54" s="2276"/>
      <c r="AJ54" s="2276"/>
      <c r="AK54" s="2276"/>
      <c r="AL54" s="2276"/>
      <c r="AM54" s="2276"/>
      <c r="AN54" s="2276"/>
      <c r="AO54" s="2276"/>
      <c r="AP54" s="2277"/>
      <c r="AQ54" s="1269" t="s">
        <v>422</v>
      </c>
      <c r="AS54" s="511"/>
      <c r="AT54" s="511" t="str">
        <f>IF(V54="","",V54)</f>
        <v>Группа потребителей</v>
      </c>
      <c r="AU54" s="511"/>
      <c r="AV54" s="511"/>
      <c r="AW54" s="1166">
        <v>21</v>
      </c>
    </row>
    <row customHeight="1" ht="22.049999999999997">
      <c r="A55" s="1278" t="s">
        <v>190</v>
      </c>
      <c r="B55" s="1278" t="s">
        <v>191</v>
      </c>
      <c r="C55" s="1278" t="s">
        <v>192</v>
      </c>
      <c r="D55" s="1278" t="s">
        <v>193</v>
      </c>
      <c r="E55" s="2320"/>
      <c r="F55" s="2320"/>
      <c r="G55" s="2320"/>
      <c r="H55" s="2341"/>
      <c r="I55" s="2131"/>
      <c r="J55" s="2131"/>
      <c r="K55" s="2157" t="str">
        <f>J54&amp;".1"</f>
        <v>....1.1.1</v>
      </c>
      <c r="L55" s="150"/>
      <c r="M55" s="1321" t="s">
        <v>423</v>
      </c>
      <c r="Q55" s="2287"/>
      <c r="R55" s="2287"/>
      <c r="S55" s="529">
        <v>1</v>
      </c>
      <c r="T55" s="368"/>
      <c r="U55" s="1347" t="str">
        <f>$K55</f>
        <v>....1.1.1</v>
      </c>
      <c r="V55" s="1358"/>
      <c r="W55" s="311"/>
      <c r="X55" s="762"/>
      <c r="Y55" s="762"/>
      <c r="Z55" s="762"/>
      <c r="AA55" s="762"/>
      <c r="AB55" s="1416"/>
      <c r="AC55" s="2295"/>
      <c r="AD55" s="2137" t="s">
        <v>63</v>
      </c>
      <c r="AE55" s="2295"/>
      <c r="AF55" s="2137" t="s">
        <v>63</v>
      </c>
      <c r="AG55" s="1418"/>
      <c r="AH55" s="762"/>
      <c r="AI55" s="762"/>
      <c r="AJ55" s="762"/>
      <c r="AK55" s="1268"/>
      <c r="AL55" s="2295"/>
      <c r="AM55" s="2137" t="s">
        <v>63</v>
      </c>
      <c r="AN55" s="2295"/>
      <c r="AO55" s="2137" t="s">
        <v>63</v>
      </c>
      <c r="AP55" s="1359"/>
      <c r="AQ55" s="1318" t="s">
        <v>462</v>
      </c>
      <c r="AR55" s="522">
        <f>STRCHECKDATE(X57:AP57)</f>
      </c>
      <c r="AS55" s="511"/>
      <c r="AT55" s="511" t="str">
        <f>IF(V55="","",V55)</f>
        <v/>
      </c>
      <c r="AU55" s="511"/>
      <c r="AV55" s="511"/>
      <c r="AW55" s="1166">
        <v>21</v>
      </c>
    </row>
    <row customHeight="1" ht="11.549999999999999">
      <c r="A56" s="1278" t="s">
        <v>190</v>
      </c>
      <c r="B56" s="1278" t="s">
        <v>191</v>
      </c>
      <c r="C56" s="1278" t="s">
        <v>192</v>
      </c>
      <c r="D56" s="1278" t="s">
        <v>193</v>
      </c>
      <c r="E56" s="2320"/>
      <c r="F56" s="2320"/>
      <c r="G56" s="2320"/>
      <c r="H56" s="2341"/>
      <c r="I56" s="2131"/>
      <c r="J56" s="2131"/>
      <c r="K56" s="2131"/>
      <c r="L56" s="2157" t="str">
        <f>K55&amp;".1"</f>
        <v>....1.1.1.1</v>
      </c>
      <c r="M56" s="1321"/>
      <c r="Q56" s="2287"/>
      <c r="R56" s="2287"/>
      <c r="S56" s="529">
        <v>1</v>
      </c>
      <c r="T56" s="368"/>
      <c r="U56" s="1347" t="str">
        <f>$L56</f>
        <v>....1.1.1.1</v>
      </c>
      <c r="V56" s="1402"/>
      <c r="W56" s="311"/>
      <c r="X56" s="336"/>
      <c r="Y56" s="762"/>
      <c r="Z56" s="762"/>
      <c r="AA56" s="762"/>
      <c r="AB56" s="1416"/>
      <c r="AC56" s="2339"/>
      <c r="AD56" s="2137"/>
      <c r="AE56" s="2339"/>
      <c r="AF56" s="2137"/>
      <c r="AG56" s="1418"/>
      <c r="AH56" s="762"/>
      <c r="AI56" s="762"/>
      <c r="AJ56" s="762"/>
      <c r="AK56" s="1268"/>
      <c r="AL56" s="2339"/>
      <c r="AM56" s="2137"/>
      <c r="AN56" s="2339"/>
      <c r="AO56" s="2137"/>
      <c r="AP56" s="1359"/>
      <c r="AQ56" s="2283" t="s">
        <v>463</v>
      </c>
      <c r="AR56" s="522">
        <f>STRCHECKDATE(X58:AP58)</f>
      </c>
      <c r="AS56" s="511"/>
      <c r="AT56" s="511" t="str">
        <f>IF(V56="","",V56)</f>
        <v/>
      </c>
      <c r="AU56" s="511"/>
      <c r="AV56" s="511"/>
      <c r="AW56" s="1166">
        <v>11</v>
      </c>
    </row>
    <row customHeight="1" ht="0">
      <c r="A57" s="1278" t="s">
        <v>190</v>
      </c>
      <c r="B57" s="1278" t="s">
        <v>191</v>
      </c>
      <c r="C57" s="1278" t="s">
        <v>192</v>
      </c>
      <c r="D57" s="1278" t="s">
        <v>193</v>
      </c>
      <c r="E57" s="2320"/>
      <c r="F57" s="2320"/>
      <c r="G57" s="2320"/>
      <c r="H57" s="2341"/>
      <c r="I57" s="2131"/>
      <c r="J57" s="2131"/>
      <c r="K57" s="2131"/>
      <c r="L57" s="2157"/>
      <c r="M57" s="1321"/>
      <c r="Q57" s="2287"/>
      <c r="R57" s="2287"/>
      <c r="S57" s="529"/>
      <c r="T57" s="368"/>
      <c r="U57" s="1353"/>
      <c r="V57" s="311"/>
      <c r="W57" s="311"/>
      <c r="X57" s="336"/>
      <c r="Y57" s="336"/>
      <c r="Z57" s="336"/>
      <c r="AA57" s="336"/>
      <c r="AB57" s="1417" t="str">
        <f>AC55&amp;"-"&amp;AE55</f>
        <v>-</v>
      </c>
      <c r="AC57" s="2339"/>
      <c r="AD57" s="2137"/>
      <c r="AE57" s="2339"/>
      <c r="AF57" s="2137"/>
      <c r="AG57" s="1393"/>
      <c r="AH57" s="336"/>
      <c r="AI57" s="336"/>
      <c r="AJ57" s="336"/>
      <c r="AK57" s="339" t="str">
        <f>AL55&amp;"-"&amp;AN55</f>
        <v>-</v>
      </c>
      <c r="AL57" s="2339"/>
      <c r="AM57" s="2137"/>
      <c r="AN57" s="2339"/>
      <c r="AO57" s="2137"/>
      <c r="AP57" s="1360"/>
      <c r="AQ57" s="2284"/>
      <c r="AS57" s="511"/>
      <c r="AT57" s="511" t="str">
        <f>IF(V57="","",V57)</f>
        <v/>
      </c>
      <c r="AU57" s="511"/>
      <c r="AV57" s="511"/>
      <c r="AW57" s="1166">
        <v>0</v>
      </c>
    </row>
    <row customHeight="1" ht="11.549999999999999">
      <c r="A58" s="1278" t="s">
        <v>190</v>
      </c>
      <c r="B58" s="1278" t="s">
        <v>191</v>
      </c>
      <c r="C58" s="1278" t="s">
        <v>192</v>
      </c>
      <c r="D58" s="1278" t="s">
        <v>193</v>
      </c>
      <c r="E58" s="2320"/>
      <c r="F58" s="2320"/>
      <c r="G58" s="2320"/>
      <c r="H58" s="2341"/>
      <c r="I58" s="2131"/>
      <c r="J58" s="2131"/>
      <c r="K58" s="2157"/>
      <c r="L58" s="1278"/>
      <c r="M58" s="1321"/>
      <c r="Q58" s="2287"/>
      <c r="R58" s="2287"/>
      <c r="S58" s="1342"/>
      <c r="T58" s="367"/>
      <c r="U58" s="1289"/>
      <c r="V58" s="299" t="s">
        <v>464</v>
      </c>
      <c r="W58" s="378"/>
      <c r="X58" s="378"/>
      <c r="Y58" s="378"/>
      <c r="Z58" s="378"/>
      <c r="AA58" s="378"/>
      <c r="AB58" s="378"/>
      <c r="AC58" s="2339"/>
      <c r="AD58" s="2137"/>
      <c r="AE58" s="2339"/>
      <c r="AF58" s="2137"/>
      <c r="AG58" s="378"/>
      <c r="AH58" s="378"/>
      <c r="AI58" s="378"/>
      <c r="AJ58" s="378"/>
      <c r="AK58" s="378"/>
      <c r="AL58" s="2339"/>
      <c r="AM58" s="2137"/>
      <c r="AN58" s="2339"/>
      <c r="AO58" s="2137"/>
      <c r="AP58" s="335"/>
      <c r="AQ58" s="2284"/>
      <c r="AS58" s="511"/>
      <c r="AT58" s="511" t="str">
        <f>IF(V58="","",V58)</f>
        <v>Добавить наименование поставщика</v>
      </c>
      <c r="AU58" s="511"/>
      <c r="AV58" s="511"/>
      <c r="AW58" s="1166">
        <v>11</v>
      </c>
    </row>
    <row customHeight="1" ht="11.549999999999999">
      <c r="A59" s="1278" t="s">
        <v>190</v>
      </c>
      <c r="B59" s="1278" t="s">
        <v>191</v>
      </c>
      <c r="C59" s="1278" t="s">
        <v>192</v>
      </c>
      <c r="D59" s="1278" t="s">
        <v>193</v>
      </c>
      <c r="E59" s="2320"/>
      <c r="F59" s="2320"/>
      <c r="G59" s="2320"/>
      <c r="H59" s="2341"/>
      <c r="I59" s="2131"/>
      <c r="J59" s="2157"/>
      <c r="K59" s="1278"/>
      <c r="L59" s="1278"/>
      <c r="M59" s="1321"/>
      <c r="Q59" s="2287"/>
      <c r="R59" s="2287"/>
      <c r="S59" s="1342"/>
      <c r="T59" s="367"/>
      <c r="U59" s="1289"/>
      <c r="V59" s="298" t="s">
        <v>425</v>
      </c>
      <c r="W59" s="378"/>
      <c r="X59" s="378"/>
      <c r="Y59" s="378"/>
      <c r="Z59" s="378"/>
      <c r="AA59" s="378"/>
      <c r="AB59" s="378"/>
      <c r="AC59" s="1419"/>
      <c r="AD59" s="1419"/>
      <c r="AE59" s="1419"/>
      <c r="AF59" s="1419"/>
      <c r="AG59" s="378"/>
      <c r="AH59" s="378"/>
      <c r="AI59" s="378"/>
      <c r="AJ59" s="378"/>
      <c r="AK59" s="378"/>
      <c r="AL59" s="378"/>
      <c r="AM59" s="378"/>
      <c r="AN59" s="378"/>
      <c r="AO59" s="378"/>
      <c r="AP59" s="335"/>
      <c r="AQ59" s="2285"/>
      <c r="AS59" s="511"/>
      <c r="AT59" s="511" t="str">
        <f>IF(V59="","",V59)</f>
        <v>Добавить вид теплоносителя (параметры теплоносителя)</v>
      </c>
      <c r="AU59" s="511"/>
      <c r="AV59" s="511"/>
      <c r="AW59" s="1166">
        <v>11</v>
      </c>
    </row>
    <row customHeight="1" ht="11.549999999999999">
      <c r="A60" s="1278" t="s">
        <v>190</v>
      </c>
      <c r="B60" s="1278" t="s">
        <v>191</v>
      </c>
      <c r="C60" s="1278" t="s">
        <v>192</v>
      </c>
      <c r="D60" s="1278" t="s">
        <v>193</v>
      </c>
      <c r="E60" s="2320"/>
      <c r="F60" s="2320"/>
      <c r="G60" s="2320"/>
      <c r="H60" s="2341"/>
      <c r="I60" s="2157"/>
      <c r="J60" s="1278"/>
      <c r="K60" s="1278"/>
      <c r="L60" s="1278"/>
      <c r="M60" s="1321"/>
      <c r="Q60" s="2287"/>
      <c r="R60" s="1342"/>
      <c r="S60" s="1342"/>
      <c r="T60" s="367"/>
      <c r="U60" s="1289"/>
      <c r="V60" s="376" t="s">
        <v>426</v>
      </c>
      <c r="W60" s="378"/>
      <c r="X60" s="378"/>
      <c r="Y60" s="378"/>
      <c r="Z60" s="378"/>
      <c r="AA60" s="378"/>
      <c r="AB60" s="378"/>
      <c r="AC60" s="378"/>
      <c r="AD60" s="378"/>
      <c r="AE60" s="378"/>
      <c r="AF60" s="377"/>
      <c r="AG60" s="378"/>
      <c r="AH60" s="378"/>
      <c r="AI60" s="378"/>
      <c r="AJ60" s="378"/>
      <c r="AK60" s="378"/>
      <c r="AL60" s="378"/>
      <c r="AM60" s="378"/>
      <c r="AN60" s="378"/>
      <c r="AO60" s="377"/>
      <c r="AP60" s="378"/>
      <c r="AQ60" s="314"/>
      <c r="AS60" s="511"/>
      <c r="AT60" s="511" t="str">
        <f>IF(V60="","",V60)</f>
        <v>Добавить группу потребителей</v>
      </c>
      <c r="AU60" s="511"/>
      <c r="AV60" s="511"/>
      <c r="AW60" s="1166">
        <v>11</v>
      </c>
    </row>
    <row customHeight="1" ht="0">
      <c r="A61" s="1278" t="s">
        <v>190</v>
      </c>
      <c r="B61" s="1278" t="s">
        <v>191</v>
      </c>
      <c r="C61" s="1278" t="s">
        <v>192</v>
      </c>
      <c r="D61" s="1278" t="s">
        <v>193</v>
      </c>
      <c r="E61" s="2320"/>
      <c r="F61" s="2320"/>
      <c r="G61" s="2320"/>
      <c r="H61" s="2340"/>
      <c r="I61" s="1278"/>
      <c r="J61" s="1278"/>
      <c r="K61" s="1278"/>
      <c r="L61" s="1278"/>
      <c r="M61" s="1321"/>
      <c r="N61" s="699"/>
      <c r="O61" s="699"/>
      <c r="P61" s="520"/>
      <c r="Q61" s="371"/>
      <c r="R61" s="386"/>
      <c r="S61" s="366"/>
      <c r="T61" s="371"/>
      <c r="U61" s="1397"/>
      <c r="V61" s="1398"/>
      <c r="W61" s="1399"/>
      <c r="X61" s="1399"/>
      <c r="Y61" s="1399"/>
      <c r="Z61" s="1399"/>
      <c r="AA61" s="1399"/>
      <c r="AB61" s="1399"/>
      <c r="AC61" s="1399"/>
      <c r="AD61" s="1399"/>
      <c r="AE61" s="1399"/>
      <c r="AF61" s="1399"/>
      <c r="AG61" s="1399"/>
      <c r="AH61" s="1399"/>
      <c r="AI61" s="1399"/>
      <c r="AJ61" s="1399"/>
      <c r="AK61" s="1399"/>
      <c r="AL61" s="1399"/>
      <c r="AM61" s="1399"/>
      <c r="AN61" s="1399"/>
      <c r="AO61" s="1399"/>
      <c r="AP61" s="1399"/>
      <c r="AQ61" s="1400"/>
      <c r="AS61" s="511"/>
      <c r="AT61" s="511" t="str">
        <f>IF(V61="","",V61)</f>
        <v/>
      </c>
      <c r="AU61" s="511"/>
      <c r="AV61" s="511"/>
      <c r="AW61" s="1166">
        <v>0</v>
      </c>
    </row>
    <row s="1653" customFormat="1" customHeight="1" ht="0">
      <c r="A62" s="1386" t="s">
        <v>190</v>
      </c>
      <c r="B62" s="1386" t="s">
        <v>191</v>
      </c>
      <c r="C62" s="1386" t="s">
        <v>192</v>
      </c>
      <c r="D62" s="1385"/>
      <c r="E62" s="2320"/>
      <c r="F62" s="2320"/>
      <c r="G62" s="2319"/>
      <c r="H62" s="1385"/>
      <c r="I62" s="1385"/>
      <c r="J62" s="1385"/>
      <c r="K62" s="1385"/>
      <c r="L62" s="1385"/>
      <c r="M62" s="1388"/>
      <c r="N62" s="1389"/>
      <c r="O62" s="1389"/>
      <c r="P62" s="362"/>
      <c r="Q62" s="1327"/>
      <c r="R62" s="1328"/>
      <c r="S62" s="1327"/>
      <c r="T62" s="1327"/>
      <c r="U62" s="1333"/>
      <c r="V62" s="1336" t="s">
        <v>428</v>
      </c>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S62" s="800"/>
      <c r="AT62" s="800" t="str">
        <f>IF(V62="","",V62)</f>
        <v>Добавить источник для дифференциации</v>
      </c>
      <c r="AU62" s="800"/>
      <c r="AV62" s="800"/>
      <c r="AW62" s="529">
        <v>0</v>
      </c>
    </row>
    <row s="1653" customFormat="1" customHeight="1" ht="0">
      <c r="A63" s="1386" t="s">
        <v>190</v>
      </c>
      <c r="B63" s="1386" t="s">
        <v>191</v>
      </c>
      <c r="C63" s="1385"/>
      <c r="D63" s="1385"/>
      <c r="E63" s="2320"/>
      <c r="F63" s="2319"/>
      <c r="G63" s="1385"/>
      <c r="H63" s="1385"/>
      <c r="I63" s="1385"/>
      <c r="J63" s="1385"/>
      <c r="K63" s="1385"/>
      <c r="L63" s="1385"/>
      <c r="M63" s="1388"/>
      <c r="N63" s="1390"/>
      <c r="O63" s="1390"/>
      <c r="P63" s="362"/>
      <c r="Q63" s="1327"/>
      <c r="R63" s="1328"/>
      <c r="S63" s="1327"/>
      <c r="T63" s="1327"/>
      <c r="U63" s="1333"/>
      <c r="V63" s="1336" t="s">
        <v>429</v>
      </c>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S63" s="800"/>
      <c r="AT63" s="800" t="str">
        <f>IF(V63="","",V63)</f>
        <v>Добавить централизованную систему для дифференциации</v>
      </c>
      <c r="AU63" s="800"/>
      <c r="AV63" s="800"/>
      <c r="AW63" s="529">
        <v>0</v>
      </c>
    </row>
    <row s="1653" customFormat="1" customHeight="1" ht="0">
      <c r="A64" s="1386" t="s">
        <v>190</v>
      </c>
      <c r="B64" s="1386"/>
      <c r="C64" s="1386"/>
      <c r="D64" s="1386"/>
      <c r="E64" s="2319"/>
      <c r="F64" s="1386"/>
      <c r="G64" s="1386"/>
      <c r="H64" s="1386"/>
      <c r="I64" s="1386"/>
      <c r="J64" s="1386"/>
      <c r="K64" s="1386"/>
      <c r="L64" s="1386"/>
      <c r="M64" s="1392"/>
      <c r="N64" s="1390"/>
      <c r="O64" s="1390"/>
      <c r="P64" s="362"/>
      <c r="Q64" s="391"/>
      <c r="R64" s="1355"/>
      <c r="S64" s="391"/>
      <c r="T64" s="391"/>
      <c r="U64" s="1333"/>
      <c r="V64" s="1336" t="s">
        <v>430</v>
      </c>
      <c r="W64" s="1335"/>
      <c r="X64" s="1335"/>
      <c r="Y64" s="1335"/>
      <c r="Z64" s="1335"/>
      <c r="AA64" s="1335"/>
      <c r="AB64" s="1335"/>
      <c r="AC64" s="1335"/>
      <c r="AD64" s="1335"/>
      <c r="AE64" s="1335"/>
      <c r="AF64" s="1335"/>
      <c r="AG64" s="1335"/>
      <c r="AH64" s="1335"/>
      <c r="AI64" s="1335"/>
      <c r="AJ64" s="1335"/>
      <c r="AK64" s="1335"/>
      <c r="AL64" s="1335"/>
      <c r="AM64" s="1335"/>
      <c r="AN64" s="1335"/>
      <c r="AO64" s="1335"/>
      <c r="AP64" s="1335"/>
      <c r="AQ64" s="1335"/>
      <c r="AS64" s="511"/>
      <c r="AT64" s="511" t="str">
        <f>IF(V64="","",V64)</f>
        <v>Добавить территорию для дифференциации</v>
      </c>
      <c r="AU64" s="511"/>
      <c r="AV64" s="511"/>
      <c r="AW64" s="522">
        <v>0</v>
      </c>
    </row>
    <row s="1653" customFormat="1" customHeight="1" ht="4.2">
      <c r="A65" s="1385"/>
      <c r="B65" s="1385"/>
      <c r="C65" s="1385"/>
      <c r="D65" s="1385"/>
      <c r="E65" s="1386"/>
      <c r="F65" s="1385"/>
      <c r="G65" s="1385"/>
      <c r="H65" s="1385"/>
      <c r="I65" s="1385"/>
      <c r="J65" s="1385"/>
      <c r="K65" s="1385"/>
      <c r="L65" s="1385"/>
      <c r="M65" s="1388"/>
      <c r="N65" s="1390"/>
      <c r="O65" s="1390"/>
      <c r="P65" s="362"/>
      <c r="Q65" s="1327"/>
      <c r="R65" s="1328"/>
      <c r="S65" s="1327"/>
      <c r="T65" s="1327"/>
      <c r="U65" s="1333"/>
      <c r="V65" s="1336" t="s">
        <v>458</v>
      </c>
      <c r="W65" s="1335"/>
      <c r="X65" s="1335"/>
      <c r="Y65" s="1335"/>
      <c r="Z65" s="1335"/>
      <c r="AA65" s="1335"/>
      <c r="AB65" s="1335"/>
      <c r="AC65" s="1335"/>
      <c r="AD65" s="1335"/>
      <c r="AE65" s="1335"/>
      <c r="AF65" s="1335"/>
      <c r="AG65" s="1335"/>
      <c r="AH65" s="1335"/>
      <c r="AI65" s="1335"/>
      <c r="AJ65" s="1335"/>
      <c r="AK65" s="1335"/>
      <c r="AL65" s="1335"/>
      <c r="AM65" s="1335"/>
      <c r="AN65" s="1335"/>
      <c r="AO65" s="1335"/>
      <c r="AP65" s="1335"/>
      <c r="AQ65" s="1335"/>
      <c r="AS65" s="800"/>
      <c r="AT65" s="800" t="str">
        <f>IF(V65="","",V65)</f>
        <v>Добавить наименование тарифа</v>
      </c>
      <c r="AU65" s="800"/>
      <c r="AV65" s="800"/>
      <c r="AW65" s="529">
        <v>4</v>
      </c>
    </row>
    <row customHeight="1" ht="11.549999999999999">
      <c r="N66" s="1166"/>
      <c r="O66" s="1166"/>
      <c r="P66" s="520"/>
      <c r="Q66" s="1166"/>
      <c r="R66" s="1166"/>
      <c r="S66" s="1166"/>
      <c r="T66" s="1166"/>
      <c r="U66" s="1166"/>
      <c r="AR66" s="1166"/>
      <c r="AS66" s="1166"/>
      <c r="AT66" s="1166"/>
      <c r="AU66" s="1166"/>
      <c r="AV66" s="1166"/>
      <c r="AW66" s="1166">
        <v>11</v>
      </c>
    </row>
    <row customHeight="1" ht="35.699999999999996">
      <c r="P67" s="520"/>
      <c r="U67" s="1264"/>
      <c r="V67" s="2315"/>
      <c r="W67" s="2315"/>
      <c r="X67" s="2315"/>
      <c r="Y67" s="2315"/>
      <c r="Z67" s="2315"/>
      <c r="AA67" s="2315"/>
      <c r="AB67" s="2315"/>
      <c r="AC67" s="2315"/>
      <c r="AD67" s="2315"/>
      <c r="AE67" s="2315"/>
      <c r="AF67" s="2315"/>
      <c r="AG67" s="2315"/>
      <c r="AH67" s="2315"/>
      <c r="AI67" s="2315"/>
      <c r="AJ67" s="2315"/>
      <c r="AK67" s="2315"/>
      <c r="AL67" s="2315"/>
      <c r="AM67" s="2315"/>
      <c r="AN67" s="2315"/>
      <c r="AO67" s="2315"/>
      <c r="AP67" s="2315"/>
      <c r="AQ67" s="2315"/>
      <c r="AW67" s="1166">
        <v>34</v>
      </c>
    </row>
    <row customHeight="1" ht="21">
      <c r="P68" s="520"/>
      <c r="V68" s="2315"/>
      <c r="W68" s="2315"/>
      <c r="X68" s="2315"/>
      <c r="Y68" s="2315"/>
      <c r="Z68" s="2315"/>
      <c r="AA68" s="2315"/>
      <c r="AB68" s="2315"/>
      <c r="AC68" s="2315"/>
      <c r="AD68" s="2315"/>
      <c r="AE68" s="2315"/>
      <c r="AF68" s="2315"/>
      <c r="AG68" s="2315"/>
      <c r="AH68" s="2315"/>
      <c r="AI68" s="2315"/>
      <c r="AJ68" s="2315"/>
      <c r="AK68" s="2315"/>
      <c r="AL68" s="2315"/>
      <c r="AM68" s="2315"/>
      <c r="AN68" s="2315"/>
      <c r="AO68" s="2315"/>
      <c r="AP68" s="2315"/>
      <c r="AQ68" s="2315"/>
      <c r="AW68" s="1166">
        <v>20</v>
      </c>
    </row>
    <row customHeight="1" ht="14.699999999999998">
      <c r="P69" s="520"/>
      <c r="AW69" s="1166">
        <v>14</v>
      </c>
    </row>
    <row customHeight="1" ht="28.5">
      <c r="P70" s="520"/>
      <c r="V70" s="2315"/>
      <c r="W70" s="2315"/>
      <c r="X70" s="2315"/>
      <c r="Y70" s="2315"/>
      <c r="Z70" s="2315"/>
      <c r="AA70" s="2315"/>
      <c r="AB70" s="2315"/>
      <c r="AC70" s="2315"/>
      <c r="AD70" s="2315"/>
      <c r="AE70" s="2315"/>
      <c r="AF70" s="2315"/>
      <c r="AG70" s="2315"/>
      <c r="AH70" s="2315"/>
      <c r="AI70" s="2315"/>
      <c r="AJ70" s="2315"/>
      <c r="AK70" s="2315"/>
      <c r="AL70" s="2315"/>
      <c r="AM70" s="2315"/>
      <c r="AN70" s="2315"/>
      <c r="AO70" s="2315"/>
      <c r="AP70" s="2315"/>
      <c r="AQ70" s="2315"/>
      <c r="AW70" s="1166">
        <v>27</v>
      </c>
    </row>
    <row customHeight="1" ht="18.75">
      <c r="P71" s="520"/>
      <c r="V71" s="2315"/>
      <c r="W71" s="2315"/>
      <c r="X71" s="2315"/>
      <c r="Y71" s="2315"/>
      <c r="Z71" s="2315"/>
      <c r="AA71" s="2315"/>
      <c r="AB71" s="2315"/>
      <c r="AC71" s="2315"/>
      <c r="AD71" s="2315"/>
      <c r="AE71" s="2315"/>
      <c r="AF71" s="2315"/>
      <c r="AG71" s="2315"/>
      <c r="AH71" s="2315"/>
      <c r="AI71" s="2315"/>
      <c r="AJ71" s="2315"/>
      <c r="AK71" s="2315"/>
      <c r="AL71" s="2315"/>
      <c r="AM71" s="2315"/>
      <c r="AN71" s="2315"/>
      <c r="AO71" s="2315"/>
      <c r="AP71" s="2315"/>
      <c r="AQ71" s="2315"/>
      <c r="AW71" s="1166">
        <v>18</v>
      </c>
    </row>
    <row customHeight="1" ht="22.5" hidden="1">
      <c r="A72" s="1166" t="s">
        <v>83</v>
      </c>
      <c r="B72" s="1166">
        <v>0</v>
      </c>
      <c r="C72" s="1166">
        <v>0</v>
      </c>
      <c r="D72" s="1166">
        <v>0</v>
      </c>
      <c r="E72" s="1166">
        <v>0</v>
      </c>
      <c r="F72" s="1166">
        <v>0</v>
      </c>
      <c r="G72" s="1166">
        <v>0</v>
      </c>
      <c r="H72" s="1166">
        <v>0</v>
      </c>
      <c r="I72" s="1166">
        <v>0</v>
      </c>
      <c r="J72" s="1166">
        <v>0</v>
      </c>
      <c r="K72" s="1166">
        <v>0</v>
      </c>
      <c r="L72" s="1166">
        <v>0</v>
      </c>
      <c r="M72" s="1338">
        <v>0</v>
      </c>
      <c r="N72" s="1339">
        <v>0</v>
      </c>
      <c r="O72" s="1339">
        <v>0</v>
      </c>
      <c r="P72" s="1339">
        <v>0</v>
      </c>
      <c r="Q72" s="1339">
        <v>0</v>
      </c>
      <c r="R72" s="355">
        <v>3</v>
      </c>
      <c r="S72" s="355">
        <v>3</v>
      </c>
      <c r="T72" s="355">
        <v>3</v>
      </c>
      <c r="U72" s="592">
        <v>12</v>
      </c>
      <c r="V72" s="1166">
        <v>31</v>
      </c>
      <c r="W72" s="1166">
        <v>0</v>
      </c>
      <c r="X72" s="1166">
        <v>0</v>
      </c>
      <c r="Y72" s="1166">
        <v>0</v>
      </c>
      <c r="Z72" s="1166">
        <v>0</v>
      </c>
      <c r="AA72" s="1166">
        <v>0</v>
      </c>
      <c r="AB72" s="1166">
        <v>0</v>
      </c>
      <c r="AC72" s="1166">
        <v>0</v>
      </c>
      <c r="AD72" s="1166">
        <v>0</v>
      </c>
      <c r="AE72" s="1166">
        <v>0</v>
      </c>
      <c r="AF72" s="1166">
        <v>0</v>
      </c>
      <c r="AG72" s="1166">
        <v>21</v>
      </c>
      <c r="AH72" s="1166">
        <v>21</v>
      </c>
      <c r="AI72" s="1166">
        <v>21</v>
      </c>
      <c r="AJ72" s="1166">
        <v>21</v>
      </c>
      <c r="AK72" s="1166">
        <v>21</v>
      </c>
      <c r="AL72" s="1166">
        <v>11</v>
      </c>
      <c r="AM72" s="1166">
        <v>3</v>
      </c>
      <c r="AN72" s="1166">
        <v>11</v>
      </c>
      <c r="AO72" s="1166">
        <v>8</v>
      </c>
      <c r="AP72" s="1166">
        <v>4</v>
      </c>
      <c r="AQ72" s="1166">
        <v>115</v>
      </c>
      <c r="AR72" s="522">
        <v>10</v>
      </c>
      <c r="AS72" s="522">
        <v>10</v>
      </c>
      <c r="AT72" s="522">
        <v>10</v>
      </c>
      <c r="AU72" s="522">
        <v>10</v>
      </c>
      <c r="AV72" s="522">
        <v>10</v>
      </c>
      <c r="AW72" s="116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BFCBA88-4098-8A28-1E68-747A2BE920F7}" mc:Ignorable="x14ac xr xr2 xr3">
  <sheetPr>
    <tabColor rgb="FFCCCCFF"/>
  </sheetPr>
  <dimension ref="A1:Q79"/>
  <sheetViews>
    <sheetView topLeftCell="C2" showGridLines="0" zoomScale="90" workbookViewId="0" tabSelected="1">
      <selection activeCell="I68" sqref="I68"/>
    </sheetView>
  </sheetViews>
  <sheetFormatPr defaultColWidth="9.140625" customHeight="1" defaultRowHeight="11.25"/>
  <cols>
    <col min="1" max="1" style="798" width="10.7109375" hidden="1" customWidth="1"/>
    <col min="2" max="2" style="743" width="10.7109375" hidden="1" customWidth="1"/>
    <col min="3" max="3" style="541" width="3.00390625" customWidth="1"/>
    <col min="4" max="4" style="1646" width="1.00390625" customWidth="1"/>
    <col min="5" max="6" style="1646" width="55.00390625" customWidth="1"/>
    <col min="7" max="7" style="2155" width="1.00390625" customWidth="1"/>
    <col min="8" max="8" style="1646" width="18.00390625" hidden="1" customWidth="1"/>
    <col min="9" max="9" style="542" width="59.00390625" customWidth="1"/>
    <col min="10" max="10" style="1377" width="52.140625" hidden="1" customWidth="1"/>
    <col min="11" max="11" style="1646" width="8.00390625" customWidth="1"/>
    <col min="12" max="12" style="1646" width="77.00390625" customWidth="1"/>
    <col min="13" max="16" style="1646" width="8.00390625" customWidth="1"/>
    <col min="17" max="17" style="1646" width="12.00390625" hidden="1" customWidth="1"/>
  </cols>
  <sheetData>
    <row s="633" customFormat="1" customHeight="1" ht="3">
      <c r="A1" s="794"/>
      <c r="B1" s="252"/>
      <c r="F1" s="253" t="s">
        <v>13</v>
      </c>
      <c r="G1" s="422"/>
      <c r="H1" s="82"/>
      <c r="I1" s="422"/>
      <c r="J1" s="882"/>
      <c r="Q1" s="253" t="s">
        <v>14</v>
      </c>
    </row>
    <row s="1643" customFormat="1" customHeight="1" ht="14.25">
      <c r="A2" s="794"/>
      <c r="B2" s="109"/>
      <c r="E2" s="1750" t="str">
        <f>code</f>
        <v>Код отчёта: PP110.OPEN.INFO.BALANCE.HEAT.EIAS</v>
      </c>
      <c r="F2" s="280"/>
      <c r="G2" s="256"/>
      <c r="H2" s="256"/>
      <c r="I2" s="256"/>
      <c r="J2" s="883"/>
      <c r="K2" s="256"/>
      <c r="Q2" s="82">
        <v>14</v>
      </c>
    </row>
    <row customHeight="1" ht="14.699999999999998">
      <c r="E3" s="257" t="str">
        <f>version</f>
        <v>Версия отчёта: 1.1.6</v>
      </c>
      <c r="F3" s="280"/>
      <c r="G3" s="781"/>
      <c r="H3" s="781"/>
      <c r="I3" s="781"/>
      <c r="J3" s="884"/>
      <c r="K3" s="99"/>
      <c r="Q3" s="85">
        <v>14</v>
      </c>
    </row>
    <row s="1623" customFormat="1" customHeight="1" ht="6.3">
      <c r="A4" s="795"/>
      <c r="B4" s="243"/>
      <c r="C4" s="244"/>
      <c r="D4" s="245"/>
      <c r="E4" s="254"/>
      <c r="F4" s="255"/>
      <c r="G4" s="782"/>
      <c r="H4" s="420"/>
      <c r="I4" s="422"/>
      <c r="J4" s="885"/>
      <c r="Q4" s="247">
        <v>6</v>
      </c>
    </row>
    <row customHeight="1" ht="39.75">
      <c r="D5" s="86"/>
      <c r="E5" s="2125"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26"/>
      <c r="G5" s="783"/>
      <c r="J5" s="886"/>
      <c r="Q5" s="85">
        <v>38</v>
      </c>
    </row>
    <row s="1623" customFormat="1" customHeight="1" ht="6.3">
      <c r="A6" s="795"/>
      <c r="B6" s="243"/>
      <c r="C6" s="244"/>
      <c r="D6" s="245"/>
      <c r="E6" s="248"/>
      <c r="F6" s="249"/>
      <c r="G6" s="783"/>
      <c r="H6" s="420"/>
      <c r="I6" s="422"/>
      <c r="J6" s="885"/>
      <c r="Q6" s="247">
        <v>6</v>
      </c>
    </row>
    <row customHeight="1" ht="21">
      <c r="D7" s="86"/>
      <c r="E7" s="402" t="s">
        <v>15</v>
      </c>
      <c r="F7" s="226" t="s">
        <v>16</v>
      </c>
      <c r="G7" s="783"/>
      <c r="Q7" s="85">
        <v>20</v>
      </c>
    </row>
    <row s="1623" customFormat="1" customHeight="1" ht="6.3">
      <c r="A8" s="796"/>
      <c r="B8" s="243"/>
      <c r="C8" s="244"/>
      <c r="D8" s="250"/>
      <c r="E8" s="248"/>
      <c r="F8" s="251"/>
      <c r="G8" s="88"/>
      <c r="H8" s="420"/>
      <c r="I8" s="422"/>
      <c r="J8" s="888"/>
      <c r="Q8" s="247">
        <v>6</v>
      </c>
    </row>
    <row s="1646" customFormat="1" customHeight="1" ht="19.5" hidden="1">
      <c r="A9" s="795"/>
      <c r="B9" s="109"/>
      <c r="C9" s="419"/>
      <c r="D9" s="421"/>
      <c r="E9" s="1176" t="s">
        <v>17</v>
      </c>
      <c r="F9" s="1929"/>
      <c r="G9" s="783"/>
      <c r="I9" s="1908" t="str">
        <f>IF(TITLE_STRUCTURE_INFO_ROIV="","","раскрывается "&amp;INDEX(ROIV_INFO_COMMENT,MATCH(TITLE_STRUCTURE_INFO_ROIV,ROIV_INFO_LIST,0)))</f>
        <v/>
      </c>
      <c r="J9" s="887"/>
      <c r="Q9" s="420">
        <v>0</v>
      </c>
    </row>
    <row s="1623" customFormat="1" customHeight="1" ht="24" hidden="1">
      <c r="A10" s="796"/>
      <c r="B10" s="437"/>
      <c r="C10" s="438"/>
      <c r="D10" s="250"/>
      <c r="E10" s="1176" t="s">
        <v>18</v>
      </c>
      <c r="F10" s="2074" t="s">
        <v>19</v>
      </c>
      <c r="G10" s="88"/>
      <c r="H10" s="420"/>
      <c r="I10" s="422"/>
      <c r="J10" s="888"/>
      <c r="Q10" s="441">
        <v>24</v>
      </c>
    </row>
    <row customHeight="1" ht="22.5" hidden="1">
      <c r="A11" s="2128" t="s">
        <v>20</v>
      </c>
      <c r="D11" s="86"/>
      <c r="E11" s="1176" t="s">
        <v>21</v>
      </c>
      <c r="F11" s="1742" t="s">
        <v>22</v>
      </c>
      <c r="G11" s="88"/>
      <c r="H11" s="784" t="s">
        <v>23</v>
      </c>
      <c r="J11" s="887" t="s">
        <v>24</v>
      </c>
      <c r="Q11" s="85">
        <v>0</v>
      </c>
    </row>
    <row customHeight="1" ht="22.5" hidden="1">
      <c r="A12" s="2128"/>
      <c r="D12" s="86"/>
      <c r="E12" s="1176" t="s">
        <v>25</v>
      </c>
      <c r="F12" s="1742"/>
      <c r="G12" s="84"/>
      <c r="J12" s="887" t="s">
        <v>26</v>
      </c>
      <c r="Q12" s="85">
        <v>0</v>
      </c>
    </row>
    <row s="1646" customFormat="1" customHeight="1" ht="22.5" hidden="1">
      <c r="A13" s="799" t="s">
        <v>27</v>
      </c>
      <c r="B13" s="109"/>
      <c r="C13" s="419"/>
      <c r="D13" s="421"/>
      <c r="E13" s="1785" t="s">
        <v>28</v>
      </c>
      <c r="F13" s="1742" t="s">
        <v>22</v>
      </c>
      <c r="G13" s="88"/>
      <c r="H13" s="781"/>
      <c r="I13" s="422"/>
      <c r="J13" s="1786" t="s">
        <v>29</v>
      </c>
      <c r="Q13" s="420">
        <v>0</v>
      </c>
    </row>
    <row s="1646" customFormat="1" customHeight="1" ht="27">
      <c r="A14" s="799" t="s">
        <v>30</v>
      </c>
      <c r="B14" s="109"/>
      <c r="C14" s="419"/>
      <c r="D14" s="421"/>
      <c r="E14" s="1176" t="s">
        <v>31</v>
      </c>
      <c r="F14" s="1777">
        <v>2025</v>
      </c>
      <c r="G14" s="88"/>
      <c r="H14" s="781"/>
      <c r="I14" s="422"/>
      <c r="J14" s="887" t="s">
        <v>32</v>
      </c>
      <c r="Q14" s="420">
        <v>0</v>
      </c>
    </row>
    <row s="1646" customFormat="1" customHeight="1" ht="19.5" hidden="1">
      <c r="A15" s="799" t="s">
        <v>33</v>
      </c>
      <c r="B15" s="109"/>
      <c r="C15" s="419"/>
      <c r="D15" s="421"/>
      <c r="E15" s="1176" t="s">
        <v>34</v>
      </c>
      <c r="F15" s="1777"/>
      <c r="G15" s="88"/>
      <c r="H15" s="781"/>
      <c r="I15" s="422"/>
      <c r="J15" s="887" t="s">
        <v>35</v>
      </c>
      <c r="Q15" s="420">
        <v>0</v>
      </c>
    </row>
    <row s="1646" customFormat="1" customHeight="1" ht="19.5" hidden="1">
      <c r="A16" s="795"/>
      <c r="B16" s="109"/>
      <c r="C16" s="419"/>
      <c r="D16" s="421"/>
      <c r="E16" s="1176" t="s">
        <v>36</v>
      </c>
      <c r="F16" s="1221"/>
      <c r="G16" s="468"/>
      <c r="H16" s="784" t="s">
        <v>23</v>
      </c>
      <c r="I16" s="422"/>
      <c r="J16" s="887"/>
      <c r="Q16" s="420">
        <v>20</v>
      </c>
    </row>
    <row customHeight="1" ht="21">
      <c r="D17" s="86"/>
      <c r="E17" s="402" t="s">
        <v>37</v>
      </c>
      <c r="F17" s="227" t="s">
        <v>38</v>
      </c>
      <c r="G17" s="84"/>
      <c r="H17" s="784" t="s">
        <v>23</v>
      </c>
      <c r="Q17" s="85">
        <v>20</v>
      </c>
    </row>
    <row customHeight="1" ht="25.5" hidden="1">
      <c r="D18" s="86"/>
      <c r="E18" s="1785" t="s">
        <v>39</v>
      </c>
      <c r="F18" s="1743"/>
      <c r="G18" s="84"/>
      <c r="I18" s="785"/>
      <c r="J18" s="2127" t="s">
        <v>40</v>
      </c>
      <c r="Q18" s="85">
        <v>0</v>
      </c>
    </row>
    <row customHeight="1" ht="25.5" hidden="1">
      <c r="D19" s="86"/>
      <c r="E19" s="117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4"/>
      <c r="I19" s="785"/>
      <c r="J19" s="2127"/>
      <c r="Q19" s="85">
        <v>0</v>
      </c>
    </row>
    <row customHeight="1" ht="22.5" hidden="1">
      <c r="D20" s="86"/>
      <c r="E20" s="87"/>
      <c r="F20" s="281" t="str">
        <f>"Первичное "&amp;IF(TEMPLATE_GROUP="P","установление тарифов","предложение по тарифам")</f>
        <v>Первичное предложение по тарифам</v>
      </c>
      <c r="G20" s="84"/>
      <c r="I20" s="405"/>
      <c r="J20" s="886" t="s">
        <v>41</v>
      </c>
      <c r="Q20" s="85">
        <v>0</v>
      </c>
    </row>
    <row customHeight="1" ht="19.5" hidden="1">
      <c r="D21" s="86"/>
      <c r="E21" s="402" t="str">
        <f>"Дата "&amp;IF(TEMPLATE_GROUP="P","документа","подачи заявления")&amp;" об утверждении тарифов"</f>
        <v>Дата подачи заявления об утверждении тарифов</v>
      </c>
      <c r="F21" s="1742"/>
      <c r="G21" s="84"/>
      <c r="I21" s="786"/>
      <c r="Q21" s="85">
        <v>0</v>
      </c>
    </row>
    <row customHeight="1" ht="19.5" hidden="1">
      <c r="D22" s="86"/>
      <c r="E22" s="402" t="str">
        <f>"Номер "&amp;IF(TEMPLATE_GROUP="P","документа","подачи заявления")&amp;" об утверждении тарифов"</f>
        <v>Номер подачи заявления об утверждении тарифов</v>
      </c>
      <c r="F22" s="227"/>
      <c r="G22" s="84"/>
      <c r="I22" s="786"/>
      <c r="Q22" s="85">
        <v>0</v>
      </c>
    </row>
    <row customHeight="1" ht="22.5" hidden="1">
      <c r="D23" s="86"/>
      <c r="E23" s="402" t="s">
        <v>42</v>
      </c>
      <c r="F23" s="227"/>
      <c r="G23" s="84"/>
      <c r="Q23" s="85">
        <v>0</v>
      </c>
    </row>
    <row customHeight="1" ht="19.5" hidden="1">
      <c r="D24" s="86"/>
      <c r="E24" s="402" t="s">
        <v>43</v>
      </c>
      <c r="F24" s="227"/>
      <c r="G24" s="84"/>
      <c r="Q24" s="85">
        <v>0</v>
      </c>
    </row>
    <row customHeight="1" ht="22.5" hidden="1">
      <c r="D25" s="86"/>
      <c r="E25" s="87"/>
      <c r="F25" s="281" t="str">
        <f>"Изменение "&amp;IF(TEMPLATE_GROUP="P","тарифов","предложения по тарифам")</f>
        <v>Изменение предложения по тарифам</v>
      </c>
      <c r="G25" s="84"/>
      <c r="J25" s="886" t="s">
        <v>44</v>
      </c>
      <c r="Q25" s="85">
        <v>0</v>
      </c>
    </row>
    <row customHeight="1" ht="19.5" hidden="1">
      <c r="D26" s="86"/>
      <c r="E26" s="402" t="str">
        <f>"Дата "&amp;IF(TEMPLATE_GROUP="P","принятия решения","подачи заявления")&amp;" об изменении тарифов"</f>
        <v>Дата подачи заявления об изменении тарифов</v>
      </c>
      <c r="F26" s="1743"/>
      <c r="G26" s="84"/>
      <c r="Q26" s="85">
        <v>0</v>
      </c>
    </row>
    <row customHeight="1" ht="19.5" hidden="1">
      <c r="D27" s="86"/>
      <c r="E27" s="1176" t="str">
        <f>"Номер "&amp;IF(TEMPLATE_GROUP="P","принятия решения","заявления")&amp;" об изменении тарифов"</f>
        <v>Номер заявления об изменении тарифов</v>
      </c>
      <c r="F27" s="229"/>
      <c r="G27" s="84"/>
      <c r="Q27" s="85">
        <v>0</v>
      </c>
    </row>
    <row customHeight="1" ht="24.75" hidden="1">
      <c r="D28" s="86"/>
      <c r="E28" s="402" t="s">
        <v>45</v>
      </c>
      <c r="F28" s="229"/>
      <c r="G28" s="84"/>
      <c r="Q28" s="85">
        <v>0</v>
      </c>
    </row>
    <row customHeight="1" ht="19.5" hidden="1">
      <c r="D29" s="86"/>
      <c r="E29" s="402" t="s">
        <v>43</v>
      </c>
      <c r="F29" s="229"/>
      <c r="G29" s="84"/>
      <c r="Q29" s="85">
        <v>0</v>
      </c>
    </row>
    <row s="1623" customFormat="1" customHeight="1" ht="6.3">
      <c r="A30" s="796"/>
      <c r="B30" s="243"/>
      <c r="C30" s="244"/>
      <c r="D30" s="250"/>
      <c r="E30" s="248"/>
      <c r="F30" s="251"/>
      <c r="G30" s="88"/>
      <c r="H30" s="420"/>
      <c r="I30" s="422"/>
      <c r="J30" s="885"/>
      <c r="Q30" s="247">
        <v>6</v>
      </c>
    </row>
    <row customHeight="1" ht="21">
      <c r="C31" s="89"/>
      <c r="D31" s="90"/>
      <c r="E31" s="402" t="str">
        <f>"Наименование "&amp;IF(TEMPLATE_GROUP="ROIV","органа тарифного регулирования","ЮЛ / ИП")</f>
        <v>Наименование ЮЛ / ИП</v>
      </c>
      <c r="F31" s="228" t="s">
        <v>46</v>
      </c>
      <c r="G31" s="787"/>
      <c r="Q31" s="85">
        <v>20</v>
      </c>
    </row>
    <row customHeight="1" ht="21" hidden="1">
      <c r="C32" s="89"/>
      <c r="D32" s="90"/>
      <c r="E32" s="403" t="s">
        <v>47</v>
      </c>
      <c r="F32" s="228"/>
      <c r="G32" s="787"/>
      <c r="Q32" s="85">
        <v>20</v>
      </c>
    </row>
    <row customHeight="1" ht="21">
      <c r="C33" s="89"/>
      <c r="D33" s="90"/>
      <c r="E33" s="402" t="s">
        <v>48</v>
      </c>
      <c r="F33" s="228" t="s">
        <v>49</v>
      </c>
      <c r="G33" s="787"/>
      <c r="Q33" s="85">
        <v>20</v>
      </c>
    </row>
    <row customHeight="1" ht="21">
      <c r="C34" s="89"/>
      <c r="D34" s="90"/>
      <c r="E34" s="402" t="s">
        <v>50</v>
      </c>
      <c r="F34" s="228" t="s">
        <v>51</v>
      </c>
      <c r="G34" s="787"/>
      <c r="H34" s="91"/>
      <c r="Q34" s="85">
        <v>20</v>
      </c>
    </row>
    <row s="1623" customFormat="1" customHeight="1" ht="11.549999999999999">
      <c r="A35" s="796"/>
      <c r="B35" s="243"/>
      <c r="C35" s="244"/>
      <c r="D35" s="250"/>
      <c r="E35" s="248"/>
      <c r="F35" s="251"/>
      <c r="G35" s="88"/>
      <c r="H35" s="420"/>
      <c r="I35" s="422"/>
      <c r="J35" s="885"/>
      <c r="Q35" s="247">
        <v>11</v>
      </c>
    </row>
    <row customHeight="1" ht="19.5">
      <c r="A36" s="890"/>
      <c r="D36" s="90"/>
      <c r="E36" s="402" t="s">
        <v>52</v>
      </c>
      <c r="F36" s="1221" t="s">
        <v>53</v>
      </c>
      <c r="G36" s="88"/>
      <c r="Q36" s="85">
        <v>0</v>
      </c>
    </row>
    <row customHeight="1" ht="21">
      <c r="A37" s="890"/>
      <c r="D37" s="90"/>
      <c r="E37" s="402" t="s">
        <v>54</v>
      </c>
      <c r="F37" s="1221" t="s">
        <v>55</v>
      </c>
      <c r="G37" s="88"/>
      <c r="Q37" s="85">
        <v>20</v>
      </c>
    </row>
    <row s="1623" customFormat="1" customHeight="1" ht="6.3">
      <c r="A38" s="796"/>
      <c r="B38" s="243"/>
      <c r="C38" s="244"/>
      <c r="D38" s="245"/>
      <c r="E38" s="246"/>
      <c r="F38" s="1064"/>
      <c r="G38" s="84"/>
      <c r="H38" s="420"/>
      <c r="I38" s="422"/>
      <c r="J38" s="887"/>
      <c r="Q38" s="247">
        <v>6</v>
      </c>
    </row>
    <row customHeight="1" ht="36.75">
      <c r="A39" s="796"/>
      <c r="D39" s="86"/>
      <c r="E39" s="402" t="s">
        <v>56</v>
      </c>
      <c r="F39" s="721" t="s">
        <v>19</v>
      </c>
      <c r="G39" s="84"/>
      <c r="H39" s="784" t="s">
        <v>23</v>
      </c>
      <c r="Q39" s="85">
        <v>35</v>
      </c>
    </row>
    <row s="1623" customFormat="1" customHeight="1" ht="6" hidden="1">
      <c r="A40" s="795"/>
      <c r="B40" s="437"/>
      <c r="C40" s="438"/>
      <c r="D40" s="439"/>
      <c r="E40" s="440"/>
      <c r="F40" s="1064"/>
      <c r="G40" s="84"/>
      <c r="H40" s="420"/>
      <c r="I40" s="422"/>
      <c r="J40" s="887"/>
      <c r="Q40" s="441">
        <v>6</v>
      </c>
    </row>
    <row s="1646" customFormat="1" customHeight="1" ht="26.25" hidden="1">
      <c r="A41" s="799" t="s">
        <v>27</v>
      </c>
      <c r="B41" s="424"/>
      <c r="C41" s="419"/>
      <c r="D41" s="421"/>
      <c r="E41" s="40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1" t="s">
        <v>19</v>
      </c>
      <c r="G41" s="84"/>
      <c r="I41" s="422"/>
      <c r="J41" s="887"/>
      <c r="Q41" s="420">
        <v>0</v>
      </c>
    </row>
    <row s="1623" customFormat="1" customHeight="1" ht="6" hidden="1">
      <c r="A42" s="795"/>
      <c r="B42" s="437"/>
      <c r="C42" s="438"/>
      <c r="D42" s="439"/>
      <c r="E42" s="440"/>
      <c r="F42" s="1064"/>
      <c r="G42" s="84"/>
      <c r="H42" s="420"/>
      <c r="I42" s="422"/>
      <c r="J42" s="885"/>
      <c r="Q42" s="441">
        <v>0</v>
      </c>
    </row>
    <row s="1646" customFormat="1" customHeight="1" ht="27" hidden="1">
      <c r="A43" s="795"/>
      <c r="B43" s="424"/>
      <c r="C43" s="419"/>
      <c r="D43" s="421"/>
      <c r="E43" s="402" t="s">
        <v>57</v>
      </c>
      <c r="F43" s="721" t="s">
        <v>19</v>
      </c>
      <c r="G43" s="84"/>
      <c r="I43" s="422"/>
      <c r="J43" s="887"/>
      <c r="Q43" s="420">
        <v>0</v>
      </c>
    </row>
    <row s="1646" customFormat="1" customHeight="1" ht="27" hidden="1">
      <c r="A44" s="795"/>
      <c r="B44" s="424"/>
      <c r="C44" s="419"/>
      <c r="D44" s="421"/>
      <c r="E44" s="1176" t="s">
        <v>58</v>
      </c>
      <c r="F44" s="1896"/>
      <c r="G44" s="84"/>
      <c r="I44" s="422"/>
      <c r="J44" s="887"/>
      <c r="Q44" s="420">
        <v>0</v>
      </c>
    </row>
    <row s="1623" customFormat="1" customHeight="1" ht="6" hidden="1">
      <c r="A45" s="795"/>
      <c r="B45" s="437"/>
      <c r="C45" s="438"/>
      <c r="D45" s="439"/>
      <c r="E45" s="440"/>
      <c r="F45" s="1064"/>
      <c r="G45" s="84"/>
      <c r="H45" s="420"/>
      <c r="I45" s="422"/>
      <c r="J45" s="887"/>
      <c r="Q45" s="441">
        <v>0</v>
      </c>
    </row>
    <row s="1623" customFormat="1" customHeight="1" ht="24.75" hidden="1">
      <c r="A46" s="795"/>
      <c r="B46" s="437"/>
      <c r="C46" s="438"/>
      <c r="D46" s="439"/>
      <c r="E46" s="1176" t="s">
        <v>59</v>
      </c>
      <c r="F46" s="721" t="s">
        <v>19</v>
      </c>
      <c r="G46" s="84"/>
      <c r="H46" s="420"/>
      <c r="I46" s="422"/>
      <c r="J46" s="887"/>
      <c r="Q46" s="441">
        <v>0</v>
      </c>
    </row>
    <row s="1646" customFormat="1" customHeight="1" ht="24.75" hidden="1">
      <c r="A47" s="795"/>
      <c r="B47" s="424"/>
      <c r="C47" s="419"/>
      <c r="D47" s="421"/>
      <c r="E47" s="1176" t="s">
        <v>60</v>
      </c>
      <c r="F47" s="721" t="s">
        <v>19</v>
      </c>
      <c r="G47" s="84"/>
      <c r="I47" s="422"/>
      <c r="J47" s="887"/>
      <c r="Q47" s="420">
        <v>0</v>
      </c>
    </row>
    <row s="1623" customFormat="1" customHeight="1" ht="6" hidden="1">
      <c r="A48" s="795"/>
      <c r="B48" s="243"/>
      <c r="C48" s="244"/>
      <c r="D48" s="245"/>
      <c r="E48" s="246"/>
      <c r="F48" s="1064"/>
      <c r="G48" s="84"/>
      <c r="H48" s="420"/>
      <c r="I48" s="422"/>
      <c r="J48" s="887"/>
      <c r="Q48" s="247">
        <v>0</v>
      </c>
    </row>
    <row customHeight="1" ht="29.25" hidden="1">
      <c r="B49" s="159"/>
      <c r="D49" s="86"/>
      <c r="E49" s="40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1"/>
      <c r="G49" s="84"/>
      <c r="Q49" s="85">
        <v>0</v>
      </c>
    </row>
    <row s="1623" customFormat="1" customHeight="1" ht="6">
      <c r="A50" s="796"/>
      <c r="B50" s="437"/>
      <c r="C50" s="438"/>
      <c r="D50" s="250"/>
      <c r="E50" s="248"/>
      <c r="F50" s="251"/>
      <c r="G50" s="88"/>
      <c r="H50" s="420"/>
      <c r="I50" s="422"/>
      <c r="J50" s="887"/>
      <c r="Q50" s="441">
        <v>0</v>
      </c>
    </row>
    <row s="1646" customFormat="1" customHeight="1" ht="28.5">
      <c r="A51" s="797"/>
      <c r="B51" s="424"/>
      <c r="C51" s="541"/>
      <c r="D51" s="542"/>
      <c r="E51" s="402" t="s">
        <v>61</v>
      </c>
      <c r="F51" s="721" t="s">
        <v>19</v>
      </c>
      <c r="G51" s="543"/>
      <c r="I51" s="545"/>
      <c r="J51" s="889"/>
      <c r="P51" s="546"/>
      <c r="Q51" s="544">
        <v>0</v>
      </c>
    </row>
    <row s="1623" customFormat="1" customHeight="1" ht="6">
      <c r="A52" s="796"/>
      <c r="B52" s="437"/>
      <c r="C52" s="438"/>
      <c r="D52" s="250"/>
      <c r="E52" s="248"/>
      <c r="F52" s="251"/>
      <c r="G52" s="88"/>
      <c r="H52" s="420"/>
      <c r="I52" s="422"/>
      <c r="J52" s="885"/>
      <c r="Q52" s="441">
        <v>0</v>
      </c>
    </row>
    <row s="1646" customFormat="1" customHeight="1" ht="27">
      <c r="A53" s="797"/>
      <c r="B53" s="424"/>
      <c r="C53" s="541"/>
      <c r="D53" s="542"/>
      <c r="E53" s="402" t="s">
        <v>62</v>
      </c>
      <c r="F53" s="1059" t="s">
        <v>63</v>
      </c>
      <c r="G53" s="543"/>
      <c r="I53" s="545"/>
      <c r="J53" s="889"/>
      <c r="P53" s="546"/>
      <c r="Q53" s="544">
        <v>0</v>
      </c>
    </row>
    <row s="1646" customFormat="1" customHeight="1" ht="27">
      <c r="A54" s="797"/>
      <c r="B54" s="424"/>
      <c r="C54" s="541"/>
      <c r="D54" s="542"/>
      <c r="E54" s="402" t="s">
        <v>64</v>
      </c>
      <c r="F54" s="2663">
        <v>46112</v>
      </c>
      <c r="G54" s="543"/>
      <c r="I54" s="545"/>
      <c r="J54" s="889"/>
      <c r="P54" s="546"/>
      <c r="Q54" s="544">
        <v>0</v>
      </c>
    </row>
    <row s="1623" customFormat="1" customHeight="1" ht="6">
      <c r="A55" s="796"/>
      <c r="B55" s="437"/>
      <c r="C55" s="438"/>
      <c r="D55" s="250"/>
      <c r="E55" s="248"/>
      <c r="F55" s="251"/>
      <c r="G55" s="88"/>
      <c r="H55" s="420"/>
      <c r="I55" s="422"/>
      <c r="J55" s="885"/>
      <c r="Q55" s="441">
        <v>0</v>
      </c>
    </row>
    <row s="1646" customFormat="1" customHeight="1" ht="25.5">
      <c r="A56" s="797"/>
      <c r="B56" s="424"/>
      <c r="C56" s="541"/>
      <c r="D56" s="542"/>
      <c r="E56" s="402" t="s">
        <v>65</v>
      </c>
      <c r="F56" s="1059" t="s">
        <v>19</v>
      </c>
      <c r="G56" s="543"/>
      <c r="I56" s="545"/>
      <c r="J56" s="889"/>
      <c r="P56" s="546"/>
      <c r="Q56" s="544">
        <v>0</v>
      </c>
    </row>
    <row s="1623" customFormat="1" customHeight="1" ht="6">
      <c r="A57" s="796"/>
      <c r="B57" s="437"/>
      <c r="C57" s="438"/>
      <c r="D57" s="250"/>
      <c r="E57" s="248"/>
      <c r="F57" s="251"/>
      <c r="G57" s="88"/>
      <c r="H57" s="420"/>
      <c r="I57" s="422"/>
      <c r="J57" s="885"/>
      <c r="Q57" s="441">
        <v>0</v>
      </c>
    </row>
    <row s="1646" customFormat="1" customHeight="1" ht="15">
      <c r="A58" s="797"/>
      <c r="B58" s="424"/>
      <c r="C58" s="541"/>
      <c r="D58" s="542"/>
      <c r="E58" s="402" t="s">
        <v>66</v>
      </c>
      <c r="F58" s="1059" t="s">
        <v>63</v>
      </c>
      <c r="G58" s="543"/>
      <c r="I58" s="545"/>
      <c r="J58" s="889"/>
      <c r="P58" s="546"/>
      <c r="Q58" s="544">
        <v>0</v>
      </c>
    </row>
    <row s="1646" customFormat="1" customHeight="1" ht="75">
      <c r="A59" s="797"/>
      <c r="B59" s="424"/>
      <c r="C59" s="541"/>
      <c r="D59" s="542"/>
      <c r="E59" s="40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00" t="s">
        <v>63</v>
      </c>
      <c r="G59" s="543"/>
      <c r="I59" s="545"/>
      <c r="J59" s="889"/>
      <c r="P59" s="546"/>
      <c r="Q59" s="544">
        <v>0</v>
      </c>
    </row>
    <row s="1646" customFormat="1" customHeight="1" ht="15">
      <c r="A60" s="797"/>
      <c r="B60" s="424"/>
      <c r="C60" s="541"/>
      <c r="D60" s="542"/>
      <c r="E60" s="1176" t="s">
        <v>67</v>
      </c>
      <c r="F60" s="1221" t="s">
        <v>68</v>
      </c>
      <c r="G60" s="543"/>
      <c r="I60" s="545"/>
      <c r="J60" s="889"/>
      <c r="P60" s="546"/>
      <c r="Q60" s="544">
        <v>0</v>
      </c>
    </row>
    <row s="1623" customFormat="1" customHeight="1" ht="6" hidden="1">
      <c r="A61" s="796"/>
      <c r="B61" s="437"/>
      <c r="C61" s="438"/>
      <c r="D61" s="439"/>
      <c r="E61" s="440"/>
      <c r="F61" s="1064"/>
      <c r="G61" s="84"/>
      <c r="H61" s="420"/>
      <c r="I61" s="422"/>
      <c r="J61" s="887"/>
      <c r="Q61" s="441">
        <v>0</v>
      </c>
    </row>
    <row s="1646" customFormat="1" customHeight="1" ht="33.75" hidden="1">
      <c r="A62" s="796"/>
      <c r="B62" s="109"/>
      <c r="C62" s="419"/>
      <c r="D62" s="421"/>
      <c r="E62" s="1176" t="s">
        <v>69</v>
      </c>
      <c r="F62" s="1681"/>
      <c r="G62" s="84"/>
      <c r="H62" s="784" t="s">
        <v>23</v>
      </c>
      <c r="I62" s="422"/>
      <c r="J62" s="887"/>
      <c r="Q62" s="420">
        <v>0</v>
      </c>
    </row>
    <row s="1623" customFormat="1" customHeight="1" ht="6.3">
      <c r="A63" s="796"/>
      <c r="B63" s="243"/>
      <c r="C63" s="244"/>
      <c r="D63" s="250"/>
      <c r="E63" s="248"/>
      <c r="F63" s="251"/>
      <c r="G63" s="88"/>
      <c r="H63" s="420"/>
      <c r="I63" s="422"/>
      <c r="J63" s="885"/>
      <c r="Q63" s="247">
        <v>6</v>
      </c>
    </row>
    <row customHeight="1" ht="21">
      <c r="A64" s="798"/>
      <c r="B64" s="110"/>
      <c r="D64" s="93"/>
      <c r="E64" s="402" t="s">
        <v>70</v>
      </c>
      <c r="F64" s="227" t="s">
        <v>71</v>
      </c>
      <c r="G64" s="88"/>
      <c r="Q64" s="85">
        <v>20</v>
      </c>
    </row>
    <row customHeight="1" ht="21">
      <c r="A65" s="798"/>
      <c r="B65" s="110"/>
      <c r="D65" s="93"/>
      <c r="E65" s="402" t="s">
        <v>72</v>
      </c>
      <c r="F65" s="227" t="s">
        <v>73</v>
      </c>
      <c r="G65" s="88"/>
      <c r="Q65" s="85">
        <v>20</v>
      </c>
    </row>
    <row customHeight="1" ht="36.75">
      <c r="D66" s="86"/>
      <c r="E66" s="404" t="s">
        <v>74</v>
      </c>
      <c r="F66" s="1065"/>
      <c r="G66" s="84"/>
      <c r="Q66" s="85">
        <v>35</v>
      </c>
    </row>
    <row customHeight="1" ht="21">
      <c r="A67" s="798"/>
      <c r="D67" s="421"/>
      <c r="E67" s="402" t="s">
        <v>75</v>
      </c>
      <c r="F67" s="282" t="s">
        <v>76</v>
      </c>
      <c r="G67" s="88"/>
      <c r="Q67" s="85">
        <v>20</v>
      </c>
    </row>
    <row customHeight="1" ht="21">
      <c r="A68" s="798"/>
      <c r="B68" s="110"/>
      <c r="D68" s="93"/>
      <c r="E68" s="402" t="s">
        <v>77</v>
      </c>
      <c r="F68" s="282" t="s">
        <v>78</v>
      </c>
      <c r="G68" s="88"/>
      <c r="Q68" s="85">
        <v>20</v>
      </c>
    </row>
    <row customHeight="1" ht="21">
      <c r="A69" s="798"/>
      <c r="B69" s="110"/>
      <c r="D69" s="93"/>
      <c r="E69" s="402" t="s">
        <v>79</v>
      </c>
      <c r="F69" s="282" t="s">
        <v>80</v>
      </c>
      <c r="G69" s="88"/>
      <c r="Q69" s="85">
        <v>20</v>
      </c>
    </row>
    <row customHeight="1" ht="21">
      <c r="D70" s="421"/>
      <c r="E70" s="402" t="s">
        <v>81</v>
      </c>
      <c r="F70" s="2896" t="s">
        <v>82</v>
      </c>
      <c r="G70" s="84"/>
      <c r="Q70" s="85">
        <v>20</v>
      </c>
    </row>
    <row customHeight="1" ht="21">
      <c r="A71" s="798"/>
      <c r="D71" s="84"/>
      <c r="F71" s="144"/>
      <c r="G71" s="88"/>
      <c r="Q71" s="85">
        <v>20</v>
      </c>
    </row>
    <row customHeight="1" ht="21">
      <c r="A72" s="798"/>
      <c r="B72" s="110"/>
      <c r="D72" s="93"/>
      <c r="E72" s="92"/>
      <c r="F72" s="1044" t="s">
        <v>13</v>
      </c>
      <c r="G72" s="88"/>
      <c r="Q72" s="85">
        <v>20</v>
      </c>
    </row>
    <row customHeight="1" ht="21">
      <c r="A73" s="798"/>
      <c r="B73" s="110"/>
      <c r="D73" s="93"/>
      <c r="E73" s="92"/>
      <c r="F73" s="145"/>
      <c r="G73" s="88"/>
      <c r="Q73" s="85">
        <v>20</v>
      </c>
    </row>
    <row customHeight="1" ht="21">
      <c r="A74" s="798"/>
      <c r="B74" s="110"/>
      <c r="D74" s="93"/>
      <c r="E74" s="97"/>
      <c r="F74" s="145"/>
      <c r="G74" s="88"/>
      <c r="Q74" s="85">
        <v>20</v>
      </c>
    </row>
    <row customHeight="1" ht="21">
      <c r="A75" s="798"/>
      <c r="B75" s="110"/>
      <c r="D75" s="93"/>
      <c r="E75" s="92"/>
      <c r="F75" s="145"/>
      <c r="G75" s="88"/>
      <c r="Q75" s="85">
        <v>20</v>
      </c>
    </row>
    <row customHeight="1" ht="11.549999999999999">
      <c r="Q76" s="85">
        <v>11</v>
      </c>
    </row>
    <row customHeight="1" ht="11.549999999999999">
      <c r="Q77" s="85">
        <v>11</v>
      </c>
    </row>
    <row customHeight="1" ht="11.549999999999999">
      <c r="E78" s="401"/>
      <c r="F78" s="401"/>
      <c r="G78" s="401"/>
      <c r="H78" s="401"/>
      <c r="I78" s="401"/>
      <c r="Q78" s="85">
        <v>11</v>
      </c>
    </row>
    <row customHeight="1" ht="11.25" hidden="1">
      <c r="A79" s="795" t="s">
        <v>83</v>
      </c>
      <c r="B79" s="109">
        <v>0</v>
      </c>
      <c r="C79" s="83">
        <v>3</v>
      </c>
      <c r="D79" s="85">
        <v>1</v>
      </c>
      <c r="E79" s="85">
        <v>55</v>
      </c>
      <c r="F79" s="85">
        <v>54</v>
      </c>
      <c r="G79" s="782">
        <v>1</v>
      </c>
      <c r="H79" s="420">
        <v>0</v>
      </c>
      <c r="I79" s="422">
        <v>59</v>
      </c>
      <c r="J79" s="887">
        <v>0</v>
      </c>
      <c r="K79" s="85">
        <v>8</v>
      </c>
      <c r="L79" s="85">
        <v>77</v>
      </c>
      <c r="M79" s="85">
        <v>8</v>
      </c>
      <c r="N79" s="85">
        <v>8</v>
      </c>
      <c r="O79" s="85">
        <v>8</v>
      </c>
      <c r="P79" s="85">
        <v>8</v>
      </c>
      <c r="Q79" s="85">
        <v>11</v>
      </c>
    </row>
  </sheetData>
  <sheetProtection formatColumns="0" formatRows="0" sort="0" autoFilter="0" insertRows="0" insertColumns="1" deleteRows="0" deleteColumns="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BFA15D5-8758-8D63-8F18-D34E12474EE8}"/>
    <hyperlink ref="H16" location="Титульный!H9" display="Как заполнить?" tooltip="Помощь по работе с полями отчётной формы" xr:uid="{55BF3E07-3E39-30E7-3F2D-D4A23A53D168}"/>
    <hyperlink ref="H17" location="Титульный!H9" display="Как заполнить?" tooltip="Помощь по работе с полями отчётной формы" xr:uid="{15AF56E8-AF18-4578-3C0A-F601DC5072E2}"/>
    <hyperlink ref="H39" location="Титульный!H9" display="Как заполнить?" tooltip="Помощь по работе с полями отчётной формы" xr:uid="{BCC8EA1B-8BCB-3B88-F468-1ED3F983D6A5}"/>
    <hyperlink ref="H62" location="Титульный!H9" display="Как заполнить?" tooltip="Помощь по работе с полями отчётной формы" xr:uid="{B930D777-7248-7B18-A0F8-0061FB69BC59}"/>
    <hyperlink ref="F70" r:id="rId4" xr:uid="{0422B64D-DF9F-B168-7048-4080C574219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8E77D8-412B-2F76-00F8-4AF073DA232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1786" width="3.00390625" customWidth="1"/>
    <col min="17" max="17" style="1382" width="3.00390625" customWidth="1"/>
    <col min="18" max="18" style="355" width="3.00390625" customWidth="1"/>
    <col min="19" max="19" style="2437" width="12.00390625" customWidth="1"/>
    <col min="20" max="20" style="1646" width="31.00390625" customWidth="1"/>
    <col min="21" max="21" style="1646" width="0.140625" customWidth="1"/>
    <col min="22" max="23" style="1646" width="21.7109375" hidden="1" customWidth="1"/>
    <col min="24" max="24" style="1646" width="11.7109375" hidden="1" customWidth="1"/>
    <col min="25" max="25" style="1646" width="3.7109375" hidden="1" customWidth="1"/>
    <col min="26" max="26" style="1646" width="11.7109375" hidden="1" customWidth="1"/>
    <col min="27" max="27" style="1646" width="8.57421875" hidden="1" customWidth="1"/>
    <col min="28" max="28" style="1646" width="5.421875" customWidth="1"/>
    <col min="29" max="30" style="1646" width="3.00390625" customWidth="1"/>
    <col min="31" max="31" style="1646" width="24.00390625" customWidth="1"/>
    <col min="32" max="32" style="1646" width="3.7109375" customWidth="1"/>
    <col min="33" max="34" style="1646" width="3.00390625" customWidth="1"/>
    <col min="35" max="35" style="1646" width="24.00390625" customWidth="1"/>
    <col min="36" max="36" style="1646" width="3.7109375" customWidth="1"/>
    <col min="37" max="38" style="1646" width="3.00390625" customWidth="1"/>
    <col min="39" max="39" style="1646" width="18.00390625" customWidth="1"/>
    <col min="40" max="41" style="1646" width="21.00390625" customWidth="1"/>
    <col min="42" max="42" style="1646" width="11.00390625" customWidth="1"/>
    <col min="43" max="43" style="1646" width="3.7109375" customWidth="1"/>
    <col min="44" max="44" style="1646" width="11.00390625" customWidth="1"/>
    <col min="45" max="45" style="1646" width="8.57421875" hidden="1" customWidth="1"/>
    <col min="46" max="46" style="1646" width="4.00390625" customWidth="1"/>
    <col min="47" max="47" style="1646" width="115.00390625" customWidth="1"/>
    <col min="48" max="52" style="1653" width="10.00390625" customWidth="1"/>
    <col min="53" max="53" style="1646" width="10.57421875" hidden="1"/>
  </cols>
  <sheetData>
    <row customHeight="1" ht="22.5" hidden="1">
      <c r="W1" s="338"/>
      <c r="X1" s="338"/>
      <c r="AO1" s="338"/>
      <c r="AP1" s="338"/>
      <c r="BA1" s="1166" t="s">
        <v>14</v>
      </c>
    </row>
    <row customHeight="1" ht="21" hidden="1">
      <c r="A2" s="1374"/>
      <c r="B2" s="1374"/>
      <c r="C2" s="1374"/>
      <c r="D2" s="1374"/>
      <c r="E2" s="2288">
        <v>1</v>
      </c>
      <c r="F2" s="1374"/>
      <c r="G2" s="1374"/>
      <c r="H2" s="1374"/>
      <c r="I2" s="1374"/>
      <c r="J2" s="1374"/>
      <c r="K2" s="1374"/>
      <c r="L2" s="1375"/>
      <c r="M2" s="1376"/>
      <c r="N2" s="1376"/>
      <c r="O2" s="1376"/>
      <c r="P2" s="1420"/>
      <c r="Q2" s="884"/>
      <c r="R2" s="366"/>
      <c r="S2" s="1347">
        <f>INDEX(PT_DIFFERENTIATION_NUM_NTAR,MATCH(A2,PT_DIFFERENTIATION_NTAR_ID,0))</f>
      </c>
      <c r="T2" s="309" t="s">
        <v>139</v>
      </c>
      <c r="U2" s="311"/>
      <c r="V2" s="2273"/>
      <c r="W2" s="2273"/>
      <c r="X2" s="2273"/>
      <c r="Y2" s="2273"/>
      <c r="Z2" s="2273"/>
      <c r="AA2" s="2274"/>
      <c r="AB2" s="2272">
        <f>INDEX(PT_DIFFERENTIATION_NTAR,MATCH(A2,PT_DIFFERENTIATION_NTAR_ID,0))</f>
      </c>
      <c r="AC2" s="2273"/>
      <c r="AD2" s="2273"/>
      <c r="AE2" s="2273"/>
      <c r="AF2" s="2273"/>
      <c r="AG2" s="2273"/>
      <c r="AH2" s="2273"/>
      <c r="AI2" s="2273"/>
      <c r="AJ2" s="2273"/>
      <c r="AK2" s="2273"/>
      <c r="AL2" s="2273"/>
      <c r="AM2" s="2273"/>
      <c r="AN2" s="2273"/>
      <c r="AO2" s="2273"/>
      <c r="AP2" s="2273"/>
      <c r="AQ2" s="2273"/>
      <c r="AR2" s="2273"/>
      <c r="AS2" s="2273"/>
      <c r="AT2" s="2274"/>
      <c r="AU2" s="1269" t="s">
        <v>410</v>
      </c>
      <c r="AW2" s="511"/>
      <c r="AX2" s="511" t="str">
        <f>IF(T2="","",T2)</f>
        <v>Наименование тарифа</v>
      </c>
      <c r="AY2" s="511"/>
      <c r="AZ2" s="511"/>
      <c r="BA2" s="1166">
        <v>0</v>
      </c>
    </row>
    <row customHeight="1" ht="21" hidden="1">
      <c r="A3" s="1374"/>
      <c r="B3" s="1374"/>
      <c r="C3" s="1374"/>
      <c r="D3" s="1374"/>
      <c r="E3" s="2289"/>
      <c r="F3" s="2288">
        <v>1</v>
      </c>
      <c r="G3" s="1374"/>
      <c r="H3" s="1374"/>
      <c r="I3" s="1374"/>
      <c r="J3" s="1374"/>
      <c r="K3" s="1374"/>
      <c r="L3" s="1375"/>
      <c r="M3" s="1376"/>
      <c r="N3" s="1376"/>
      <c r="O3" s="1376"/>
      <c r="P3" s="1421"/>
      <c r="Q3" s="1422"/>
      <c r="R3" s="364"/>
      <c r="S3" s="1347">
        <f>INDEX(PT_DIFFERENTIATION_NUM_TER,MATCH(B3,PT_DIFFERENTIATION_TER_ID,0))</f>
      </c>
      <c r="T3" s="319" t="s">
        <v>411</v>
      </c>
      <c r="U3" s="311"/>
      <c r="V3" s="2273"/>
      <c r="W3" s="2273"/>
      <c r="X3" s="2273"/>
      <c r="Y3" s="2273"/>
      <c r="Z3" s="2273"/>
      <c r="AA3" s="2274"/>
      <c r="AB3" s="2272">
        <f>INDEX(PT_DIFFERENTIATION_TER,MATCH(B3,PT_DIFFERENTIATION_TER_ID,0))</f>
      </c>
      <c r="AC3" s="2273"/>
      <c r="AD3" s="2273"/>
      <c r="AE3" s="2273"/>
      <c r="AF3" s="2273"/>
      <c r="AG3" s="2273"/>
      <c r="AH3" s="2273"/>
      <c r="AI3" s="2273"/>
      <c r="AJ3" s="2273"/>
      <c r="AK3" s="2273"/>
      <c r="AL3" s="2273"/>
      <c r="AM3" s="2273"/>
      <c r="AN3" s="2273"/>
      <c r="AO3" s="2273"/>
      <c r="AP3" s="2273"/>
      <c r="AQ3" s="2273"/>
      <c r="AR3" s="2273"/>
      <c r="AS3" s="2273"/>
      <c r="AT3" s="2274"/>
      <c r="AU3" s="1269" t="s">
        <v>412</v>
      </c>
      <c r="AW3" s="511"/>
      <c r="AX3" s="511" t="str">
        <f>IF(T3="","",T3)</f>
        <v>Территория действия тарифа</v>
      </c>
      <c r="AY3" s="511"/>
      <c r="AZ3" s="511"/>
      <c r="BA3" s="1166">
        <v>0</v>
      </c>
    </row>
    <row customHeight="1" ht="22.5" hidden="1">
      <c r="A4" s="1374"/>
      <c r="B4" s="1374"/>
      <c r="C4" s="1374"/>
      <c r="D4" s="1374"/>
      <c r="E4" s="2289"/>
      <c r="F4" s="2289"/>
      <c r="G4" s="2288">
        <v>1</v>
      </c>
      <c r="H4" s="1374"/>
      <c r="I4" s="1374"/>
      <c r="J4" s="1374"/>
      <c r="K4" s="1374"/>
      <c r="L4" s="1375"/>
      <c r="M4" s="1376"/>
      <c r="N4" s="1376"/>
      <c r="O4" s="1376"/>
      <c r="P4" s="1423"/>
      <c r="Q4" s="1422"/>
      <c r="R4" s="364"/>
      <c r="S4" s="1347">
        <f>INDEX(PT_DIFFERENTIATION_NUM_CS,MATCH(C4,PT_DIFFERENTIATION_CS_ID,0))</f>
      </c>
      <c r="T4" s="320" t="s">
        <v>413</v>
      </c>
      <c r="U4" s="311"/>
      <c r="V4" s="2273"/>
      <c r="W4" s="2273"/>
      <c r="X4" s="2273"/>
      <c r="Y4" s="2273"/>
      <c r="Z4" s="2273"/>
      <c r="AA4" s="2274"/>
      <c r="AB4" s="2272">
        <f>INDEX(PT_DIFFERENTIATION_CS,MATCH(C4,PT_DIFFERENTIATION_CS_ID,0))</f>
      </c>
      <c r="AC4" s="2273"/>
      <c r="AD4" s="2273"/>
      <c r="AE4" s="2273"/>
      <c r="AF4" s="2273"/>
      <c r="AG4" s="2273"/>
      <c r="AH4" s="2273"/>
      <c r="AI4" s="2273"/>
      <c r="AJ4" s="2273"/>
      <c r="AK4" s="2273"/>
      <c r="AL4" s="2273"/>
      <c r="AM4" s="2273"/>
      <c r="AN4" s="2273"/>
      <c r="AO4" s="2273"/>
      <c r="AP4" s="2273"/>
      <c r="AQ4" s="2273"/>
      <c r="AR4" s="2273"/>
      <c r="AS4" s="2273"/>
      <c r="AT4" s="2274"/>
      <c r="AU4" s="1269" t="s">
        <v>414</v>
      </c>
      <c r="AW4" s="511"/>
      <c r="AX4" s="511" t="str">
        <f>IF(T4="","",T4)</f>
        <v>Наименование системы теплоснабжения </v>
      </c>
      <c r="AY4" s="511"/>
      <c r="AZ4" s="511"/>
      <c r="BA4" s="1166">
        <v>0</v>
      </c>
    </row>
    <row customHeight="1" ht="21" hidden="1">
      <c r="A5" s="1374"/>
      <c r="B5" s="1374"/>
      <c r="C5" s="1374"/>
      <c r="D5" s="1374"/>
      <c r="E5" s="2289"/>
      <c r="F5" s="2289"/>
      <c r="G5" s="2289"/>
      <c r="H5" s="2288">
        <v>1</v>
      </c>
      <c r="I5" s="1374"/>
      <c r="J5" s="1374"/>
      <c r="K5" s="1374"/>
      <c r="L5" s="1375"/>
      <c r="M5" s="1376"/>
      <c r="N5" s="1376"/>
      <c r="O5" s="1376"/>
      <c r="P5" s="1423"/>
      <c r="Q5" s="1422"/>
      <c r="R5" s="364"/>
      <c r="S5" s="1347">
        <f>INDEX(PT_DIFFERENTIATION_NUM_IST_TE,MATCH(D5,PT_DIFFERENTIATION_IST_TE_ID,0))</f>
      </c>
      <c r="T5" s="321" t="s">
        <v>415</v>
      </c>
      <c r="U5" s="311"/>
      <c r="V5" s="2273"/>
      <c r="W5" s="2273"/>
      <c r="X5" s="2273"/>
      <c r="Y5" s="2273"/>
      <c r="Z5" s="2273"/>
      <c r="AA5" s="2274"/>
      <c r="AB5" s="2272">
        <f>INDEX(PT_DIFFERENTIATION_IST_TE,MATCH(D5,PT_DIFFERENTIATION_IST_TE_ID,0))</f>
      </c>
      <c r="AC5" s="2273"/>
      <c r="AD5" s="2273"/>
      <c r="AE5" s="2273"/>
      <c r="AF5" s="2273"/>
      <c r="AG5" s="2273"/>
      <c r="AH5" s="2273"/>
      <c r="AI5" s="2273"/>
      <c r="AJ5" s="2273"/>
      <c r="AK5" s="2273"/>
      <c r="AL5" s="2273"/>
      <c r="AM5" s="2273"/>
      <c r="AN5" s="2273"/>
      <c r="AO5" s="2273"/>
      <c r="AP5" s="2273"/>
      <c r="AQ5" s="2273"/>
      <c r="AR5" s="2273"/>
      <c r="AS5" s="2273"/>
      <c r="AT5" s="2274"/>
      <c r="AU5" s="1269" t="s">
        <v>416</v>
      </c>
      <c r="AW5" s="511"/>
      <c r="AX5" s="511" t="str">
        <f>IF(T5="","",T5)</f>
        <v>Источник тепловой энергии  </v>
      </c>
      <c r="AY5" s="511"/>
      <c r="AZ5" s="511"/>
      <c r="BA5" s="1166">
        <v>0</v>
      </c>
    </row>
    <row s="1653" customFormat="1" customHeight="1" ht="0.75" hidden="1">
      <c r="A6" s="1354"/>
      <c r="B6" s="1354"/>
      <c r="C6" s="1354"/>
      <c r="D6" s="1354"/>
      <c r="E6" s="2289"/>
      <c r="F6" s="2289"/>
      <c r="G6" s="2289"/>
      <c r="H6" s="2289"/>
      <c r="I6" s="2286">
        <f>S5&amp;".1"</f>
      </c>
      <c r="J6" s="1354"/>
      <c r="K6" s="1354"/>
      <c r="L6" s="1357" t="s">
        <v>417</v>
      </c>
      <c r="M6" s="521"/>
      <c r="N6" s="521"/>
      <c r="O6" s="521"/>
      <c r="P6" s="2287">
        <v>1</v>
      </c>
      <c r="Q6" s="1342"/>
      <c r="R6" s="367"/>
      <c r="S6" s="1053"/>
      <c r="T6" s="1394"/>
      <c r="U6" s="1395"/>
      <c r="V6" s="2327"/>
      <c r="W6" s="2327"/>
      <c r="X6" s="2327"/>
      <c r="Y6" s="2327"/>
      <c r="Z6" s="2327"/>
      <c r="AA6" s="2328"/>
      <c r="AB6" s="2326"/>
      <c r="AC6" s="2327"/>
      <c r="AD6" s="2327"/>
      <c r="AE6" s="2327"/>
      <c r="AF6" s="2327"/>
      <c r="AG6" s="2327"/>
      <c r="AH6" s="2327"/>
      <c r="AI6" s="2327"/>
      <c r="AJ6" s="2327"/>
      <c r="AK6" s="2327"/>
      <c r="AL6" s="2327"/>
      <c r="AM6" s="2327"/>
      <c r="AN6" s="2327"/>
      <c r="AO6" s="2327"/>
      <c r="AP6" s="2327"/>
      <c r="AQ6" s="2327"/>
      <c r="AR6" s="2327"/>
      <c r="AS6" s="2327"/>
      <c r="AT6" s="2328"/>
      <c r="AU6" s="1396"/>
      <c r="AW6" s="511"/>
      <c r="AX6" s="511" t="str">
        <f>IF(T6="","",T6)</f>
        <v/>
      </c>
      <c r="AY6" s="511"/>
      <c r="AZ6" s="511"/>
      <c r="BA6" s="522">
        <v>0</v>
      </c>
    </row>
    <row s="1653" customFormat="1" customHeight="1" ht="0.75" hidden="1">
      <c r="A7" s="1354"/>
      <c r="B7" s="1354"/>
      <c r="C7" s="1354"/>
      <c r="D7" s="1354"/>
      <c r="E7" s="2289"/>
      <c r="F7" s="2289"/>
      <c r="G7" s="2289"/>
      <c r="H7" s="2289"/>
      <c r="I7" s="2316"/>
      <c r="J7" s="2286">
        <f>S5&amp;".1"</f>
      </c>
      <c r="K7" s="1354"/>
      <c r="L7" s="1357"/>
      <c r="M7" s="521"/>
      <c r="N7" s="521"/>
      <c r="O7" s="521"/>
      <c r="P7" s="2287"/>
      <c r="Q7" s="2287">
        <v>1</v>
      </c>
      <c r="R7" s="368"/>
      <c r="S7" s="1053"/>
      <c r="T7" s="1410"/>
      <c r="U7" s="1395"/>
      <c r="V7" s="2327"/>
      <c r="W7" s="2327"/>
      <c r="X7" s="2327"/>
      <c r="Y7" s="2327"/>
      <c r="Z7" s="2327"/>
      <c r="AA7" s="2328"/>
      <c r="AB7" s="2326"/>
      <c r="AC7" s="2327"/>
      <c r="AD7" s="2327"/>
      <c r="AE7" s="2327"/>
      <c r="AF7" s="2327"/>
      <c r="AG7" s="2327"/>
      <c r="AH7" s="2327"/>
      <c r="AI7" s="2327"/>
      <c r="AJ7" s="2327"/>
      <c r="AK7" s="2327"/>
      <c r="AL7" s="2327"/>
      <c r="AM7" s="2327"/>
      <c r="AN7" s="2327"/>
      <c r="AO7" s="2327"/>
      <c r="AP7" s="2327"/>
      <c r="AQ7" s="2327"/>
      <c r="AR7" s="2327"/>
      <c r="AS7" s="2327"/>
      <c r="AT7" s="2328"/>
      <c r="AU7" s="1396"/>
      <c r="AW7" s="511"/>
      <c r="AX7" s="511" t="str">
        <f>IF(T7="","",T7)</f>
        <v/>
      </c>
      <c r="AY7" s="511"/>
      <c r="AZ7" s="511"/>
      <c r="BA7" s="522">
        <v>0</v>
      </c>
    </row>
    <row customHeight="1" ht="21" hidden="1">
      <c r="A8" s="1374"/>
      <c r="B8" s="1374"/>
      <c r="C8" s="1374"/>
      <c r="D8" s="1374"/>
      <c r="E8" s="2289"/>
      <c r="F8" s="2289"/>
      <c r="G8" s="2289"/>
      <c r="H8" s="2289"/>
      <c r="I8" s="2316"/>
      <c r="J8" s="2316"/>
      <c r="K8" s="2286">
        <f>S5&amp;".1"</f>
      </c>
      <c r="L8" s="1375"/>
      <c r="P8" s="2287"/>
      <c r="Q8" s="2287"/>
      <c r="R8" s="2377">
        <v>1</v>
      </c>
      <c r="S8" s="2371">
        <f>$K8</f>
      </c>
      <c r="T8" s="2374"/>
      <c r="U8" s="311"/>
      <c r="V8" s="762"/>
      <c r="W8" s="1268"/>
      <c r="X8" s="2295"/>
      <c r="Y8" s="2137" t="s">
        <v>63</v>
      </c>
      <c r="Z8" s="2295"/>
      <c r="AA8" s="2137" t="s">
        <v>63</v>
      </c>
      <c r="AB8" s="2137" t="s">
        <v>19</v>
      </c>
      <c r="AC8" s="2356"/>
      <c r="AD8" s="2235">
        <v>1</v>
      </c>
      <c r="AE8" s="2357"/>
      <c r="AF8" s="2137" t="s">
        <v>19</v>
      </c>
      <c r="AG8" s="2356"/>
      <c r="AH8" s="2235">
        <v>1</v>
      </c>
      <c r="AI8" s="2357"/>
      <c r="AJ8" s="2137" t="s">
        <v>19</v>
      </c>
      <c r="AK8" s="322"/>
      <c r="AL8" s="1348">
        <v>1</v>
      </c>
      <c r="AM8" s="1409"/>
      <c r="AN8" s="762"/>
      <c r="AO8" s="1268"/>
      <c r="AP8" s="1744"/>
      <c r="AQ8" s="1470" t="s">
        <v>63</v>
      </c>
      <c r="AR8" s="1744"/>
      <c r="AS8" s="1470" t="s">
        <v>63</v>
      </c>
      <c r="AT8" s="1359"/>
      <c r="AU8" s="2283" t="s">
        <v>474</v>
      </c>
      <c r="AV8" s="522">
        <f>STRCHECKDATE(V11:AT11)</f>
      </c>
      <c r="AW8" s="511"/>
      <c r="AX8" s="511" t="str">
        <f>IF(T8="","",T8)</f>
        <v/>
      </c>
      <c r="AY8" s="511"/>
      <c r="AZ8" s="511"/>
      <c r="BA8" s="1166">
        <v>0</v>
      </c>
    </row>
    <row customHeight="1" ht="11.25" hidden="1">
      <c r="A9" s="1374"/>
      <c r="B9" s="1374"/>
      <c r="C9" s="1374"/>
      <c r="D9" s="1374"/>
      <c r="E9" s="2289"/>
      <c r="F9" s="2289"/>
      <c r="G9" s="2289"/>
      <c r="H9" s="2289"/>
      <c r="I9" s="2316"/>
      <c r="J9" s="2316"/>
      <c r="K9" s="2286"/>
      <c r="L9" s="1375"/>
      <c r="P9" s="2287"/>
      <c r="Q9" s="2287"/>
      <c r="R9" s="2377"/>
      <c r="S9" s="2372"/>
      <c r="T9" s="2375"/>
      <c r="U9" s="311"/>
      <c r="V9" s="1404"/>
      <c r="W9" s="1408"/>
      <c r="X9" s="2295"/>
      <c r="Y9" s="2137"/>
      <c r="Z9" s="2295"/>
      <c r="AA9" s="2137"/>
      <c r="AB9" s="2137"/>
      <c r="AC9" s="2356"/>
      <c r="AD9" s="2235"/>
      <c r="AE9" s="2357"/>
      <c r="AF9" s="2137"/>
      <c r="AG9" s="2356"/>
      <c r="AH9" s="2235"/>
      <c r="AI9" s="2357"/>
      <c r="AJ9" s="2137"/>
      <c r="AK9" s="327"/>
      <c r="AL9" s="427"/>
      <c r="AM9" s="426" t="s">
        <v>475</v>
      </c>
      <c r="AN9" s="1404"/>
      <c r="AO9" s="1507"/>
      <c r="AP9" s="1404"/>
      <c r="AQ9" s="1404"/>
      <c r="AR9" s="1404"/>
      <c r="AS9" s="1404"/>
      <c r="AT9" s="1401"/>
      <c r="AU9" s="2284"/>
      <c r="AW9" s="511"/>
      <c r="AX9" s="511"/>
      <c r="AY9" s="511"/>
      <c r="AZ9" s="511"/>
      <c r="BA9" s="1166">
        <v>0</v>
      </c>
    </row>
    <row customHeight="1" ht="11.25" hidden="1">
      <c r="A10" s="1374"/>
      <c r="B10" s="1374"/>
      <c r="C10" s="1374"/>
      <c r="D10" s="1374"/>
      <c r="E10" s="2289"/>
      <c r="F10" s="2289"/>
      <c r="G10" s="2289"/>
      <c r="H10" s="2289"/>
      <c r="I10" s="2316"/>
      <c r="J10" s="2316"/>
      <c r="K10" s="2286"/>
      <c r="L10" s="1375"/>
      <c r="P10" s="2287"/>
      <c r="Q10" s="2287"/>
      <c r="R10" s="2377"/>
      <c r="S10" s="2372"/>
      <c r="T10" s="2375"/>
      <c r="U10" s="311"/>
      <c r="V10" s="1404"/>
      <c r="W10" s="1408"/>
      <c r="X10" s="2295"/>
      <c r="Y10" s="2137"/>
      <c r="Z10" s="2295"/>
      <c r="AA10" s="2137"/>
      <c r="AB10" s="2137"/>
      <c r="AC10" s="2356"/>
      <c r="AD10" s="2235"/>
      <c r="AE10" s="2357"/>
      <c r="AF10" s="2137"/>
      <c r="AG10" s="305"/>
      <c r="AH10" s="426"/>
      <c r="AI10" s="426" t="s">
        <v>476</v>
      </c>
      <c r="AJ10" s="1404"/>
      <c r="AK10" s="1404"/>
      <c r="AL10" s="1404"/>
      <c r="AM10" s="1404"/>
      <c r="AN10" s="1404"/>
      <c r="AO10" s="1507"/>
      <c r="AP10" s="1404"/>
      <c r="AQ10" s="1404"/>
      <c r="AR10" s="1404"/>
      <c r="AS10" s="1404"/>
      <c r="AT10" s="1401"/>
      <c r="AU10" s="2284"/>
      <c r="AW10" s="511"/>
      <c r="AX10" s="511"/>
      <c r="AY10" s="511"/>
      <c r="AZ10" s="511"/>
      <c r="BA10" s="1166">
        <v>0</v>
      </c>
    </row>
    <row customHeight="1" ht="11.25" hidden="1">
      <c r="A11" s="1374"/>
      <c r="B11" s="1374"/>
      <c r="C11" s="1374"/>
      <c r="D11" s="1374"/>
      <c r="E11" s="2289"/>
      <c r="F11" s="2289"/>
      <c r="G11" s="2289"/>
      <c r="H11" s="2289"/>
      <c r="I11" s="2316"/>
      <c r="J11" s="2316"/>
      <c r="K11" s="2286"/>
      <c r="L11" s="1375"/>
      <c r="P11" s="2287"/>
      <c r="Q11" s="2287"/>
      <c r="R11" s="2377"/>
      <c r="S11" s="2373"/>
      <c r="T11" s="2376"/>
      <c r="U11" s="311"/>
      <c r="V11" s="1404"/>
      <c r="W11" s="1407" t="str">
        <f>X8&amp;"-"&amp;Z8</f>
        <v>-</v>
      </c>
      <c r="X11" s="2296"/>
      <c r="Y11" s="2137"/>
      <c r="Z11" s="2296"/>
      <c r="AA11" s="2137"/>
      <c r="AB11" s="2137"/>
      <c r="AC11" s="323"/>
      <c r="AD11" s="325"/>
      <c r="AE11" s="426" t="s">
        <v>477</v>
      </c>
      <c r="AF11" s="1404"/>
      <c r="AG11" s="1404"/>
      <c r="AH11" s="1404"/>
      <c r="AI11" s="1404"/>
      <c r="AJ11" s="1404"/>
      <c r="AK11" s="1404"/>
      <c r="AL11" s="1404"/>
      <c r="AM11" s="1404"/>
      <c r="AN11" s="1404"/>
      <c r="AO11" s="1405" t="str">
        <f>AP8&amp;"-"&amp;AR8</f>
        <v>-</v>
      </c>
      <c r="AP11" s="1404"/>
      <c r="AQ11" s="1404"/>
      <c r="AR11" s="1404"/>
      <c r="AS11" s="1404"/>
      <c r="AT11" s="1360"/>
      <c r="AU11" s="2284"/>
      <c r="AW11" s="511"/>
      <c r="AX11" s="511" t="str">
        <f>IF(T11="","",T11)</f>
        <v/>
      </c>
      <c r="AY11" s="511"/>
      <c r="AZ11" s="511"/>
      <c r="BA11" s="1166">
        <v>0</v>
      </c>
    </row>
    <row customHeight="1" ht="11.25" hidden="1">
      <c r="A12" s="1374"/>
      <c r="B12" s="1374"/>
      <c r="C12" s="1374"/>
      <c r="D12" s="1374"/>
      <c r="E12" s="2289"/>
      <c r="F12" s="2289"/>
      <c r="G12" s="2289"/>
      <c r="H12" s="2289"/>
      <c r="I12" s="2316"/>
      <c r="J12" s="2286"/>
      <c r="K12" s="1374"/>
      <c r="L12" s="1375"/>
      <c r="P12" s="2287"/>
      <c r="Q12" s="2287"/>
      <c r="R12" s="367"/>
      <c r="S12" s="1289"/>
      <c r="T12" s="298" t="s">
        <v>478</v>
      </c>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35"/>
      <c r="AU12" s="2285"/>
      <c r="AW12" s="511"/>
      <c r="AX12" s="511" t="str">
        <f>IF(T12="","",T12)</f>
        <v>Добавить строку</v>
      </c>
      <c r="AY12" s="511"/>
      <c r="AZ12" s="511"/>
      <c r="BA12" s="1166">
        <v>0</v>
      </c>
    </row>
    <row s="1653" customFormat="1" customHeight="1" ht="0.75" hidden="1">
      <c r="A13" s="1354"/>
      <c r="B13" s="1354"/>
      <c r="C13" s="1354"/>
      <c r="D13" s="1354"/>
      <c r="E13" s="2289"/>
      <c r="F13" s="2289"/>
      <c r="G13" s="2289"/>
      <c r="H13" s="2289"/>
      <c r="I13" s="2286"/>
      <c r="J13" s="1354"/>
      <c r="K13" s="1354"/>
      <c r="L13" s="1357"/>
      <c r="M13" s="521"/>
      <c r="N13" s="521"/>
      <c r="O13" s="521"/>
      <c r="P13" s="2287"/>
      <c r="Q13" s="1342"/>
      <c r="R13" s="367"/>
      <c r="S13" s="1397"/>
      <c r="T13" s="1398"/>
      <c r="U13" s="1399"/>
      <c r="V13" s="1399"/>
      <c r="W13" s="1399"/>
      <c r="X13" s="1399"/>
      <c r="Y13" s="1399"/>
      <c r="Z13" s="1399"/>
      <c r="AA13" s="1399"/>
      <c r="AB13" s="1399"/>
      <c r="AC13" s="1399"/>
      <c r="AD13" s="1399"/>
      <c r="AE13" s="1399"/>
      <c r="AF13" s="1399"/>
      <c r="AG13" s="1399"/>
      <c r="AH13" s="1399"/>
      <c r="AI13" s="1399"/>
      <c r="AJ13" s="1399"/>
      <c r="AK13" s="1399"/>
      <c r="AL13" s="1399"/>
      <c r="AM13" s="1399"/>
      <c r="AN13" s="1399"/>
      <c r="AO13" s="1399"/>
      <c r="AP13" s="1399"/>
      <c r="AQ13" s="1399"/>
      <c r="AR13" s="1399"/>
      <c r="AS13" s="1399"/>
      <c r="AT13" s="1399"/>
      <c r="AU13" s="1400"/>
      <c r="AW13" s="511"/>
      <c r="AX13" s="511" t="str">
        <f>IF(T13="","",T13)</f>
        <v/>
      </c>
      <c r="AY13" s="511"/>
      <c r="AZ13" s="511"/>
      <c r="BA13" s="522">
        <v>0</v>
      </c>
    </row>
    <row s="1653" customFormat="1" customHeight="1" ht="0.75" hidden="1">
      <c r="A14" s="1354"/>
      <c r="B14" s="1354"/>
      <c r="C14" s="1354"/>
      <c r="D14" s="1354"/>
      <c r="E14" s="2289"/>
      <c r="F14" s="2289"/>
      <c r="G14" s="2289"/>
      <c r="H14" s="2288"/>
      <c r="I14" s="1354"/>
      <c r="J14" s="1354"/>
      <c r="K14" s="1354"/>
      <c r="L14" s="1357"/>
      <c r="M14" s="1326"/>
      <c r="N14" s="1326"/>
      <c r="O14" s="529"/>
      <c r="P14" s="391"/>
      <c r="Q14" s="1355"/>
      <c r="R14" s="1412"/>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400"/>
      <c r="AW14" s="511"/>
      <c r="AX14" s="511" t="str">
        <f>IF(T14="","",T14)</f>
        <v/>
      </c>
      <c r="AY14" s="511"/>
      <c r="AZ14" s="511"/>
      <c r="BA14" s="522">
        <v>0</v>
      </c>
    </row>
    <row s="1653" customFormat="1" customHeight="1" ht="0.75" hidden="1">
      <c r="A15" s="1354"/>
      <c r="B15" s="1354"/>
      <c r="C15" s="1354"/>
      <c r="D15" s="1325"/>
      <c r="E15" s="2289"/>
      <c r="F15" s="2289"/>
      <c r="G15" s="2288"/>
      <c r="H15" s="1325"/>
      <c r="I15" s="1325"/>
      <c r="J15" s="1325"/>
      <c r="K15" s="1325"/>
      <c r="L15" s="1350"/>
      <c r="M15" s="1326"/>
      <c r="N15" s="1326"/>
      <c r="P15" s="1327"/>
      <c r="Q15" s="1328"/>
      <c r="R15" s="1327"/>
      <c r="S15" s="1333"/>
      <c r="T15" s="1336" t="s">
        <v>428</v>
      </c>
      <c r="U15" s="1335"/>
      <c r="V15" s="1335"/>
      <c r="W15" s="1335"/>
      <c r="X15" s="1335"/>
      <c r="Y15" s="1335"/>
      <c r="Z15" s="1335"/>
      <c r="AA15" s="1335"/>
      <c r="AB15" s="1335"/>
      <c r="AC15" s="1335"/>
      <c r="AD15" s="1335"/>
      <c r="AE15" s="1335"/>
      <c r="AF15" s="1335"/>
      <c r="AG15" s="1335"/>
      <c r="AH15" s="1335"/>
      <c r="AI15" s="1335"/>
      <c r="AJ15" s="1335"/>
      <c r="AK15" s="1335"/>
      <c r="AL15" s="1335"/>
      <c r="AM15" s="1335"/>
      <c r="AN15" s="1335"/>
      <c r="AO15" s="1335"/>
      <c r="AP15" s="1335"/>
      <c r="AQ15" s="1335"/>
      <c r="AR15" s="1335"/>
      <c r="AS15" s="1335"/>
      <c r="AT15" s="1335"/>
      <c r="AU15" s="1335"/>
      <c r="AW15" s="800"/>
      <c r="AX15" s="800" t="str">
        <f>IF(T15="","",T15)</f>
        <v>Добавить источник для дифференциации</v>
      </c>
      <c r="AY15" s="800"/>
      <c r="AZ15" s="800"/>
      <c r="BA15" s="529">
        <v>0</v>
      </c>
    </row>
    <row s="1653" customFormat="1" customHeight="1" ht="0.75" hidden="1">
      <c r="A16" s="1354"/>
      <c r="B16" s="1354"/>
      <c r="C16" s="1325"/>
      <c r="D16" s="1325"/>
      <c r="E16" s="2289"/>
      <c r="F16" s="2288"/>
      <c r="G16" s="1325"/>
      <c r="H16" s="1325"/>
      <c r="I16" s="1325"/>
      <c r="J16" s="1325"/>
      <c r="K16" s="1325"/>
      <c r="L16" s="1350"/>
      <c r="M16" s="1332"/>
      <c r="N16" s="1332"/>
      <c r="P16" s="1327"/>
      <c r="Q16" s="1328"/>
      <c r="R16" s="1327"/>
      <c r="S16" s="1333"/>
      <c r="T16" s="1336" t="s">
        <v>429</v>
      </c>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W16" s="800"/>
      <c r="AX16" s="800" t="str">
        <f>IF(T16="","",T16)</f>
        <v>Добавить централизованную систему для дифференциации</v>
      </c>
      <c r="AY16" s="800"/>
      <c r="AZ16" s="800"/>
      <c r="BA16" s="529">
        <v>0</v>
      </c>
    </row>
    <row s="1653" customFormat="1" customHeight="1" ht="0.75" hidden="1">
      <c r="A17" s="1354"/>
      <c r="B17" s="1354"/>
      <c r="C17" s="1354"/>
      <c r="D17" s="1354"/>
      <c r="E17" s="2288"/>
      <c r="F17" s="1354"/>
      <c r="G17" s="1354"/>
      <c r="H17" s="1354"/>
      <c r="I17" s="1354"/>
      <c r="J17" s="1354"/>
      <c r="K17" s="1354"/>
      <c r="L17" s="1357"/>
      <c r="M17" s="1332"/>
      <c r="N17" s="1332"/>
      <c r="O17" s="529"/>
      <c r="P17" s="391"/>
      <c r="Q17" s="1355"/>
      <c r="R17" s="391"/>
      <c r="S17" s="1333"/>
      <c r="T17" s="1336" t="s">
        <v>430</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W17" s="511"/>
      <c r="AX17" s="511" t="str">
        <f>IF(T17="","",T17)</f>
        <v>Добавить территорию для дифференциации</v>
      </c>
      <c r="AY17" s="511"/>
      <c r="AZ17" s="511"/>
      <c r="BA17" s="522">
        <v>0</v>
      </c>
    </row>
    <row customHeight="1" ht="14.25" hidden="1">
      <c r="AA18" s="338"/>
      <c r="AS18" s="338"/>
      <c r="BA18" s="1166">
        <v>0</v>
      </c>
    </row>
    <row customHeight="1" ht="14.25" hidden="1">
      <c r="AB19" s="1335" t="s">
        <v>19</v>
      </c>
      <c r="AC19" s="1512"/>
      <c r="AD19" s="559">
        <v>1</v>
      </c>
      <c r="AE19" s="1513"/>
      <c r="AF19" s="1335" t="s">
        <v>19</v>
      </c>
      <c r="AG19" s="1512"/>
      <c r="AH19" s="559">
        <v>1</v>
      </c>
      <c r="AI19" s="1513"/>
      <c r="AJ19" s="1335" t="s">
        <v>19</v>
      </c>
      <c r="AK19" s="1514"/>
      <c r="AL19" s="559">
        <v>1</v>
      </c>
      <c r="AM19" s="1517"/>
      <c r="AN19" s="1414"/>
      <c r="AO19" s="1415"/>
      <c r="AP19" s="1746"/>
      <c r="AQ19" s="1471" t="s">
        <v>63</v>
      </c>
      <c r="AR19" s="1746"/>
      <c r="AS19" s="1471" t="s">
        <v>63</v>
      </c>
      <c r="BA19" s="1166">
        <v>0</v>
      </c>
    </row>
    <row customHeight="1" ht="14.25" hidden="1">
      <c r="AV20" s="507"/>
      <c r="AW20" s="507"/>
      <c r="AX20" s="507"/>
      <c r="AY20" s="507"/>
      <c r="AZ20" s="507"/>
      <c r="BA20" s="1166">
        <v>0</v>
      </c>
    </row>
    <row customHeight="1" ht="14.25" hidden="1">
      <c r="O21" s="1378" t="s">
        <v>431</v>
      </c>
      <c r="X21" s="1356"/>
      <c r="Z21" s="1356"/>
      <c r="AA21" s="338"/>
      <c r="AP21" s="1356"/>
      <c r="AR21" s="1356"/>
      <c r="AS21" s="338"/>
      <c r="AV21" s="507"/>
      <c r="AW21" s="507"/>
      <c r="AX21" s="507"/>
      <c r="AY21" s="507"/>
      <c r="AZ21" s="507"/>
      <c r="BA21" s="1166">
        <v>0</v>
      </c>
    </row>
    <row customHeight="1" ht="14.25" hidden="1">
      <c r="AA22" s="338"/>
      <c r="AS22" s="338"/>
      <c r="AV22" s="507"/>
      <c r="AW22" s="507"/>
      <c r="AX22" s="507"/>
      <c r="AY22" s="507"/>
      <c r="AZ22" s="507"/>
      <c r="BA22" s="1166">
        <v>0</v>
      </c>
    </row>
    <row s="1520" customFormat="1" customHeight="1" ht="14.25" hidden="1">
      <c r="M23" s="1519"/>
      <c r="N23" s="1519"/>
      <c r="O23" s="1520" t="s">
        <v>432</v>
      </c>
      <c r="P23" s="1519"/>
      <c r="Q23" s="1521"/>
      <c r="R23" s="1521"/>
      <c r="Y23" s="1518" t="s">
        <v>434</v>
      </c>
      <c r="AA23" s="1518" t="s">
        <v>435</v>
      </c>
      <c r="AB23" s="1518" t="s">
        <v>479</v>
      </c>
      <c r="AE23" s="1518" t="s">
        <v>480</v>
      </c>
      <c r="AF23" s="1518" t="s">
        <v>479</v>
      </c>
      <c r="AI23" s="1518" t="s">
        <v>481</v>
      </c>
      <c r="AJ23" s="1518" t="s">
        <v>479</v>
      </c>
      <c r="AM23" s="1518" t="s">
        <v>482</v>
      </c>
      <c r="AQ23" s="1518" t="s">
        <v>434</v>
      </c>
      <c r="AS23" s="1518" t="s">
        <v>435</v>
      </c>
      <c r="AV23" s="1522"/>
      <c r="AW23" s="1522"/>
      <c r="AX23" s="1522"/>
      <c r="AY23" s="1522"/>
      <c r="AZ23" s="1522"/>
      <c r="BA23" s="1518">
        <v>0</v>
      </c>
    </row>
    <row customHeight="1" ht="14.25" hidden="1">
      <c r="O24" s="1375"/>
      <c r="AV24" s="507"/>
      <c r="AW24" s="507"/>
      <c r="AX24" s="507"/>
      <c r="AY24" s="507"/>
      <c r="AZ24" s="507"/>
      <c r="BA24" s="1166">
        <v>0</v>
      </c>
    </row>
    <row customHeight="1" ht="14.25" hidden="1">
      <c r="O25" s="1375"/>
      <c r="AV25" s="507"/>
      <c r="AW25" s="507"/>
      <c r="AX25" s="507"/>
      <c r="AY25" s="507"/>
      <c r="AZ25" s="507"/>
      <c r="BA25" s="1166">
        <v>0</v>
      </c>
    </row>
    <row customHeight="1" ht="14.699999999999998">
      <c r="Q26" s="302"/>
      <c r="R26" s="387"/>
      <c r="S26" s="1286"/>
      <c r="T26" s="374"/>
      <c r="U26" s="374"/>
      <c r="V26" s="520"/>
      <c r="W26" s="520"/>
      <c r="X26" s="520"/>
      <c r="Y26" s="520"/>
      <c r="Z26" s="520"/>
      <c r="AA26" s="520"/>
      <c r="AB26" s="520"/>
      <c r="AC26" s="520"/>
      <c r="AD26" s="520"/>
      <c r="AE26" s="520"/>
      <c r="AF26" s="520"/>
      <c r="AG26" s="520"/>
      <c r="AH26" s="520"/>
      <c r="AI26" s="520"/>
      <c r="AJ26" s="520"/>
      <c r="AK26" s="520"/>
      <c r="AL26" s="520"/>
      <c r="AM26" s="520"/>
      <c r="AN26" s="520"/>
      <c r="AO26" s="520"/>
      <c r="AP26" s="520"/>
      <c r="AQ26" s="520"/>
      <c r="AR26" s="520"/>
      <c r="AS26" s="520"/>
      <c r="BA26" s="1166">
        <v>14</v>
      </c>
    </row>
    <row customHeight="1" ht="27.299999999999997">
      <c r="Q27" s="302"/>
      <c r="R27" s="387"/>
      <c r="S27" s="227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8"/>
      <c r="U27" s="2278"/>
      <c r="V27" s="2278"/>
      <c r="W27" s="2278"/>
      <c r="X27" s="2278"/>
      <c r="Y27" s="2278"/>
      <c r="Z27" s="2278"/>
      <c r="AA27" s="2278"/>
      <c r="AB27" s="2278"/>
      <c r="AC27" s="2278"/>
      <c r="AD27" s="2278"/>
      <c r="AE27" s="2278"/>
      <c r="AF27" s="2278"/>
      <c r="AG27" s="2278"/>
      <c r="AH27" s="2278"/>
      <c r="AI27" s="2278"/>
      <c r="AJ27" s="2278"/>
      <c r="AK27" s="2278"/>
      <c r="AL27" s="2278"/>
      <c r="AM27" s="2278"/>
      <c r="AN27" s="2278"/>
      <c r="AO27" s="2278"/>
      <c r="AP27" s="2278"/>
      <c r="AQ27" s="2278"/>
      <c r="AR27" s="2278"/>
      <c r="AS27" s="1254"/>
      <c r="BA27" s="1166">
        <v>26</v>
      </c>
    </row>
    <row customHeight="1" ht="14.699999999999998">
      <c r="Q28" s="302"/>
      <c r="R28" s="387"/>
      <c r="S28" s="2279" t="str">
        <f>IF(org=0,"Не определено",org)</f>
        <v>ПАО "КГК"</v>
      </c>
      <c r="T28" s="2279"/>
      <c r="U28" s="2279"/>
      <c r="V28" s="2279"/>
      <c r="W28" s="2279"/>
      <c r="X28" s="2279"/>
      <c r="Y28" s="2279"/>
      <c r="Z28" s="2279"/>
      <c r="AA28" s="2279"/>
      <c r="AB28" s="2279"/>
      <c r="AC28" s="2279"/>
      <c r="AD28" s="2279"/>
      <c r="AE28" s="2279"/>
      <c r="AF28" s="2279"/>
      <c r="AG28" s="2279"/>
      <c r="AH28" s="2279"/>
      <c r="AI28" s="2279"/>
      <c r="AJ28" s="2279"/>
      <c r="AK28" s="2279"/>
      <c r="AL28" s="2279"/>
      <c r="AM28" s="2279"/>
      <c r="AN28" s="2279"/>
      <c r="AO28" s="2279"/>
      <c r="AP28" s="2279"/>
      <c r="AQ28" s="2279"/>
      <c r="AR28" s="2279"/>
      <c r="AS28" s="1254"/>
      <c r="BA28" s="1166">
        <v>14</v>
      </c>
    </row>
    <row customHeight="1" ht="14.25" hidden="1">
      <c r="Q29" s="302"/>
      <c r="R29" s="387"/>
      <c r="S29" s="1286"/>
      <c r="T29" s="374"/>
      <c r="U29" s="374"/>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520"/>
      <c r="BA29" s="1166">
        <v>0</v>
      </c>
    </row>
    <row s="1861" customFormat="1" customHeight="1" ht="25.5" hidden="1">
      <c r="A30" s="1379"/>
      <c r="B30" s="1379"/>
      <c r="C30" s="1379"/>
      <c r="D30" s="1379"/>
      <c r="E30" s="1379"/>
      <c r="F30" s="1379"/>
      <c r="G30" s="1379"/>
      <c r="H30" s="1379"/>
      <c r="I30" s="1379"/>
      <c r="J30" s="1379"/>
      <c r="K30" s="1379"/>
      <c r="L30" s="1380"/>
      <c r="M30" s="1379"/>
      <c r="N30" s="1379"/>
      <c r="O30" s="1379"/>
      <c r="P30" s="1379"/>
      <c r="Q30" s="1379"/>
      <c r="S30"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80"/>
      <c r="U30" s="1383"/>
      <c r="V30" s="2281" t="str">
        <f>IF(TITLE_NAME_OR_PR_CHANGE="",IF(TITLE_NAME_OR_PR="","",TITLE_NAME_OR_PR),TITLE_NAME_OR_PR_CHANGE)</f>
        <v/>
      </c>
      <c r="W30" s="2281"/>
      <c r="X30" s="2281"/>
      <c r="Y30" s="2281"/>
      <c r="Z30" s="2281"/>
      <c r="AA30" s="337"/>
      <c r="AB30" s="2281" t="str">
        <f>IF(TITLE_NAME_OR_PR_CHANGE="",IF(TITLE_NAME_OR_PR="","",TITLE_NAME_OR_PR),TITLE_NAME_OR_PR_CHANGE)</f>
        <v/>
      </c>
      <c r="AC30" s="2281"/>
      <c r="AD30" s="2281"/>
      <c r="AE30" s="2281"/>
      <c r="AF30" s="2281"/>
      <c r="AG30" s="2281"/>
      <c r="AH30" s="2281"/>
      <c r="AI30" s="2281"/>
      <c r="AJ30" s="2281"/>
      <c r="AK30" s="2281"/>
      <c r="AL30" s="2281"/>
      <c r="AM30" s="2281"/>
      <c r="AN30" s="2281"/>
      <c r="AO30" s="2281"/>
      <c r="AP30" s="2281"/>
      <c r="AQ30" s="2281"/>
      <c r="AR30" s="2281"/>
      <c r="AS30" s="337"/>
      <c r="AT30" s="337"/>
      <c r="AU30" s="291"/>
      <c r="AV30" s="379"/>
      <c r="AW30" s="379"/>
      <c r="AX30" s="379"/>
      <c r="AY30" s="379"/>
      <c r="AZ30" s="379"/>
      <c r="BA30" s="429">
        <v>0</v>
      </c>
    </row>
    <row s="1861" customFormat="1" customHeight="1" ht="18.75" hidden="1">
      <c r="A31" s="1379"/>
      <c r="B31" s="1379"/>
      <c r="C31" s="1379"/>
      <c r="D31" s="1379"/>
      <c r="E31" s="1379"/>
      <c r="F31" s="1379"/>
      <c r="G31" s="1379"/>
      <c r="H31" s="1379"/>
      <c r="I31" s="1379"/>
      <c r="J31" s="1379"/>
      <c r="K31" s="1379"/>
      <c r="L31" s="1380"/>
      <c r="M31" s="1379"/>
      <c r="N31" s="1379"/>
      <c r="O31" s="1379"/>
      <c r="P31" s="1379"/>
      <c r="Q31" s="1379"/>
      <c r="S31" s="2280" t="str">
        <f>"Дата документа об "&amp;IF(TITLE_DATE_PR_CHANGE="","утверждении","изменении")&amp;" тарифов"</f>
        <v>Дата документа об утверждении тарифов</v>
      </c>
      <c r="T31" s="2280"/>
      <c r="U31" s="1383"/>
      <c r="V31" s="2294" t="str">
        <f>IF(TITLE_DATE_PR_CHANGE="",IF(TITLE_DATE_PR="","",TITLE_DATE_PR),TITLE_DATE_PR_CHANGE)</f>
        <v/>
      </c>
      <c r="W31" s="2294"/>
      <c r="X31" s="2294"/>
      <c r="Y31" s="2294"/>
      <c r="Z31" s="2294"/>
      <c r="AA31" s="337"/>
      <c r="AB31" s="2294" t="str">
        <f>IF(TITLE_DATE_PR_CHANGE="",IF(TITLE_DATE_PR="","",TITLE_DATE_PR),TITLE_DATE_PR_CHANGE)</f>
        <v/>
      </c>
      <c r="AC31" s="2294"/>
      <c r="AD31" s="2294"/>
      <c r="AE31" s="2294"/>
      <c r="AF31" s="2294"/>
      <c r="AG31" s="2294"/>
      <c r="AH31" s="2294"/>
      <c r="AI31" s="2294"/>
      <c r="AJ31" s="2294"/>
      <c r="AK31" s="2294"/>
      <c r="AL31" s="2294"/>
      <c r="AM31" s="2294"/>
      <c r="AN31" s="2294"/>
      <c r="AO31" s="2294"/>
      <c r="AP31" s="2294"/>
      <c r="AQ31" s="2294"/>
      <c r="AR31" s="2294"/>
      <c r="AS31" s="337"/>
      <c r="AT31" s="337"/>
      <c r="AU31" s="291"/>
      <c r="AV31" s="379"/>
      <c r="AW31" s="379"/>
      <c r="AX31" s="379"/>
      <c r="AY31" s="379"/>
      <c r="AZ31" s="379"/>
      <c r="BA31" s="429">
        <v>0</v>
      </c>
    </row>
    <row s="1861" customFormat="1" customHeight="1" ht="18.75" hidden="1">
      <c r="A32" s="1379"/>
      <c r="B32" s="1379"/>
      <c r="C32" s="1379"/>
      <c r="D32" s="1379"/>
      <c r="E32" s="1379"/>
      <c r="F32" s="1379"/>
      <c r="G32" s="1379"/>
      <c r="H32" s="1379"/>
      <c r="I32" s="1379"/>
      <c r="J32" s="1379"/>
      <c r="K32" s="1379"/>
      <c r="L32" s="1380"/>
      <c r="M32" s="1379"/>
      <c r="N32" s="1379"/>
      <c r="O32" s="1379"/>
      <c r="P32" s="1379"/>
      <c r="Q32" s="1379"/>
      <c r="S32" s="2280" t="str">
        <f>"Номер документа об "&amp;IF(TITLE_DATE_PR_CHANGE="","утверждении","изменении")&amp;" тарифов"</f>
        <v>Номер документа об утверждении тарифов</v>
      </c>
      <c r="T32" s="2280"/>
      <c r="U32" s="1383"/>
      <c r="V32" s="2281" t="str">
        <f>IF(TITLE_NUMBER_PR_CHANGE="",IF(TITLE_NUMBER_PR="","",TITLE_NUMBER_PR),TITLE_NUMBER_PR_CHANGE)</f>
        <v/>
      </c>
      <c r="W32" s="2281"/>
      <c r="X32" s="2281"/>
      <c r="Y32" s="2281"/>
      <c r="Z32" s="2281"/>
      <c r="AA32" s="337"/>
      <c r="AB32" s="2281" t="str">
        <f>IF(TITLE_NUMBER_PR_CHANGE="",IF(TITLE_NUMBER_PR="","",TITLE_NUMBER_PR),TITLE_NUMBER_PR_CHANGE)</f>
        <v/>
      </c>
      <c r="AC32" s="2281"/>
      <c r="AD32" s="2281"/>
      <c r="AE32" s="2281"/>
      <c r="AF32" s="2281"/>
      <c r="AG32" s="2281"/>
      <c r="AH32" s="2281"/>
      <c r="AI32" s="2281"/>
      <c r="AJ32" s="2281"/>
      <c r="AK32" s="2281"/>
      <c r="AL32" s="2281"/>
      <c r="AM32" s="2281"/>
      <c r="AN32" s="2281"/>
      <c r="AO32" s="2281"/>
      <c r="AP32" s="2281"/>
      <c r="AQ32" s="2281"/>
      <c r="AR32" s="2281"/>
      <c r="AS32" s="337"/>
      <c r="AT32" s="337"/>
      <c r="AU32" s="291"/>
      <c r="AV32" s="379"/>
      <c r="AW32" s="379"/>
      <c r="AX32" s="379"/>
      <c r="AY32" s="379"/>
      <c r="AZ32" s="379"/>
      <c r="BA32" s="429">
        <v>0</v>
      </c>
    </row>
    <row s="1861" customFormat="1" customHeight="1" ht="18.75" hidden="1">
      <c r="A33" s="1379"/>
      <c r="B33" s="1379"/>
      <c r="C33" s="1379"/>
      <c r="D33" s="1379"/>
      <c r="E33" s="1379"/>
      <c r="F33" s="1379"/>
      <c r="G33" s="1379"/>
      <c r="H33" s="1379"/>
      <c r="I33" s="1379"/>
      <c r="J33" s="1379"/>
      <c r="K33" s="1379"/>
      <c r="L33" s="1380"/>
      <c r="M33" s="1379"/>
      <c r="N33" s="1379"/>
      <c r="O33" s="1379"/>
      <c r="P33" s="1379"/>
      <c r="Q33" s="1379"/>
      <c r="S33" s="2280" t="s">
        <v>43</v>
      </c>
      <c r="T33" s="2280"/>
      <c r="U33" s="1383"/>
      <c r="V33" s="2281" t="str">
        <f>IF(TITLE_IST_PUB_CHANGE="",IF(TITLE_IST_PUB="","",TITLE_IST_PUB),TITLE_IST_PUB_CHANGE)</f>
        <v/>
      </c>
      <c r="W33" s="2281"/>
      <c r="X33" s="2281"/>
      <c r="Y33" s="2281"/>
      <c r="Z33" s="2281"/>
      <c r="AA33" s="337"/>
      <c r="AB33" s="2281" t="str">
        <f>IF(TITLE_IST_PUB_CHANGE="",IF(TITLE_IST_PUB="","",TITLE_IST_PUB),TITLE_IST_PUB_CHANGE)</f>
        <v/>
      </c>
      <c r="AC33" s="2281"/>
      <c r="AD33" s="2281"/>
      <c r="AE33" s="2281"/>
      <c r="AF33" s="2281"/>
      <c r="AG33" s="2281"/>
      <c r="AH33" s="2281"/>
      <c r="AI33" s="2281"/>
      <c r="AJ33" s="2281"/>
      <c r="AK33" s="2281"/>
      <c r="AL33" s="2281"/>
      <c r="AM33" s="2281"/>
      <c r="AN33" s="2281"/>
      <c r="AO33" s="2281"/>
      <c r="AP33" s="2281"/>
      <c r="AQ33" s="2281"/>
      <c r="AR33" s="2281"/>
      <c r="AS33" s="337"/>
      <c r="AT33" s="337"/>
      <c r="AU33" s="291"/>
      <c r="AV33" s="379"/>
      <c r="AW33" s="379"/>
      <c r="AX33" s="379"/>
      <c r="AY33" s="379"/>
      <c r="AZ33" s="379"/>
      <c r="BA33" s="429">
        <v>0</v>
      </c>
    </row>
    <row customHeight="1" ht="14.25" hidden="1">
      <c r="Q34" s="302"/>
      <c r="R34" s="387"/>
      <c r="S34" s="1286"/>
      <c r="T34" s="468"/>
      <c r="U34" s="374"/>
      <c r="V34" s="333"/>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520"/>
      <c r="BA34" s="1166">
        <v>0</v>
      </c>
    </row>
    <row s="1861" customFormat="1" customHeight="1" ht="18.75" hidden="1">
      <c r="A35" s="1379"/>
      <c r="B35" s="1379"/>
      <c r="C35" s="1379"/>
      <c r="D35" s="1379"/>
      <c r="E35" s="1379"/>
      <c r="F35" s="1379"/>
      <c r="G35" s="1379"/>
      <c r="H35" s="1379"/>
      <c r="I35" s="1379"/>
      <c r="J35" s="1379"/>
      <c r="K35" s="1379"/>
      <c r="L35" s="1380"/>
      <c r="M35" s="1379"/>
      <c r="N35" s="1379"/>
      <c r="O35" s="1379"/>
      <c r="P35" s="1379"/>
      <c r="Q35" s="1379"/>
      <c r="S35" s="2280" t="str">
        <f>"Дата подачи заявления об "&amp;IF(TITLE_DATE_PR_CHANGE="","утверждении","изменении")&amp;" тарифов"</f>
        <v>Дата подачи заявления об утверждении тарифов</v>
      </c>
      <c r="T35" s="2280"/>
      <c r="U35" s="1383"/>
      <c r="V35" s="2294" t="str">
        <f>IF(TITLE_DATE_PR_CHANGE="",IF(TITLE_DATE_PR="","",TITLE_DATE_PR),TITLE_DATE_PR_CHANGE)</f>
        <v/>
      </c>
      <c r="W35" s="2294"/>
      <c r="X35" s="2294"/>
      <c r="Y35" s="2294"/>
      <c r="Z35" s="2294"/>
      <c r="AA35" s="337"/>
      <c r="AB35" s="2294" t="str">
        <f>IF(TITLE_DATE_PR_CHANGE="",IF(TITLE_DATE_PR="","",TITLE_DATE_PR),TITLE_DATE_PR_CHANGE)</f>
        <v/>
      </c>
      <c r="AC35" s="2294"/>
      <c r="AD35" s="2294"/>
      <c r="AE35" s="2294"/>
      <c r="AF35" s="2294"/>
      <c r="AG35" s="2294"/>
      <c r="AH35" s="2294"/>
      <c r="AI35" s="2294"/>
      <c r="AJ35" s="2294"/>
      <c r="AK35" s="2294"/>
      <c r="AL35" s="2294"/>
      <c r="AM35" s="2294"/>
      <c r="AN35" s="2294"/>
      <c r="AO35" s="2294"/>
      <c r="AP35" s="2294"/>
      <c r="AQ35" s="2294"/>
      <c r="AR35" s="2294"/>
      <c r="AS35" s="337"/>
      <c r="AT35" s="337"/>
      <c r="AU35" s="291"/>
      <c r="AV35" s="379"/>
      <c r="AW35" s="379"/>
      <c r="AX35" s="379"/>
      <c r="AY35" s="379"/>
      <c r="AZ35" s="379"/>
      <c r="BA35" s="429">
        <v>0</v>
      </c>
    </row>
    <row s="1861" customFormat="1" customHeight="1" ht="18" hidden="1">
      <c r="A36" s="1379"/>
      <c r="B36" s="1379"/>
      <c r="C36" s="1379"/>
      <c r="D36" s="1379"/>
      <c r="E36" s="1379"/>
      <c r="F36" s="1379"/>
      <c r="G36" s="1379"/>
      <c r="H36" s="1379"/>
      <c r="I36" s="1379"/>
      <c r="J36" s="1379"/>
      <c r="K36" s="1379"/>
      <c r="L36" s="1380"/>
      <c r="M36" s="1379"/>
      <c r="N36" s="1379"/>
      <c r="O36" s="1379"/>
      <c r="P36" s="1379"/>
      <c r="Q36" s="1379"/>
      <c r="S36" s="2280" t="str">
        <f>"Номер подачи заявления об "&amp;IF(TITLE_DATE_PR_CHANGE="","утверждении","изменении")&amp;" тарифов"</f>
        <v>Номер подачи заявления об утверждении тарифов</v>
      </c>
      <c r="T36" s="2280"/>
      <c r="U36" s="1383"/>
      <c r="V36" s="2281" t="str">
        <f>IF(TITLE_NUMBER_PR_CHANGE="",IF(TITLE_NUMBER_PR="","",TITLE_NUMBER_PR),TITLE_NUMBER_PR_CHANGE)</f>
        <v/>
      </c>
      <c r="W36" s="2281"/>
      <c r="X36" s="2281"/>
      <c r="Y36" s="2281"/>
      <c r="Z36" s="2281"/>
      <c r="AA36" s="337"/>
      <c r="AB36" s="2281" t="str">
        <f>IF(TITLE_NUMBER_PR_CHANGE="",IF(TITLE_NUMBER_PR="","",TITLE_NUMBER_PR),TITLE_NUMBER_PR_CHANGE)</f>
        <v/>
      </c>
      <c r="AC36" s="2281"/>
      <c r="AD36" s="2281"/>
      <c r="AE36" s="2281"/>
      <c r="AF36" s="2281"/>
      <c r="AG36" s="2281"/>
      <c r="AH36" s="2281"/>
      <c r="AI36" s="2281"/>
      <c r="AJ36" s="2281"/>
      <c r="AK36" s="2281"/>
      <c r="AL36" s="2281"/>
      <c r="AM36" s="2281"/>
      <c r="AN36" s="2281"/>
      <c r="AO36" s="2281"/>
      <c r="AP36" s="2281"/>
      <c r="AQ36" s="2281"/>
      <c r="AR36" s="2281"/>
      <c r="AS36" s="337"/>
      <c r="AT36" s="337"/>
      <c r="AU36" s="291"/>
      <c r="AV36" s="379"/>
      <c r="AW36" s="379"/>
      <c r="AX36" s="379"/>
      <c r="AY36" s="379"/>
      <c r="AZ36" s="379"/>
      <c r="BA36" s="429">
        <v>0</v>
      </c>
    </row>
    <row s="1861" customFormat="1" customHeight="1" ht="1.05">
      <c r="A37" s="1379"/>
      <c r="B37" s="1379"/>
      <c r="C37" s="1379"/>
      <c r="D37" s="1379"/>
      <c r="E37" s="1379"/>
      <c r="F37" s="1379"/>
      <c r="G37" s="1379"/>
      <c r="H37" s="1379"/>
      <c r="I37" s="1379"/>
      <c r="J37" s="1379"/>
      <c r="K37" s="1379"/>
      <c r="L37" s="1380"/>
      <c r="M37" s="1379"/>
      <c r="N37" s="1379"/>
      <c r="O37" s="1379"/>
      <c r="P37" s="1379"/>
      <c r="Q37" s="1379"/>
      <c r="S37" s="334"/>
      <c r="T37" s="334"/>
      <c r="U37" s="1351"/>
      <c r="V37" s="337"/>
      <c r="W37" s="337"/>
      <c r="X37" s="337"/>
      <c r="Y37" s="337"/>
      <c r="Z37" s="337"/>
      <c r="AA37" s="289" t="s">
        <v>437</v>
      </c>
      <c r="AB37" s="337"/>
      <c r="AC37" s="337"/>
      <c r="AD37" s="337"/>
      <c r="AE37" s="337"/>
      <c r="AF37" s="337"/>
      <c r="AG37" s="337"/>
      <c r="AH37" s="337"/>
      <c r="AI37" s="337"/>
      <c r="AJ37" s="337"/>
      <c r="AK37" s="337"/>
      <c r="AL37" s="337"/>
      <c r="AM37" s="337"/>
      <c r="AN37" s="337"/>
      <c r="AO37" s="337"/>
      <c r="AP37" s="337"/>
      <c r="AQ37" s="337"/>
      <c r="AR37" s="337"/>
      <c r="AS37" s="289" t="s">
        <v>437</v>
      </c>
      <c r="AV37" s="379"/>
      <c r="AW37" s="379"/>
      <c r="AX37" s="379"/>
      <c r="AY37" s="379"/>
      <c r="AZ37" s="379"/>
      <c r="BA37" s="429">
        <v>1</v>
      </c>
    </row>
    <row customHeight="1" ht="14.699999999999998">
      <c r="Q38" s="302"/>
      <c r="R38" s="387"/>
      <c r="S38" s="1286"/>
      <c r="T38" s="374"/>
      <c r="U38" s="1255"/>
      <c r="V38" s="2282"/>
      <c r="W38" s="2282"/>
      <c r="X38" s="2282"/>
      <c r="Y38" s="2282"/>
      <c r="Z38" s="2282"/>
      <c r="AA38" s="2282"/>
      <c r="AB38" s="2282"/>
      <c r="AC38" s="2282"/>
      <c r="AD38" s="2282"/>
      <c r="AE38" s="2282"/>
      <c r="AF38" s="2282"/>
      <c r="AG38" s="2282"/>
      <c r="AH38" s="2282"/>
      <c r="AI38" s="2282"/>
      <c r="AJ38" s="2282"/>
      <c r="AK38" s="2282"/>
      <c r="AL38" s="2282"/>
      <c r="AM38" s="2282"/>
      <c r="AN38" s="2282"/>
      <c r="AO38" s="2282"/>
      <c r="AP38" s="2282"/>
      <c r="AQ38" s="2282"/>
      <c r="AR38" s="2282"/>
      <c r="AS38" s="2282"/>
      <c r="BA38" s="1166">
        <v>14</v>
      </c>
    </row>
    <row customHeight="1" ht="14.699999999999998">
      <c r="Q39" s="302"/>
      <c r="R39" s="387"/>
      <c r="S39" s="2157" t="s">
        <v>314</v>
      </c>
      <c r="T39" s="2157"/>
      <c r="U39" s="2157"/>
      <c r="V39" s="2157"/>
      <c r="W39" s="2157"/>
      <c r="X39" s="2157"/>
      <c r="Y39" s="2157"/>
      <c r="Z39" s="2157"/>
      <c r="AA39" s="2157"/>
      <c r="AB39" s="2205"/>
      <c r="AC39" s="2205"/>
      <c r="AD39" s="2205"/>
      <c r="AE39" s="2205"/>
      <c r="AF39" s="2157"/>
      <c r="AG39" s="2157"/>
      <c r="AH39" s="2157"/>
      <c r="AI39" s="2157"/>
      <c r="AJ39" s="2157"/>
      <c r="AK39" s="2157"/>
      <c r="AL39" s="2157"/>
      <c r="AM39" s="2157"/>
      <c r="AN39" s="2157"/>
      <c r="AO39" s="2157"/>
      <c r="AP39" s="2157"/>
      <c r="AQ39" s="2157"/>
      <c r="AR39" s="2157"/>
      <c r="AS39" s="2157"/>
      <c r="AT39" s="2157"/>
      <c r="AU39" s="2157" t="s">
        <v>315</v>
      </c>
      <c r="BA39" s="1166">
        <v>14</v>
      </c>
    </row>
    <row customHeight="1" ht="14.699999999999998">
      <c r="Q40" s="302"/>
      <c r="R40" s="387"/>
      <c r="S40" s="2303" t="s">
        <v>89</v>
      </c>
      <c r="T40" s="2239" t="s">
        <v>483</v>
      </c>
      <c r="U40" s="312"/>
      <c r="V40" s="2305"/>
      <c r="W40" s="2305"/>
      <c r="X40" s="2305"/>
      <c r="Y40" s="2305"/>
      <c r="Z40" s="2306"/>
      <c r="AA40" s="2366" t="s">
        <v>440</v>
      </c>
      <c r="AB40" s="2358" t="s">
        <v>484</v>
      </c>
      <c r="AC40" s="2321"/>
      <c r="AD40" s="2321"/>
      <c r="AE40" s="2359"/>
      <c r="AF40" s="2321" t="s">
        <v>485</v>
      </c>
      <c r="AG40" s="2321"/>
      <c r="AH40" s="2321"/>
      <c r="AI40" s="2359"/>
      <c r="AJ40" s="2358" t="s">
        <v>486</v>
      </c>
      <c r="AK40" s="2321"/>
      <c r="AL40" s="2321"/>
      <c r="AM40" s="2359"/>
      <c r="AN40" s="2358" t="s">
        <v>439</v>
      </c>
      <c r="AO40" s="2321"/>
      <c r="AP40" s="2305"/>
      <c r="AQ40" s="2305"/>
      <c r="AR40" s="2306"/>
      <c r="AS40" s="2307" t="s">
        <v>440</v>
      </c>
      <c r="AT40" s="2310" t="s">
        <v>442</v>
      </c>
      <c r="AU40" s="2157"/>
      <c r="BA40" s="1166">
        <v>14</v>
      </c>
    </row>
    <row customHeight="1" ht="35.699999999999996">
      <c r="Q41" s="302"/>
      <c r="R41" s="387"/>
      <c r="S41" s="2303"/>
      <c r="T41" s="2239"/>
      <c r="U41" s="1042"/>
      <c r="V41" s="2157" t="s">
        <v>487</v>
      </c>
      <c r="W41" s="2157"/>
      <c r="X41" s="2324" t="s">
        <v>446</v>
      </c>
      <c r="Y41" s="2343"/>
      <c r="Z41" s="2344"/>
      <c r="AA41" s="2367"/>
      <c r="AB41" s="2360"/>
      <c r="AC41" s="2361"/>
      <c r="AD41" s="2361"/>
      <c r="AE41" s="2362"/>
      <c r="AF41" s="2361"/>
      <c r="AG41" s="2361"/>
      <c r="AH41" s="2361"/>
      <c r="AI41" s="2362"/>
      <c r="AJ41" s="2360"/>
      <c r="AK41" s="2361"/>
      <c r="AL41" s="2361"/>
      <c r="AM41" s="2361"/>
      <c r="AN41" s="2157" t="s">
        <v>487</v>
      </c>
      <c r="AO41" s="2157"/>
      <c r="AP41" s="2343" t="s">
        <v>446</v>
      </c>
      <c r="AQ41" s="2343"/>
      <c r="AR41" s="2344"/>
      <c r="AS41" s="2308"/>
      <c r="AT41" s="2311"/>
      <c r="AU41" s="2157"/>
      <c r="BA41" s="1166">
        <v>34</v>
      </c>
    </row>
    <row customHeight="1" ht="14.699999999999998">
      <c r="Q42" s="302"/>
      <c r="R42" s="387"/>
      <c r="S42" s="2303"/>
      <c r="T42" s="2239"/>
      <c r="U42" s="1042"/>
      <c r="V42" s="2370" t="str">
        <f>IF($AN$42&lt;&gt;"",$AN$42,"")</f>
        <v/>
      </c>
      <c r="W42" s="2370"/>
      <c r="X42" s="2325"/>
      <c r="Y42" s="2345"/>
      <c r="Z42" s="2346"/>
      <c r="AA42" s="2367"/>
      <c r="AB42" s="2360"/>
      <c r="AC42" s="2361"/>
      <c r="AD42" s="2361"/>
      <c r="AE42" s="2362"/>
      <c r="AF42" s="2361"/>
      <c r="AG42" s="2361"/>
      <c r="AH42" s="2361"/>
      <c r="AI42" s="2362"/>
      <c r="AJ42" s="2360"/>
      <c r="AK42" s="2361"/>
      <c r="AL42" s="2361"/>
      <c r="AM42" s="2361"/>
      <c r="AN42" s="2369"/>
      <c r="AO42" s="2369"/>
      <c r="AP42" s="2345"/>
      <c r="AQ42" s="2345"/>
      <c r="AR42" s="2346"/>
      <c r="AS42" s="2308"/>
      <c r="AT42" s="2311"/>
      <c r="AU42" s="2157"/>
      <c r="BA42" s="1166">
        <v>14</v>
      </c>
    </row>
    <row customHeight="1" ht="14.699999999999998">
      <c r="A43" s="1381"/>
      <c r="B43" s="1381" t="s">
        <v>151</v>
      </c>
      <c r="C43" s="1381" t="s">
        <v>152</v>
      </c>
      <c r="D43" s="1381" t="s">
        <v>153</v>
      </c>
      <c r="E43" s="1375" t="s">
        <v>447</v>
      </c>
      <c r="F43" s="1375" t="s">
        <v>448</v>
      </c>
      <c r="G43" s="1375" t="s">
        <v>449</v>
      </c>
      <c r="H43" s="1375" t="s">
        <v>450</v>
      </c>
      <c r="I43" s="1375" t="s">
        <v>451</v>
      </c>
      <c r="J43" s="1375" t="s">
        <v>452</v>
      </c>
      <c r="K43" s="1375" t="s">
        <v>453</v>
      </c>
      <c r="L43" s="1375" t="s">
        <v>432</v>
      </c>
      <c r="Q43" s="302"/>
      <c r="R43" s="387"/>
      <c r="S43" s="2303"/>
      <c r="T43" s="2239"/>
      <c r="U43" s="313"/>
      <c r="V43" s="1341" t="s">
        <v>488</v>
      </c>
      <c r="W43" s="1341" t="s">
        <v>489</v>
      </c>
      <c r="X43" s="1349" t="s">
        <v>456</v>
      </c>
      <c r="Y43" s="2300" t="s">
        <v>457</v>
      </c>
      <c r="Z43" s="2301"/>
      <c r="AA43" s="2368"/>
      <c r="AB43" s="2363"/>
      <c r="AC43" s="2364"/>
      <c r="AD43" s="2364"/>
      <c r="AE43" s="2365"/>
      <c r="AF43" s="2364"/>
      <c r="AG43" s="2364"/>
      <c r="AH43" s="2364"/>
      <c r="AI43" s="2365"/>
      <c r="AJ43" s="2363"/>
      <c r="AK43" s="2364"/>
      <c r="AL43" s="2364"/>
      <c r="AM43" s="2365"/>
      <c r="AN43" s="1868" t="s">
        <v>488</v>
      </c>
      <c r="AO43" s="1868" t="s">
        <v>489</v>
      </c>
      <c r="AP43" s="1349" t="s">
        <v>456</v>
      </c>
      <c r="AQ43" s="2300" t="s">
        <v>457</v>
      </c>
      <c r="AR43" s="2301"/>
      <c r="AS43" s="2309"/>
      <c r="AT43" s="2312"/>
      <c r="AU43" s="2157"/>
      <c r="BA43" s="1166">
        <v>14</v>
      </c>
    </row>
    <row s="1652" customFormat="1" customHeight="1" ht="11.25" hidden="1">
      <c r="A44" s="1381"/>
      <c r="B44" s="1381"/>
      <c r="C44" s="1381"/>
      <c r="D44" s="1381"/>
      <c r="E44" s="1381"/>
      <c r="F44" s="1381"/>
      <c r="G44" s="1381"/>
      <c r="H44" s="1381"/>
      <c r="I44" s="1381"/>
      <c r="J44" s="1381"/>
      <c r="K44" s="1381"/>
      <c r="L44" s="1375"/>
      <c r="M44" s="1373"/>
      <c r="N44" s="1373"/>
      <c r="O44" s="1373"/>
      <c r="P44" s="521"/>
      <c r="Q44" s="1265"/>
      <c r="R44" s="1265">
        <v>1</v>
      </c>
      <c r="S44" s="1288" t="s">
        <v>120</v>
      </c>
      <c r="T44" s="1266" t="s">
        <v>104</v>
      </c>
      <c r="U44" s="1256" t="str">
        <f>OFFSET(U44,0,-1)</f>
        <v>2</v>
      </c>
      <c r="V44" s="1346">
        <f>OFFSET(V44,0,-1)+1</f>
        <v>3</v>
      </c>
      <c r="W44" s="1346">
        <f>OFFSET(W44,0,-1)+1</f>
        <v>4</v>
      </c>
      <c r="X44" s="1346">
        <f>OFFSET(X44,0,-1)+1</f>
        <v>5</v>
      </c>
      <c r="Y44" s="2302">
        <f>OFFSET(Y44,0,-1)+1</f>
        <v>6</v>
      </c>
      <c r="Z44" s="2302"/>
      <c r="AA44" s="1346">
        <f>OFFSET(AA44,0,-2)+1</f>
        <v>7</v>
      </c>
      <c r="AB44" s="1352">
        <f>OFFSET(AB44,0,-1)+1</f>
        <v>8</v>
      </c>
      <c r="AC44" s="1352"/>
      <c r="AD44" s="1352"/>
      <c r="AE44" s="1352"/>
      <c r="AF44" s="1346"/>
      <c r="AG44" s="1346"/>
      <c r="AH44" s="1346"/>
      <c r="AI44" s="1346"/>
      <c r="AJ44" s="1346"/>
      <c r="AK44" s="1346"/>
      <c r="AL44" s="1346"/>
      <c r="AM44" s="1346"/>
      <c r="AN44" s="1346">
        <f>OFFSET(AN44,0,-1)+1</f>
        <v>1</v>
      </c>
      <c r="AO44" s="1346">
        <f>OFFSET(AO44,0,-1)+1</f>
        <v>2</v>
      </c>
      <c r="AP44" s="1346">
        <f>OFFSET(AP44,0,-1)+1</f>
        <v>3</v>
      </c>
      <c r="AQ44" s="2302">
        <f>OFFSET(AQ44,0,-1)+1</f>
        <v>4</v>
      </c>
      <c r="AR44" s="2302"/>
      <c r="AS44" s="1346">
        <f>OFFSET(AS44,0,-2)+1</f>
        <v>5</v>
      </c>
      <c r="AT44" s="1256">
        <f>OFFSET(AT44,0,-1)</f>
        <v>5</v>
      </c>
      <c r="AU44" s="1346">
        <f>OFFSET(AU44,0,-1)+1</f>
        <v>6</v>
      </c>
      <c r="AV44" s="522"/>
      <c r="AW44" s="522"/>
      <c r="AX44" s="522"/>
      <c r="AY44" s="522"/>
      <c r="AZ44" s="522"/>
      <c r="BA44" s="507">
        <v>0</v>
      </c>
    </row>
    <row customHeight="1" ht="107.25">
      <c r="A45" s="1374" t="s">
        <v>214</v>
      </c>
      <c r="B45" s="1374"/>
      <c r="C45" s="1374"/>
      <c r="D45" s="1374"/>
      <c r="E45" s="2288">
        <v>1</v>
      </c>
      <c r="F45" s="1374"/>
      <c r="G45" s="1374"/>
      <c r="H45" s="1374"/>
      <c r="I45" s="1374"/>
      <c r="J45" s="1374"/>
      <c r="K45" s="1374"/>
      <c r="L45" s="1375"/>
      <c r="M45" s="1376"/>
      <c r="N45" s="1376"/>
      <c r="O45" s="1376"/>
      <c r="P45" s="1420"/>
      <c r="Q45" s="884"/>
      <c r="R45" s="366"/>
      <c r="S45" s="1347">
        <f>INDEX(PT_DIFFERENTIATION_NUM_NTAR,MATCH(A45,PT_DIFFERENTIATION_NTAR_ID,0))</f>
        <v>0</v>
      </c>
      <c r="T45" s="309" t="s">
        <v>139</v>
      </c>
      <c r="U45" s="311"/>
      <c r="V45" s="2273"/>
      <c r="W45" s="2273"/>
      <c r="X45" s="2273"/>
      <c r="Y45" s="2273"/>
      <c r="Z45" s="2273"/>
      <c r="AA45" s="2274"/>
      <c r="AB45" s="2272" t="str">
        <f>INDEX(PT_DIFFERENTIATION_NTAR,MATCH(A45,PT_DIFFERENTIATION_NTAR_ID,0))</f>
        <v/>
      </c>
      <c r="AC45" s="2273"/>
      <c r="AD45" s="2273"/>
      <c r="AE45" s="2273"/>
      <c r="AF45" s="2273"/>
      <c r="AG45" s="2273"/>
      <c r="AH45" s="2273"/>
      <c r="AI45" s="2273"/>
      <c r="AJ45" s="2273"/>
      <c r="AK45" s="2273"/>
      <c r="AL45" s="2273"/>
      <c r="AM45" s="2273"/>
      <c r="AN45" s="2273"/>
      <c r="AO45" s="2273"/>
      <c r="AP45" s="2273"/>
      <c r="AQ45" s="2273"/>
      <c r="AR45" s="2273"/>
      <c r="AS45" s="2273"/>
      <c r="AT45" s="2274"/>
      <c r="AU45"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1"/>
      <c r="AX45" s="511" t="str">
        <f>IF(T45="","",T45)</f>
        <v>Наименование тарифа</v>
      </c>
      <c r="AY45" s="511"/>
      <c r="AZ45" s="511"/>
      <c r="BA45" s="1166">
        <v>102</v>
      </c>
    </row>
    <row customHeight="1" ht="22.049999999999997">
      <c r="A46" s="1374" t="s">
        <v>214</v>
      </c>
      <c r="B46" s="1374" t="s">
        <v>215</v>
      </c>
      <c r="C46" s="1374"/>
      <c r="D46" s="1374"/>
      <c r="E46" s="2289"/>
      <c r="F46" s="2288">
        <v>1</v>
      </c>
      <c r="G46" s="1374"/>
      <c r="H46" s="1374"/>
      <c r="I46" s="1374"/>
      <c r="J46" s="1374"/>
      <c r="K46" s="1374"/>
      <c r="L46" s="1375"/>
      <c r="M46" s="1376"/>
      <c r="N46" s="1376"/>
      <c r="O46" s="1376"/>
      <c r="P46" s="1421"/>
      <c r="Q46" s="1422"/>
      <c r="R46" s="364"/>
      <c r="S46" s="1347" t="str">
        <f>INDEX(PT_DIFFERENTIATION_NUM_TER,MATCH(B46,PT_DIFFERENTIATION_TER_ID,0))</f>
        <v>.</v>
      </c>
      <c r="T46" s="319" t="s">
        <v>411</v>
      </c>
      <c r="U46" s="311"/>
      <c r="V46" s="2273"/>
      <c r="W46" s="2273"/>
      <c r="X46" s="2273"/>
      <c r="Y46" s="2273"/>
      <c r="Z46" s="2273"/>
      <c r="AA46" s="2274"/>
      <c r="AB46" s="2272" t="str">
        <f>INDEX(PT_DIFFERENTIATION_TER,MATCH(B46,PT_DIFFERENTIATION_TER_ID,0))</f>
        <v/>
      </c>
      <c r="AC46" s="2273"/>
      <c r="AD46" s="2273"/>
      <c r="AE46" s="2273"/>
      <c r="AF46" s="2273"/>
      <c r="AG46" s="2273"/>
      <c r="AH46" s="2273"/>
      <c r="AI46" s="2273"/>
      <c r="AJ46" s="2273"/>
      <c r="AK46" s="2273"/>
      <c r="AL46" s="2273"/>
      <c r="AM46" s="2273"/>
      <c r="AN46" s="2273"/>
      <c r="AO46" s="2273"/>
      <c r="AP46" s="2273"/>
      <c r="AQ46" s="2273"/>
      <c r="AR46" s="2273"/>
      <c r="AS46" s="2273"/>
      <c r="AT46" s="2274"/>
      <c r="AU46" s="1269" t="s">
        <v>412</v>
      </c>
      <c r="AW46" s="511"/>
      <c r="AX46" s="511" t="str">
        <f>IF(T46="","",T46)</f>
        <v>Территория действия тарифа</v>
      </c>
      <c r="AY46" s="511"/>
      <c r="AZ46" s="511"/>
      <c r="BA46" s="1166">
        <v>21</v>
      </c>
    </row>
    <row customHeight="1" ht="24">
      <c r="A47" s="1374" t="s">
        <v>214</v>
      </c>
      <c r="B47" s="1374" t="s">
        <v>215</v>
      </c>
      <c r="C47" s="1374" t="s">
        <v>216</v>
      </c>
      <c r="D47" s="1374"/>
      <c r="E47" s="2289"/>
      <c r="F47" s="2289"/>
      <c r="G47" s="2288">
        <v>1</v>
      </c>
      <c r="H47" s="1374"/>
      <c r="I47" s="1374"/>
      <c r="J47" s="1374"/>
      <c r="K47" s="1374"/>
      <c r="L47" s="1375"/>
      <c r="M47" s="1376"/>
      <c r="N47" s="1376"/>
      <c r="O47" s="1376"/>
      <c r="P47" s="1423"/>
      <c r="Q47" s="1422"/>
      <c r="R47" s="364"/>
      <c r="S47" s="1347" t="str">
        <f>INDEX(PT_DIFFERENTIATION_NUM_CS,MATCH(C47,PT_DIFFERENTIATION_CS_ID,0))</f>
        <v>..</v>
      </c>
      <c r="T47" s="320" t="s">
        <v>413</v>
      </c>
      <c r="U47" s="311"/>
      <c r="V47" s="2273"/>
      <c r="W47" s="2273"/>
      <c r="X47" s="2273"/>
      <c r="Y47" s="2273"/>
      <c r="Z47" s="2273"/>
      <c r="AA47" s="2274"/>
      <c r="AB47" s="2272" t="str">
        <f>INDEX(PT_DIFFERENTIATION_CS,MATCH(C47,PT_DIFFERENTIATION_CS_ID,0))</f>
        <v/>
      </c>
      <c r="AC47" s="2273"/>
      <c r="AD47" s="2273"/>
      <c r="AE47" s="2273"/>
      <c r="AF47" s="2273"/>
      <c r="AG47" s="2273"/>
      <c r="AH47" s="2273"/>
      <c r="AI47" s="2273"/>
      <c r="AJ47" s="2273"/>
      <c r="AK47" s="2273"/>
      <c r="AL47" s="2273"/>
      <c r="AM47" s="2273"/>
      <c r="AN47" s="2273"/>
      <c r="AO47" s="2273"/>
      <c r="AP47" s="2273"/>
      <c r="AQ47" s="2273"/>
      <c r="AR47" s="2273"/>
      <c r="AS47" s="2273"/>
      <c r="AT47" s="2274"/>
      <c r="AU47" s="1269" t="s">
        <v>414</v>
      </c>
      <c r="AW47" s="511"/>
      <c r="AX47" s="511" t="str">
        <f>IF(T47="","",T47)</f>
        <v>Наименование системы теплоснабжения </v>
      </c>
      <c r="AY47" s="511"/>
      <c r="AZ47" s="511"/>
      <c r="BA47" s="1166">
        <v>23</v>
      </c>
    </row>
    <row customHeight="1" ht="21">
      <c r="A48" s="1374" t="s">
        <v>214</v>
      </c>
      <c r="B48" s="1374" t="s">
        <v>215</v>
      </c>
      <c r="C48" s="1374" t="s">
        <v>216</v>
      </c>
      <c r="D48" s="1374" t="s">
        <v>217</v>
      </c>
      <c r="E48" s="2289"/>
      <c r="F48" s="2289"/>
      <c r="G48" s="2289"/>
      <c r="H48" s="2288">
        <v>1</v>
      </c>
      <c r="I48" s="1374"/>
      <c r="J48" s="1374"/>
      <c r="K48" s="1374"/>
      <c r="L48" s="1375"/>
      <c r="M48" s="1376"/>
      <c r="N48" s="1376"/>
      <c r="O48" s="1376"/>
      <c r="P48" s="1423"/>
      <c r="Q48" s="1422"/>
      <c r="R48" s="364"/>
      <c r="S48" s="1347" t="str">
        <f>INDEX(PT_DIFFERENTIATION_NUM_IST_TE,MATCH(D48,PT_DIFFERENTIATION_IST_TE_ID,0))</f>
        <v>...</v>
      </c>
      <c r="T48" s="321" t="s">
        <v>415</v>
      </c>
      <c r="U48" s="311"/>
      <c r="V48" s="2273"/>
      <c r="W48" s="2273"/>
      <c r="X48" s="2273"/>
      <c r="Y48" s="2273"/>
      <c r="Z48" s="2273"/>
      <c r="AA48" s="2274"/>
      <c r="AB48" s="2272" t="str">
        <f>INDEX(PT_DIFFERENTIATION_IST_TE,MATCH(D48,PT_DIFFERENTIATION_IST_TE_ID,0))</f>
        <v/>
      </c>
      <c r="AC48" s="2273"/>
      <c r="AD48" s="2273"/>
      <c r="AE48" s="2273"/>
      <c r="AF48" s="2273"/>
      <c r="AG48" s="2273"/>
      <c r="AH48" s="2273"/>
      <c r="AI48" s="2273"/>
      <c r="AJ48" s="2273"/>
      <c r="AK48" s="2273"/>
      <c r="AL48" s="2273"/>
      <c r="AM48" s="2273"/>
      <c r="AN48" s="2273"/>
      <c r="AO48" s="2273"/>
      <c r="AP48" s="2273"/>
      <c r="AQ48" s="2273"/>
      <c r="AR48" s="2273"/>
      <c r="AS48" s="2273"/>
      <c r="AT48" s="2274"/>
      <c r="AU48" s="1269" t="s">
        <v>416</v>
      </c>
      <c r="AW48" s="511"/>
      <c r="AX48" s="511" t="str">
        <f>IF(T48="","",T48)</f>
        <v>Источник тепловой энергии  </v>
      </c>
      <c r="AY48" s="511"/>
      <c r="AZ48" s="511"/>
      <c r="BA48" s="1166">
        <v>20</v>
      </c>
    </row>
    <row s="1653" customFormat="1" customHeight="1" ht="1.05">
      <c r="A49" s="1354" t="s">
        <v>214</v>
      </c>
      <c r="B49" s="1354" t="s">
        <v>215</v>
      </c>
      <c r="C49" s="1354" t="s">
        <v>216</v>
      </c>
      <c r="D49" s="1354" t="s">
        <v>217</v>
      </c>
      <c r="E49" s="2289"/>
      <c r="F49" s="2289"/>
      <c r="G49" s="2289"/>
      <c r="H49" s="2289"/>
      <c r="I49" s="2286" t="str">
        <f>S48&amp;".1"</f>
        <v>....1</v>
      </c>
      <c r="J49" s="1354"/>
      <c r="K49" s="1354"/>
      <c r="L49" s="1357" t="s">
        <v>417</v>
      </c>
      <c r="M49" s="521"/>
      <c r="N49" s="521"/>
      <c r="O49" s="521"/>
      <c r="P49" s="2287">
        <v>1</v>
      </c>
      <c r="Q49" s="1342"/>
      <c r="R49" s="367"/>
      <c r="S49" s="1053"/>
      <c r="T49" s="1394"/>
      <c r="U49" s="1395"/>
      <c r="V49" s="2327"/>
      <c r="W49" s="2327"/>
      <c r="X49" s="2327"/>
      <c r="Y49" s="2327"/>
      <c r="Z49" s="2327"/>
      <c r="AA49" s="2328"/>
      <c r="AB49" s="2326"/>
      <c r="AC49" s="2327"/>
      <c r="AD49" s="2327"/>
      <c r="AE49" s="2327"/>
      <c r="AF49" s="2327"/>
      <c r="AG49" s="2327"/>
      <c r="AH49" s="2327"/>
      <c r="AI49" s="2327"/>
      <c r="AJ49" s="2327"/>
      <c r="AK49" s="2327"/>
      <c r="AL49" s="2327"/>
      <c r="AM49" s="2327"/>
      <c r="AN49" s="2327"/>
      <c r="AO49" s="2327"/>
      <c r="AP49" s="2327"/>
      <c r="AQ49" s="2327"/>
      <c r="AR49" s="2327"/>
      <c r="AS49" s="2327"/>
      <c r="AT49" s="2328"/>
      <c r="AU49" s="1396"/>
      <c r="AW49" s="511"/>
      <c r="AX49" s="511" t="str">
        <f>IF(T49="","",T49)</f>
        <v/>
      </c>
      <c r="AY49" s="511"/>
      <c r="AZ49" s="511"/>
      <c r="BA49" s="522">
        <v>1</v>
      </c>
    </row>
    <row s="1653" customFormat="1" customHeight="1" ht="1.05">
      <c r="A50" s="1354" t="s">
        <v>214</v>
      </c>
      <c r="B50" s="1354" t="s">
        <v>215</v>
      </c>
      <c r="C50" s="1354" t="s">
        <v>216</v>
      </c>
      <c r="D50" s="1354" t="s">
        <v>217</v>
      </c>
      <c r="E50" s="2289"/>
      <c r="F50" s="2289"/>
      <c r="G50" s="2289"/>
      <c r="H50" s="2289"/>
      <c r="I50" s="2316"/>
      <c r="J50" s="2286" t="str">
        <f>S48&amp;".1"</f>
        <v>....1</v>
      </c>
      <c r="K50" s="1354"/>
      <c r="L50" s="1357"/>
      <c r="M50" s="521"/>
      <c r="N50" s="521"/>
      <c r="O50" s="521"/>
      <c r="P50" s="2287"/>
      <c r="Q50" s="2287">
        <v>1</v>
      </c>
      <c r="R50" s="368"/>
      <c r="S50" s="1053"/>
      <c r="T50" s="1410"/>
      <c r="U50" s="1395"/>
      <c r="V50" s="2327"/>
      <c r="W50" s="2327"/>
      <c r="X50" s="2327"/>
      <c r="Y50" s="2327"/>
      <c r="Z50" s="2327"/>
      <c r="AA50" s="2328"/>
      <c r="AB50" s="2326"/>
      <c r="AC50" s="2327"/>
      <c r="AD50" s="2327"/>
      <c r="AE50" s="2327"/>
      <c r="AF50" s="2327"/>
      <c r="AG50" s="2327"/>
      <c r="AH50" s="2327"/>
      <c r="AI50" s="2327"/>
      <c r="AJ50" s="2327"/>
      <c r="AK50" s="2327"/>
      <c r="AL50" s="2327"/>
      <c r="AM50" s="2327"/>
      <c r="AN50" s="2327"/>
      <c r="AO50" s="2327"/>
      <c r="AP50" s="2327"/>
      <c r="AQ50" s="2327"/>
      <c r="AR50" s="2327"/>
      <c r="AS50" s="2327"/>
      <c r="AT50" s="2328"/>
      <c r="AU50" s="1396"/>
      <c r="AW50" s="511"/>
      <c r="AX50" s="511" t="str">
        <f>IF(T50="","",T50)</f>
        <v/>
      </c>
      <c r="AY50" s="511"/>
      <c r="AZ50" s="511"/>
      <c r="BA50" s="522">
        <v>1</v>
      </c>
    </row>
    <row customHeight="1" ht="22.049999999999997">
      <c r="A51" s="1374" t="s">
        <v>214</v>
      </c>
      <c r="B51" s="1374" t="s">
        <v>215</v>
      </c>
      <c r="C51" s="1374" t="s">
        <v>216</v>
      </c>
      <c r="D51" s="1374" t="s">
        <v>217</v>
      </c>
      <c r="E51" s="2289"/>
      <c r="F51" s="2289"/>
      <c r="G51" s="2289"/>
      <c r="H51" s="2289"/>
      <c r="I51" s="2316"/>
      <c r="J51" s="2316"/>
      <c r="K51" s="2286" t="str">
        <f>S48&amp;".1"</f>
        <v>....1</v>
      </c>
      <c r="L51" s="1375"/>
      <c r="P51" s="2287"/>
      <c r="Q51" s="2287"/>
      <c r="R51" s="368">
        <v>1</v>
      </c>
      <c r="S51" s="2371" t="str">
        <f>$K51</f>
        <v>....1</v>
      </c>
      <c r="T51" s="2374"/>
      <c r="U51" s="311"/>
      <c r="V51" s="762"/>
      <c r="W51" s="1268"/>
      <c r="X51" s="1744"/>
      <c r="Y51" s="1470" t="s">
        <v>63</v>
      </c>
      <c r="Z51" s="1744"/>
      <c r="AA51" s="1470" t="s">
        <v>63</v>
      </c>
      <c r="AB51" s="2137" t="s">
        <v>19</v>
      </c>
      <c r="AC51" s="2356"/>
      <c r="AD51" s="2235">
        <v>1</v>
      </c>
      <c r="AE51" s="2378" t="s">
        <v>22</v>
      </c>
      <c r="AF51" s="2137" t="s">
        <v>19</v>
      </c>
      <c r="AG51" s="2356"/>
      <c r="AH51" s="2235">
        <v>1</v>
      </c>
      <c r="AI51" s="2378" t="s">
        <v>22</v>
      </c>
      <c r="AJ51" s="2137" t="s">
        <v>19</v>
      </c>
      <c r="AK51" s="322"/>
      <c r="AL51" s="1348">
        <v>1</v>
      </c>
      <c r="AM51" s="1413"/>
      <c r="AN51" s="762"/>
      <c r="AO51" s="1268"/>
      <c r="AP51" s="1744"/>
      <c r="AQ51" s="1470" t="s">
        <v>63</v>
      </c>
      <c r="AR51" s="1744"/>
      <c r="AS51" s="1470" t="s">
        <v>63</v>
      </c>
      <c r="AT51" s="1359"/>
      <c r="AU51" s="2283" t="s">
        <v>490</v>
      </c>
      <c r="AV51" s="522">
        <f>STRCHECKDATE(V54:AT54)</f>
      </c>
      <c r="AW51" s="511"/>
      <c r="AX51" s="511" t="str">
        <f>IF(T51="","",T51)</f>
        <v/>
      </c>
      <c r="AY51" s="511"/>
      <c r="AZ51" s="511"/>
      <c r="BA51" s="1166">
        <v>21</v>
      </c>
    </row>
    <row customHeight="1" ht="11.549999999999999">
      <c r="A52" s="1374" t="s">
        <v>214</v>
      </c>
      <c r="B52" s="1374"/>
      <c r="C52" s="1374"/>
      <c r="D52" s="1374"/>
      <c r="E52" s="2289"/>
      <c r="F52" s="2289"/>
      <c r="G52" s="2289"/>
      <c r="H52" s="2289"/>
      <c r="I52" s="2316"/>
      <c r="J52" s="2316"/>
      <c r="K52" s="2286"/>
      <c r="L52" s="1375"/>
      <c r="P52" s="2287"/>
      <c r="Q52" s="2287"/>
      <c r="R52" s="368"/>
      <c r="S52" s="2372"/>
      <c r="T52" s="2375"/>
      <c r="U52" s="311"/>
      <c r="V52" s="1404"/>
      <c r="W52" s="1507"/>
      <c r="X52" s="1404"/>
      <c r="Y52" s="1404"/>
      <c r="Z52" s="1404"/>
      <c r="AA52" s="1404"/>
      <c r="AB52" s="2137"/>
      <c r="AC52" s="2356"/>
      <c r="AD52" s="2235"/>
      <c r="AE52" s="2378"/>
      <c r="AF52" s="2137"/>
      <c r="AG52" s="2356"/>
      <c r="AH52" s="2235"/>
      <c r="AI52" s="2378"/>
      <c r="AJ52" s="2137"/>
      <c r="AK52" s="327"/>
      <c r="AL52" s="427"/>
      <c r="AM52" s="426" t="s">
        <v>475</v>
      </c>
      <c r="AN52" s="1404"/>
      <c r="AO52" s="1507"/>
      <c r="AP52" s="1404"/>
      <c r="AQ52" s="1404"/>
      <c r="AR52" s="1404"/>
      <c r="AS52" s="1404"/>
      <c r="AT52" s="1401"/>
      <c r="AU52" s="2284"/>
      <c r="AW52" s="511"/>
      <c r="AX52" s="511"/>
      <c r="AY52" s="511"/>
      <c r="AZ52" s="511"/>
      <c r="BA52" s="1166">
        <v>11</v>
      </c>
    </row>
    <row customHeight="1" ht="11.549999999999999">
      <c r="A53" s="1374" t="s">
        <v>214</v>
      </c>
      <c r="B53" s="1374"/>
      <c r="C53" s="1374"/>
      <c r="D53" s="1374"/>
      <c r="E53" s="2289"/>
      <c r="F53" s="2289"/>
      <c r="G53" s="2289"/>
      <c r="H53" s="2289"/>
      <c r="I53" s="2316"/>
      <c r="J53" s="2316"/>
      <c r="K53" s="2286"/>
      <c r="L53" s="1375"/>
      <c r="P53" s="2287"/>
      <c r="Q53" s="2287"/>
      <c r="R53" s="368"/>
      <c r="S53" s="2372"/>
      <c r="T53" s="2375"/>
      <c r="U53" s="311"/>
      <c r="V53" s="1404"/>
      <c r="W53" s="1507"/>
      <c r="X53" s="1404"/>
      <c r="Y53" s="1404"/>
      <c r="Z53" s="1404"/>
      <c r="AA53" s="1404"/>
      <c r="AB53" s="2137"/>
      <c r="AC53" s="2356"/>
      <c r="AD53" s="2235"/>
      <c r="AE53" s="2378"/>
      <c r="AF53" s="2137"/>
      <c r="AG53" s="305"/>
      <c r="AH53" s="426"/>
      <c r="AI53" s="426" t="s">
        <v>476</v>
      </c>
      <c r="AJ53" s="1404"/>
      <c r="AK53" s="1404"/>
      <c r="AL53" s="1404"/>
      <c r="AM53" s="1404"/>
      <c r="AN53" s="1404"/>
      <c r="AO53" s="1507"/>
      <c r="AP53" s="1404"/>
      <c r="AQ53" s="1404"/>
      <c r="AR53" s="1404"/>
      <c r="AS53" s="1404"/>
      <c r="AT53" s="1401"/>
      <c r="AU53" s="2284"/>
      <c r="AW53" s="511"/>
      <c r="AX53" s="511"/>
      <c r="AY53" s="511"/>
      <c r="AZ53" s="511"/>
      <c r="BA53" s="1166">
        <v>11</v>
      </c>
    </row>
    <row customHeight="1" ht="11.549999999999999">
      <c r="A54" s="1374" t="s">
        <v>214</v>
      </c>
      <c r="B54" s="1374" t="s">
        <v>215</v>
      </c>
      <c r="C54" s="1374" t="s">
        <v>216</v>
      </c>
      <c r="D54" s="1374" t="s">
        <v>217</v>
      </c>
      <c r="E54" s="2289"/>
      <c r="F54" s="2289"/>
      <c r="G54" s="2289"/>
      <c r="H54" s="2289"/>
      <c r="I54" s="2316"/>
      <c r="J54" s="2316"/>
      <c r="K54" s="2286"/>
      <c r="L54" s="1375"/>
      <c r="P54" s="2287"/>
      <c r="Q54" s="2287"/>
      <c r="R54" s="368"/>
      <c r="S54" s="2373"/>
      <c r="T54" s="2376"/>
      <c r="U54" s="311"/>
      <c r="V54" s="1404"/>
      <c r="W54" s="1405" t="str">
        <f>X51&amp;"-"&amp;Z51</f>
        <v>-</v>
      </c>
      <c r="X54" s="1404"/>
      <c r="Y54" s="1404"/>
      <c r="Z54" s="1404"/>
      <c r="AA54" s="1404"/>
      <c r="AB54" s="2137"/>
      <c r="AC54" s="323"/>
      <c r="AD54" s="325"/>
      <c r="AE54" s="426" t="s">
        <v>477</v>
      </c>
      <c r="AF54" s="1404"/>
      <c r="AG54" s="1404"/>
      <c r="AH54" s="1404"/>
      <c r="AI54" s="1404"/>
      <c r="AJ54" s="1404"/>
      <c r="AK54" s="1404"/>
      <c r="AL54" s="1404"/>
      <c r="AM54" s="1404"/>
      <c r="AN54" s="1404"/>
      <c r="AO54" s="1405" t="str">
        <f>AP51&amp;"-"&amp;AR51</f>
        <v>-</v>
      </c>
      <c r="AP54" s="1404"/>
      <c r="AQ54" s="1404"/>
      <c r="AR54" s="1404"/>
      <c r="AS54" s="1404"/>
      <c r="AT54" s="1360"/>
      <c r="AU54" s="2284"/>
      <c r="AW54" s="511"/>
      <c r="AX54" s="511" t="str">
        <f>IF(T54="","",T54)</f>
        <v/>
      </c>
      <c r="AY54" s="511"/>
      <c r="AZ54" s="511"/>
      <c r="BA54" s="1166">
        <v>11</v>
      </c>
    </row>
    <row customHeight="1" ht="11.549999999999999">
      <c r="A55" s="1374" t="s">
        <v>214</v>
      </c>
      <c r="B55" s="1374" t="s">
        <v>215</v>
      </c>
      <c r="C55" s="1374" t="s">
        <v>216</v>
      </c>
      <c r="D55" s="1374" t="s">
        <v>217</v>
      </c>
      <c r="E55" s="2289"/>
      <c r="F55" s="2289"/>
      <c r="G55" s="2289"/>
      <c r="H55" s="2289"/>
      <c r="I55" s="2316"/>
      <c r="J55" s="2286"/>
      <c r="K55" s="1374"/>
      <c r="L55" s="1375"/>
      <c r="P55" s="2287"/>
      <c r="Q55" s="2287"/>
      <c r="R55" s="367"/>
      <c r="S55" s="1289"/>
      <c r="T55" s="298" t="s">
        <v>478</v>
      </c>
      <c r="U55" s="378"/>
      <c r="V55" s="378"/>
      <c r="W55" s="378"/>
      <c r="X55" s="378"/>
      <c r="Y55" s="378"/>
      <c r="Z55" s="378"/>
      <c r="AA55" s="335"/>
      <c r="AB55" s="1516"/>
      <c r="AC55" s="378"/>
      <c r="AD55" s="378"/>
      <c r="AE55" s="378"/>
      <c r="AF55" s="378"/>
      <c r="AG55" s="378"/>
      <c r="AH55" s="378"/>
      <c r="AI55" s="378"/>
      <c r="AJ55" s="378"/>
      <c r="AK55" s="378"/>
      <c r="AL55" s="378"/>
      <c r="AM55" s="378"/>
      <c r="AN55" s="378"/>
      <c r="AO55" s="378"/>
      <c r="AP55" s="378"/>
      <c r="AQ55" s="378"/>
      <c r="AR55" s="378"/>
      <c r="AS55" s="378"/>
      <c r="AT55" s="335"/>
      <c r="AU55" s="2285"/>
      <c r="AW55" s="511"/>
      <c r="AX55" s="511" t="str">
        <f>IF(T55="","",T55)</f>
        <v>Добавить строку</v>
      </c>
      <c r="AY55" s="511"/>
      <c r="AZ55" s="511"/>
      <c r="BA55" s="1166">
        <v>11</v>
      </c>
    </row>
    <row s="1653" customFormat="1" customHeight="1" ht="1.05">
      <c r="A56" s="1354" t="s">
        <v>214</v>
      </c>
      <c r="B56" s="1354" t="s">
        <v>215</v>
      </c>
      <c r="C56" s="1354" t="s">
        <v>216</v>
      </c>
      <c r="D56" s="1354" t="s">
        <v>217</v>
      </c>
      <c r="E56" s="2289"/>
      <c r="F56" s="2289"/>
      <c r="G56" s="2289"/>
      <c r="H56" s="2289"/>
      <c r="I56" s="2286"/>
      <c r="J56" s="1354"/>
      <c r="K56" s="1354"/>
      <c r="L56" s="1357"/>
      <c r="M56" s="521"/>
      <c r="N56" s="521"/>
      <c r="O56" s="521"/>
      <c r="P56" s="2287"/>
      <c r="Q56" s="1342"/>
      <c r="R56" s="367"/>
      <c r="S56" s="1397"/>
      <c r="T56" s="1398" t="s">
        <v>426</v>
      </c>
      <c r="U56" s="1399"/>
      <c r="V56" s="1399"/>
      <c r="W56" s="1399"/>
      <c r="X56" s="1399"/>
      <c r="Y56" s="1399"/>
      <c r="Z56" s="1399"/>
      <c r="AA56" s="1399"/>
      <c r="AB56" s="1399"/>
      <c r="AC56" s="1399"/>
      <c r="AD56" s="1399"/>
      <c r="AE56" s="1399"/>
      <c r="AF56" s="1399"/>
      <c r="AG56" s="1399"/>
      <c r="AH56" s="1399"/>
      <c r="AI56" s="1399"/>
      <c r="AJ56" s="1399"/>
      <c r="AK56" s="1399"/>
      <c r="AL56" s="1399"/>
      <c r="AM56" s="1399"/>
      <c r="AN56" s="1399"/>
      <c r="AO56" s="1399"/>
      <c r="AP56" s="1399"/>
      <c r="AQ56" s="1399"/>
      <c r="AR56" s="1399"/>
      <c r="AS56" s="1399"/>
      <c r="AT56" s="1399"/>
      <c r="AU56" s="1400"/>
      <c r="AW56" s="511"/>
      <c r="AX56" s="511" t="str">
        <f>IF(T56="","",T56)</f>
        <v>Добавить группу потребителей</v>
      </c>
      <c r="AY56" s="511"/>
      <c r="AZ56" s="511"/>
      <c r="BA56" s="522">
        <v>1</v>
      </c>
    </row>
    <row s="1652" customFormat="1" customHeight="1" ht="1.05">
      <c r="A57" s="1354" t="s">
        <v>214</v>
      </c>
      <c r="B57" s="1354" t="s">
        <v>215</v>
      </c>
      <c r="C57" s="1354" t="s">
        <v>216</v>
      </c>
      <c r="D57" s="1354" t="s">
        <v>217</v>
      </c>
      <c r="E57" s="2289"/>
      <c r="F57" s="2289"/>
      <c r="G57" s="2289"/>
      <c r="H57" s="2288"/>
      <c r="I57" s="1354"/>
      <c r="J57" s="1354"/>
      <c r="K57" s="1354"/>
      <c r="L57" s="1357"/>
      <c r="M57" s="1326"/>
      <c r="N57" s="1326"/>
      <c r="O57" s="529"/>
      <c r="P57" s="391"/>
      <c r="Q57" s="1355"/>
      <c r="R57" s="1411"/>
      <c r="S57" s="1397"/>
      <c r="T57" s="1398"/>
      <c r="U57" s="1399"/>
      <c r="V57" s="1399"/>
      <c r="W57" s="1399"/>
      <c r="X57" s="1399"/>
      <c r="Y57" s="1399"/>
      <c r="Z57" s="1399"/>
      <c r="AA57" s="1399"/>
      <c r="AB57" s="1399"/>
      <c r="AC57" s="1399"/>
      <c r="AD57" s="1399"/>
      <c r="AE57" s="1399"/>
      <c r="AF57" s="1399"/>
      <c r="AG57" s="1399"/>
      <c r="AH57" s="1399"/>
      <c r="AI57" s="1399"/>
      <c r="AJ57" s="1399"/>
      <c r="AK57" s="1399"/>
      <c r="AL57" s="1399"/>
      <c r="AM57" s="1399"/>
      <c r="AN57" s="1399"/>
      <c r="AO57" s="1399"/>
      <c r="AP57" s="1399"/>
      <c r="AQ57" s="1399"/>
      <c r="AR57" s="1399"/>
      <c r="AS57" s="1399"/>
      <c r="AT57" s="1399"/>
      <c r="AU57" s="1400"/>
      <c r="AV57" s="522"/>
      <c r="AW57" s="511"/>
      <c r="AX57" s="511" t="str">
        <f>IF(T57="","",T57)</f>
        <v/>
      </c>
      <c r="AY57" s="511"/>
      <c r="AZ57" s="511"/>
      <c r="BA57" s="507">
        <v>1</v>
      </c>
    </row>
    <row s="1653" customFormat="1" customHeight="1" ht="1.05">
      <c r="A58" s="1354" t="s">
        <v>214</v>
      </c>
      <c r="B58" s="1354" t="s">
        <v>215</v>
      </c>
      <c r="C58" s="1354" t="s">
        <v>216</v>
      </c>
      <c r="D58" s="1325"/>
      <c r="E58" s="2289"/>
      <c r="F58" s="2289"/>
      <c r="G58" s="2288"/>
      <c r="H58" s="1325"/>
      <c r="I58" s="1325"/>
      <c r="J58" s="1325"/>
      <c r="K58" s="1325"/>
      <c r="L58" s="1350"/>
      <c r="M58" s="1326"/>
      <c r="N58" s="1326"/>
      <c r="P58" s="1327"/>
      <c r="Q58" s="1328"/>
      <c r="R58" s="1327"/>
      <c r="S58" s="1333"/>
      <c r="T58" s="1336" t="s">
        <v>428</v>
      </c>
      <c r="U58" s="1335"/>
      <c r="V58" s="1335"/>
      <c r="W58" s="1335"/>
      <c r="X58" s="1335"/>
      <c r="Y58" s="1335"/>
      <c r="Z58" s="1335"/>
      <c r="AA58" s="1335"/>
      <c r="AB58" s="1335"/>
      <c r="AC58" s="1335"/>
      <c r="AD58" s="1335"/>
      <c r="AE58" s="1335"/>
      <c r="AF58" s="1335"/>
      <c r="AG58" s="1335"/>
      <c r="AH58" s="1335"/>
      <c r="AI58" s="1335"/>
      <c r="AJ58" s="1335"/>
      <c r="AK58" s="1335"/>
      <c r="AL58" s="1335"/>
      <c r="AM58" s="1335"/>
      <c r="AN58" s="1335"/>
      <c r="AO58" s="1335"/>
      <c r="AP58" s="1335"/>
      <c r="AQ58" s="1335"/>
      <c r="AR58" s="1335"/>
      <c r="AS58" s="1335"/>
      <c r="AT58" s="1335"/>
      <c r="AU58" s="1335"/>
      <c r="AW58" s="800"/>
      <c r="AX58" s="800" t="str">
        <f>IF(T58="","",T58)</f>
        <v>Добавить источник для дифференциации</v>
      </c>
      <c r="AY58" s="800"/>
      <c r="AZ58" s="800"/>
      <c r="BA58" s="529">
        <v>1</v>
      </c>
    </row>
    <row s="1653" customFormat="1" customHeight="1" ht="1.05">
      <c r="A59" s="1354" t="s">
        <v>214</v>
      </c>
      <c r="B59" s="1354" t="s">
        <v>215</v>
      </c>
      <c r="C59" s="1325"/>
      <c r="D59" s="1325"/>
      <c r="E59" s="2289"/>
      <c r="F59" s="2288"/>
      <c r="G59" s="1325"/>
      <c r="H59" s="1325"/>
      <c r="I59" s="1325"/>
      <c r="J59" s="1325"/>
      <c r="K59" s="1325"/>
      <c r="L59" s="1350"/>
      <c r="M59" s="1332"/>
      <c r="N59" s="1332"/>
      <c r="P59" s="1327"/>
      <c r="Q59" s="1328"/>
      <c r="R59" s="1327"/>
      <c r="S59" s="1333"/>
      <c r="T59" s="1336" t="s">
        <v>429</v>
      </c>
      <c r="U59" s="1335"/>
      <c r="V59" s="1335"/>
      <c r="W59" s="1335"/>
      <c r="X59" s="1335"/>
      <c r="Y59" s="1335"/>
      <c r="Z59" s="1335"/>
      <c r="AA59" s="1335"/>
      <c r="AB59" s="1335"/>
      <c r="AC59" s="1335"/>
      <c r="AD59" s="1335"/>
      <c r="AE59" s="1335"/>
      <c r="AF59" s="1335"/>
      <c r="AG59" s="1335"/>
      <c r="AH59" s="1335"/>
      <c r="AI59" s="1335"/>
      <c r="AJ59" s="1335"/>
      <c r="AK59" s="1335"/>
      <c r="AL59" s="1335"/>
      <c r="AM59" s="1335"/>
      <c r="AN59" s="1335"/>
      <c r="AO59" s="1335"/>
      <c r="AP59" s="1335"/>
      <c r="AQ59" s="1335"/>
      <c r="AR59" s="1335"/>
      <c r="AS59" s="1335"/>
      <c r="AT59" s="1335"/>
      <c r="AU59" s="1335"/>
      <c r="AW59" s="800"/>
      <c r="AX59" s="800" t="str">
        <f>IF(T59="","",T59)</f>
        <v>Добавить централизованную систему для дифференциации</v>
      </c>
      <c r="AY59" s="800"/>
      <c r="AZ59" s="800"/>
      <c r="BA59" s="529">
        <v>1</v>
      </c>
    </row>
    <row s="1653" customFormat="1" customHeight="1" ht="1.05">
      <c r="A60" s="1354" t="s">
        <v>214</v>
      </c>
      <c r="B60" s="1354"/>
      <c r="C60" s="1354"/>
      <c r="D60" s="1354"/>
      <c r="E60" s="2289"/>
      <c r="F60" s="1354"/>
      <c r="G60" s="1354"/>
      <c r="H60" s="1354"/>
      <c r="I60" s="1354"/>
      <c r="J60" s="1354"/>
      <c r="K60" s="1354"/>
      <c r="L60" s="1357"/>
      <c r="M60" s="1332"/>
      <c r="N60" s="1332"/>
      <c r="O60" s="529"/>
      <c r="P60" s="391"/>
      <c r="Q60" s="1355"/>
      <c r="R60" s="391"/>
      <c r="S60" s="1333"/>
      <c r="T60" s="1336" t="s">
        <v>430</v>
      </c>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W60" s="511"/>
      <c r="AX60" s="511" t="str">
        <f>IF(T60="","",T60)</f>
        <v>Добавить территорию для дифференциации</v>
      </c>
      <c r="AY60" s="511"/>
      <c r="AZ60" s="511"/>
      <c r="BA60" s="522">
        <v>1</v>
      </c>
    </row>
    <row s="1653" customFormat="1" customHeight="1" ht="1.05">
      <c r="A61" s="1354" t="s">
        <v>214</v>
      </c>
      <c r="B61" s="1354"/>
      <c r="C61" s="1354"/>
      <c r="D61" s="1354"/>
      <c r="E61" s="2288"/>
      <c r="F61" s="1354"/>
      <c r="G61" s="1354"/>
      <c r="H61" s="1354"/>
      <c r="I61" s="1354"/>
      <c r="J61" s="1354"/>
      <c r="K61" s="1354"/>
      <c r="L61" s="1357"/>
      <c r="M61" s="1332"/>
      <c r="N61" s="1332"/>
      <c r="O61" s="529"/>
      <c r="P61" s="391"/>
      <c r="Q61" s="1355"/>
      <c r="R61" s="391"/>
      <c r="S61" s="1333"/>
      <c r="T61" s="1336" t="s">
        <v>430</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W61" s="511"/>
      <c r="AX61" s="511" t="str">
        <f>IF(T61="","",T61)</f>
        <v>Добавить территорию для дифференциации</v>
      </c>
      <c r="AY61" s="511"/>
      <c r="AZ61" s="511"/>
      <c r="BA61" s="522">
        <v>1</v>
      </c>
    </row>
    <row s="1653" customFormat="1" customHeight="1" ht="1.05">
      <c r="A62" s="1325"/>
      <c r="B62" s="1325"/>
      <c r="C62" s="1325"/>
      <c r="D62" s="1325"/>
      <c r="E62" s="1354"/>
      <c r="F62" s="1325"/>
      <c r="G62" s="1325"/>
      <c r="H62" s="1325"/>
      <c r="I62" s="1325"/>
      <c r="J62" s="1325"/>
      <c r="K62" s="1325"/>
      <c r="L62" s="1350"/>
      <c r="M62" s="1332"/>
      <c r="N62" s="1332"/>
      <c r="P62" s="1327"/>
      <c r="Q62" s="1328"/>
      <c r="R62" s="1327"/>
      <c r="S62" s="1333"/>
      <c r="T62" s="1336" t="s">
        <v>458</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W62" s="800"/>
      <c r="AX62" s="800" t="str">
        <f>IF(T62="","",T62)</f>
        <v>Добавить наименование тарифа</v>
      </c>
      <c r="AY62" s="800"/>
      <c r="AZ62" s="800"/>
      <c r="BA62" s="529">
        <v>1</v>
      </c>
    </row>
    <row customHeight="1" ht="11.549999999999999">
      <c r="M63" s="1171"/>
      <c r="N63" s="1171"/>
      <c r="O63" s="548"/>
      <c r="P63" s="1171"/>
      <c r="Q63" s="1171"/>
      <c r="R63" s="1166"/>
      <c r="S63" s="1166"/>
      <c r="AV63" s="1166"/>
      <c r="AW63" s="1166"/>
      <c r="AX63" s="1166"/>
      <c r="AY63" s="1166"/>
      <c r="AZ63" s="1166"/>
      <c r="BA63" s="1166">
        <v>11</v>
      </c>
    </row>
    <row customHeight="1" ht="19.95">
      <c r="O64" s="548"/>
      <c r="S64" s="1264"/>
      <c r="T64" s="2315"/>
      <c r="U64" s="2315"/>
      <c r="V64" s="2315"/>
      <c r="W64" s="2315"/>
      <c r="X64" s="2315"/>
      <c r="Y64" s="2315"/>
      <c r="Z64" s="2315"/>
      <c r="AA64" s="2315"/>
      <c r="AB64" s="2315"/>
      <c r="AC64" s="2315"/>
      <c r="AD64" s="2315"/>
      <c r="AE64" s="2315"/>
      <c r="AF64" s="2315"/>
      <c r="AG64" s="2315"/>
      <c r="AH64" s="2315"/>
      <c r="AI64" s="2315"/>
      <c r="AJ64" s="2315"/>
      <c r="AK64" s="2315"/>
      <c r="AL64" s="2315"/>
      <c r="AM64" s="2315"/>
      <c r="AN64" s="2315"/>
      <c r="AO64" s="2315"/>
      <c r="AP64" s="2315"/>
      <c r="AQ64" s="2315"/>
      <c r="AR64" s="2315"/>
      <c r="AS64" s="2315"/>
      <c r="AT64" s="2315"/>
      <c r="AU64" s="2315"/>
      <c r="BA64" s="1166">
        <v>19</v>
      </c>
    </row>
    <row customHeight="1" ht="21">
      <c r="O65" s="548"/>
      <c r="T65" s="2315"/>
      <c r="U65" s="2315"/>
      <c r="V65" s="2315"/>
      <c r="W65" s="2315"/>
      <c r="X65" s="2315"/>
      <c r="Y65" s="2315"/>
      <c r="Z65" s="2315"/>
      <c r="AA65" s="2315"/>
      <c r="AB65" s="2315"/>
      <c r="AC65" s="2315"/>
      <c r="AD65" s="2315"/>
      <c r="AE65" s="2315"/>
      <c r="AF65" s="2315"/>
      <c r="AG65" s="2315"/>
      <c r="AH65" s="2315"/>
      <c r="AI65" s="2315"/>
      <c r="AJ65" s="2315"/>
      <c r="AK65" s="2315"/>
      <c r="AL65" s="2315"/>
      <c r="AM65" s="2315"/>
      <c r="AN65" s="2315"/>
      <c r="AO65" s="2315"/>
      <c r="AP65" s="2315"/>
      <c r="AQ65" s="2315"/>
      <c r="AR65" s="2315"/>
      <c r="AS65" s="2315"/>
      <c r="AT65" s="2315"/>
      <c r="AU65" s="2315"/>
      <c r="BA65" s="1166">
        <v>20</v>
      </c>
    </row>
    <row customHeight="1" ht="14.699999999999998">
      <c r="O66" s="548"/>
      <c r="T66" s="1344"/>
      <c r="U66" s="1344"/>
      <c r="V66" s="1344"/>
      <c r="W66" s="1344"/>
      <c r="X66" s="1344"/>
      <c r="Y66" s="1344"/>
      <c r="Z66" s="1344"/>
      <c r="AA66" s="1344"/>
      <c r="AB66" s="1344"/>
      <c r="AC66" s="1344"/>
      <c r="AD66" s="1344"/>
      <c r="AE66" s="1344"/>
      <c r="AF66" s="1344"/>
      <c r="AG66" s="1344"/>
      <c r="AH66" s="1344"/>
      <c r="AI66" s="1344"/>
      <c r="AJ66" s="1344"/>
      <c r="AK66" s="1344"/>
      <c r="AL66" s="1344"/>
      <c r="AM66" s="1344"/>
      <c r="AN66" s="1344"/>
      <c r="AO66" s="1344"/>
      <c r="AP66" s="1344"/>
      <c r="AQ66" s="1344"/>
      <c r="AR66" s="1344"/>
      <c r="AS66" s="1344"/>
      <c r="AT66" s="1344"/>
      <c r="AU66" s="1344"/>
      <c r="BA66" s="1166">
        <v>14</v>
      </c>
    </row>
    <row customHeight="1" ht="19.95">
      <c r="O67" s="548"/>
      <c r="T67" s="2315"/>
      <c r="U67" s="2315"/>
      <c r="V67" s="2315"/>
      <c r="W67" s="2315"/>
      <c r="X67" s="2315"/>
      <c r="Y67" s="2315"/>
      <c r="Z67" s="2315"/>
      <c r="AA67" s="2315"/>
      <c r="AB67" s="2315"/>
      <c r="AC67" s="2315"/>
      <c r="AD67" s="2315"/>
      <c r="AE67" s="2315"/>
      <c r="AF67" s="2315"/>
      <c r="AG67" s="2315"/>
      <c r="AH67" s="2315"/>
      <c r="AI67" s="2315"/>
      <c r="AJ67" s="2315"/>
      <c r="AK67" s="2315"/>
      <c r="AL67" s="2315"/>
      <c r="AM67" s="2315"/>
      <c r="AN67" s="2315"/>
      <c r="AO67" s="2315"/>
      <c r="AP67" s="2315"/>
      <c r="AQ67" s="2315"/>
      <c r="AR67" s="2315"/>
      <c r="AS67" s="2315"/>
      <c r="AT67" s="2315"/>
      <c r="AU67" s="2315"/>
      <c r="BA67" s="1166">
        <v>19</v>
      </c>
    </row>
    <row customHeight="1" ht="16.8">
      <c r="O68" s="548"/>
      <c r="T68" s="2315"/>
      <c r="U68" s="2315"/>
      <c r="V68" s="2315"/>
      <c r="W68" s="2315"/>
      <c r="X68" s="2315"/>
      <c r="Y68" s="2315"/>
      <c r="Z68" s="2315"/>
      <c r="AA68" s="2315"/>
      <c r="AB68" s="2315"/>
      <c r="AC68" s="2315"/>
      <c r="AD68" s="2315"/>
      <c r="AE68" s="2315"/>
      <c r="AF68" s="2315"/>
      <c r="AG68" s="2315"/>
      <c r="AH68" s="2315"/>
      <c r="AI68" s="2315"/>
      <c r="AJ68" s="2315"/>
      <c r="AK68" s="2315"/>
      <c r="AL68" s="2315"/>
      <c r="AM68" s="2315"/>
      <c r="AN68" s="2315"/>
      <c r="AO68" s="2315"/>
      <c r="AP68" s="2315"/>
      <c r="AQ68" s="2315"/>
      <c r="AR68" s="2315"/>
      <c r="AS68" s="2315"/>
      <c r="AT68" s="2315"/>
      <c r="AU68" s="2315"/>
      <c r="BA68" s="1166">
        <v>16</v>
      </c>
    </row>
    <row customHeight="1" ht="14.699999999999998">
      <c r="O69" s="548"/>
      <c r="BA69" s="1166">
        <v>14</v>
      </c>
    </row>
    <row customHeight="1" ht="22.5" hidden="1">
      <c r="A70" s="1171" t="s">
        <v>83</v>
      </c>
      <c r="B70" s="1171">
        <v>0</v>
      </c>
      <c r="C70" s="1171">
        <v>0</v>
      </c>
      <c r="D70" s="1171">
        <v>0</v>
      </c>
      <c r="E70" s="1171">
        <v>0</v>
      </c>
      <c r="F70" s="1171">
        <v>0</v>
      </c>
      <c r="G70" s="1171">
        <v>0</v>
      </c>
      <c r="H70" s="1171">
        <v>0</v>
      </c>
      <c r="I70" s="1171">
        <v>0</v>
      </c>
      <c r="J70" s="1171">
        <v>0</v>
      </c>
      <c r="K70" s="1171">
        <v>0</v>
      </c>
      <c r="L70" s="1340">
        <v>0</v>
      </c>
      <c r="M70" s="1373">
        <v>0</v>
      </c>
      <c r="N70" s="1373">
        <v>0</v>
      </c>
      <c r="O70" s="1373">
        <v>0</v>
      </c>
      <c r="P70" s="1373">
        <v>3</v>
      </c>
      <c r="Q70" s="1382">
        <v>3</v>
      </c>
      <c r="R70" s="355">
        <v>3</v>
      </c>
      <c r="S70" s="592">
        <v>12</v>
      </c>
      <c r="T70" s="1166">
        <v>31</v>
      </c>
      <c r="U70" s="1166">
        <v>0</v>
      </c>
      <c r="V70" s="1166">
        <v>0</v>
      </c>
      <c r="W70" s="1166">
        <v>0</v>
      </c>
      <c r="X70" s="1166">
        <v>0</v>
      </c>
      <c r="Y70" s="1166">
        <v>0</v>
      </c>
      <c r="Z70" s="1166">
        <v>0</v>
      </c>
      <c r="AA70" s="1166">
        <v>0</v>
      </c>
      <c r="AB70" s="1166">
        <v>5</v>
      </c>
      <c r="AC70" s="1166">
        <v>3</v>
      </c>
      <c r="AD70" s="1166">
        <v>3</v>
      </c>
      <c r="AE70" s="1166">
        <v>24</v>
      </c>
      <c r="AF70" s="1166">
        <v>3</v>
      </c>
      <c r="AG70" s="1166">
        <v>3</v>
      </c>
      <c r="AH70" s="1166">
        <v>3</v>
      </c>
      <c r="AI70" s="1166">
        <v>24</v>
      </c>
      <c r="AJ70" s="1166">
        <v>3</v>
      </c>
      <c r="AK70" s="1166">
        <v>3</v>
      </c>
      <c r="AL70" s="1166">
        <v>3</v>
      </c>
      <c r="AM70" s="1166">
        <v>18</v>
      </c>
      <c r="AN70" s="1166">
        <v>21</v>
      </c>
      <c r="AO70" s="1166">
        <v>21</v>
      </c>
      <c r="AP70" s="1166">
        <v>11</v>
      </c>
      <c r="AQ70" s="1166">
        <v>3</v>
      </c>
      <c r="AR70" s="1166">
        <v>11</v>
      </c>
      <c r="AS70" s="1166">
        <v>8</v>
      </c>
      <c r="AT70" s="1166">
        <v>4</v>
      </c>
      <c r="AU70" s="1166">
        <v>115</v>
      </c>
      <c r="AV70" s="522">
        <v>10</v>
      </c>
      <c r="AW70" s="522">
        <v>10</v>
      </c>
      <c r="AX70" s="522">
        <v>10</v>
      </c>
      <c r="AY70" s="522">
        <v>10</v>
      </c>
      <c r="AZ70" s="522">
        <v>10</v>
      </c>
      <c r="BA70" s="116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62678-7633-267C-EA08-6569197A078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6" width="10.140625" hidden="1" customWidth="1"/>
    <col min="4" max="4" style="1646" width="11.8515625" hidden="1" customWidth="1"/>
    <col min="5" max="11" style="1646" width="10.140625" hidden="1" customWidth="1"/>
    <col min="12" max="12" style="2155" width="10.140625" hidden="1" customWidth="1"/>
    <col min="13" max="15" style="2427" width="10.140625" hidden="1" customWidth="1"/>
    <col min="16" max="16" style="1786" width="3.00390625" customWidth="1"/>
    <col min="17" max="17" style="1382" width="3.00390625" customWidth="1"/>
    <col min="18" max="18" style="355" width="3.00390625" customWidth="1"/>
    <col min="19" max="19" style="2437" width="12.00390625" customWidth="1"/>
    <col min="20" max="20" style="1646" width="31.00390625" customWidth="1"/>
    <col min="21" max="21" style="1646" width="0.140625" customWidth="1"/>
    <col min="22" max="23" style="1646" width="21.7109375" hidden="1" customWidth="1"/>
    <col min="24" max="24" style="1646" width="11.7109375" hidden="1" customWidth="1"/>
    <col min="25" max="25" style="1646" width="3.7109375" hidden="1" customWidth="1"/>
    <col min="26" max="26" style="1646" width="11.7109375" hidden="1" customWidth="1"/>
    <col min="27" max="27" style="1646" width="8.57421875" hidden="1" customWidth="1"/>
    <col min="28" max="28" style="1646" width="27.00390625" customWidth="1"/>
    <col min="29" max="29" style="1646" width="24.57421875" customWidth="1"/>
    <col min="30" max="31" style="1646" width="21.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0.75" hidden="1">
      <c r="AQ1" s="1642" t="s">
        <v>14</v>
      </c>
    </row>
    <row customHeight="1" ht="21" hidden="1">
      <c r="A2" s="1278"/>
      <c r="B2" s="1278"/>
      <c r="C2" s="1278"/>
      <c r="D2" s="1278"/>
      <c r="E2" s="2319">
        <v>1</v>
      </c>
      <c r="F2" s="1278"/>
      <c r="G2" s="1278"/>
      <c r="H2" s="1278"/>
      <c r="I2" s="1278"/>
      <c r="J2" s="1278"/>
      <c r="K2" s="1278"/>
      <c r="L2" s="1321"/>
      <c r="M2" s="1621"/>
      <c r="N2" s="1621"/>
      <c r="O2" s="1621"/>
      <c r="P2" s="1420"/>
      <c r="Q2" s="884"/>
      <c r="R2" s="366"/>
      <c r="S2" s="1966">
        <f>INDEX(PT_DIFFERENTIATION_NUM_NTAR,MATCH(A2,PT_DIFFERENTIATION_NTAR_ID,0))</f>
      </c>
      <c r="T2" s="1536" t="s">
        <v>139</v>
      </c>
      <c r="U2" s="311"/>
      <c r="V2" s="2273"/>
      <c r="W2" s="2273"/>
      <c r="X2" s="2273"/>
      <c r="Y2" s="2273"/>
      <c r="Z2" s="2273"/>
      <c r="AA2" s="2274"/>
      <c r="AB2" s="1960"/>
      <c r="AC2" s="2273">
        <f>INDEX(PT_DIFFERENTIATION_NTAR,MATCH(A2,PT_DIFFERENTIATION_NTAR_ID,0))</f>
      </c>
      <c r="AD2" s="2273"/>
      <c r="AE2" s="2273"/>
      <c r="AF2" s="2273"/>
      <c r="AG2" s="2273"/>
      <c r="AH2" s="2273"/>
      <c r="AI2" s="2273"/>
      <c r="AJ2" s="2274"/>
      <c r="AK2" s="1269" t="s">
        <v>410</v>
      </c>
      <c r="AM2" s="1635"/>
      <c r="AN2" s="1635" t="str">
        <f>IF(T2="","",T2)</f>
        <v>Наименование тарифа</v>
      </c>
      <c r="AO2" s="1635"/>
      <c r="AP2" s="1635"/>
      <c r="AQ2" s="1642">
        <v>0</v>
      </c>
    </row>
    <row customHeight="1" ht="21" hidden="1">
      <c r="A3" s="1278"/>
      <c r="B3" s="1278"/>
      <c r="C3" s="1278"/>
      <c r="D3" s="1278"/>
      <c r="E3" s="2320"/>
      <c r="F3" s="2319">
        <v>1</v>
      </c>
      <c r="G3" s="1278"/>
      <c r="H3" s="1278"/>
      <c r="I3" s="1278"/>
      <c r="J3" s="1278"/>
      <c r="K3" s="1278"/>
      <c r="L3" s="1321"/>
      <c r="M3" s="1621"/>
      <c r="N3" s="1621"/>
      <c r="O3" s="1621"/>
      <c r="P3" s="1977"/>
      <c r="Q3" s="1422"/>
      <c r="R3" s="364"/>
      <c r="S3" s="1966">
        <f>INDEX(PT_DIFFERENTIATION_NUM_TER,MATCH(B3,PT_DIFFERENTIATION_TER_ID,0))</f>
      </c>
      <c r="T3" s="1533" t="s">
        <v>411</v>
      </c>
      <c r="U3" s="311"/>
      <c r="V3" s="2273"/>
      <c r="W3" s="2273"/>
      <c r="X3" s="2273"/>
      <c r="Y3" s="2273"/>
      <c r="Z3" s="2273"/>
      <c r="AA3" s="2274"/>
      <c r="AB3" s="1960"/>
      <c r="AC3" s="2273">
        <f>INDEX(PT_DIFFERENTIATION_TER,MATCH(B3,PT_DIFFERENTIATION_TER_ID,0))</f>
      </c>
      <c r="AD3" s="2273"/>
      <c r="AE3" s="2273"/>
      <c r="AF3" s="2273"/>
      <c r="AG3" s="2273"/>
      <c r="AH3" s="2273"/>
      <c r="AI3" s="2273"/>
      <c r="AJ3" s="2274"/>
      <c r="AK3" s="1269" t="s">
        <v>412</v>
      </c>
      <c r="AM3" s="1635"/>
      <c r="AN3" s="1635" t="str">
        <f>IF(T3="","",T3)</f>
        <v>Территория действия тарифа</v>
      </c>
      <c r="AO3" s="1635"/>
      <c r="AP3" s="1635"/>
      <c r="AQ3" s="1642">
        <v>0</v>
      </c>
    </row>
    <row customHeight="1" ht="22.5" hidden="1">
      <c r="A4" s="1278"/>
      <c r="B4" s="1278"/>
      <c r="C4" s="1278"/>
      <c r="D4" s="1278"/>
      <c r="E4" s="2320"/>
      <c r="F4" s="2320"/>
      <c r="G4" s="2319">
        <v>1</v>
      </c>
      <c r="H4" s="1278"/>
      <c r="I4" s="1278"/>
      <c r="J4" s="1278"/>
      <c r="K4" s="1278"/>
      <c r="L4" s="1321"/>
      <c r="M4" s="1621"/>
      <c r="N4" s="1621"/>
      <c r="O4" s="1621"/>
      <c r="P4" s="1423"/>
      <c r="Q4" s="1422"/>
      <c r="R4" s="364"/>
      <c r="S4" s="1966">
        <f>INDEX(PT_DIFFERENTIATION_NUM_CS,MATCH(C4,PT_DIFFERENTIATION_CS_ID,0))</f>
      </c>
      <c r="T4" s="320" t="s">
        <v>413</v>
      </c>
      <c r="U4" s="311"/>
      <c r="V4" s="2273"/>
      <c r="W4" s="2273"/>
      <c r="X4" s="2273"/>
      <c r="Y4" s="2273"/>
      <c r="Z4" s="2273"/>
      <c r="AA4" s="2274"/>
      <c r="AB4" s="1960"/>
      <c r="AC4" s="2273">
        <f>INDEX(PT_DIFFERENTIATION_CS,MATCH(C4,PT_DIFFERENTIATION_CS_ID,0))</f>
      </c>
      <c r="AD4" s="2273"/>
      <c r="AE4" s="2273"/>
      <c r="AF4" s="2273"/>
      <c r="AG4" s="2273"/>
      <c r="AH4" s="2273"/>
      <c r="AI4" s="2273"/>
      <c r="AJ4" s="2274"/>
      <c r="AK4" s="1269" t="s">
        <v>414</v>
      </c>
      <c r="AM4" s="1635"/>
      <c r="AN4" s="1635" t="str">
        <f>IF(T4="","",T4)</f>
        <v>Наименование системы теплоснабжения </v>
      </c>
      <c r="AO4" s="1635"/>
      <c r="AP4" s="1635"/>
      <c r="AQ4" s="1642">
        <v>0</v>
      </c>
    </row>
    <row customHeight="1" ht="21" hidden="1">
      <c r="A5" s="1278"/>
      <c r="B5" s="1278"/>
      <c r="C5" s="1278"/>
      <c r="D5" s="1278"/>
      <c r="E5" s="2320"/>
      <c r="F5" s="2320"/>
      <c r="G5" s="2320"/>
      <c r="H5" s="2319">
        <v>1</v>
      </c>
      <c r="I5" s="1278"/>
      <c r="J5" s="1278"/>
      <c r="K5" s="1278"/>
      <c r="L5" s="1321"/>
      <c r="M5" s="1621"/>
      <c r="N5" s="1621"/>
      <c r="O5" s="1621"/>
      <c r="P5" s="1423"/>
      <c r="Q5" s="1422"/>
      <c r="R5" s="364"/>
      <c r="S5" s="1966">
        <f>INDEX(PT_DIFFERENTIATION_NUM_IST_TE,MATCH(D5,PT_DIFFERENTIATION_IST_TE_ID,0))</f>
      </c>
      <c r="T5" s="321" t="s">
        <v>415</v>
      </c>
      <c r="U5" s="311"/>
      <c r="V5" s="2273"/>
      <c r="W5" s="2273"/>
      <c r="X5" s="2273"/>
      <c r="Y5" s="2273"/>
      <c r="Z5" s="2273"/>
      <c r="AA5" s="2274"/>
      <c r="AB5" s="1960"/>
      <c r="AC5" s="2273">
        <f>INDEX(PT_DIFFERENTIATION_IST_TE,MATCH(D5,PT_DIFFERENTIATION_IST_TE_ID,0))</f>
      </c>
      <c r="AD5" s="2273"/>
      <c r="AE5" s="2273"/>
      <c r="AF5" s="2273"/>
      <c r="AG5" s="2273"/>
      <c r="AH5" s="2273"/>
      <c r="AI5" s="2273"/>
      <c r="AJ5" s="2274"/>
      <c r="AK5" s="1269" t="s">
        <v>416</v>
      </c>
      <c r="AM5" s="1635"/>
      <c r="AN5" s="1635" t="str">
        <f>IF(T5="","",T5)</f>
        <v>Источник тепловой энергии  </v>
      </c>
      <c r="AO5" s="1635"/>
      <c r="AP5" s="1635"/>
      <c r="AQ5" s="1642">
        <v>0</v>
      </c>
    </row>
    <row s="1653" customFormat="1" customHeight="1" ht="0.75" hidden="1">
      <c r="A6" s="1386"/>
      <c r="B6" s="1386"/>
      <c r="C6" s="1386"/>
      <c r="D6" s="1386"/>
      <c r="E6" s="2320"/>
      <c r="F6" s="2320"/>
      <c r="G6" s="2320"/>
      <c r="H6" s="2320"/>
      <c r="I6" s="2157">
        <f>S5&amp;".1"</f>
      </c>
      <c r="J6" s="1386"/>
      <c r="K6" s="1386"/>
      <c r="L6" s="1392" t="s">
        <v>417</v>
      </c>
      <c r="M6" s="1257"/>
      <c r="N6" s="1257"/>
      <c r="O6" s="1257"/>
      <c r="P6" s="2287">
        <v>1</v>
      </c>
      <c r="Q6" s="1962"/>
      <c r="R6" s="367"/>
      <c r="S6" s="1053"/>
      <c r="T6" s="1394"/>
      <c r="U6" s="1395"/>
      <c r="V6" s="2327"/>
      <c r="W6" s="2327"/>
      <c r="X6" s="2327"/>
      <c r="Y6" s="2327"/>
      <c r="Z6" s="2327"/>
      <c r="AA6" s="2328"/>
      <c r="AB6" s="1968"/>
      <c r="AC6" s="2327"/>
      <c r="AD6" s="2327"/>
      <c r="AE6" s="2327"/>
      <c r="AF6" s="2327"/>
      <c r="AG6" s="2327"/>
      <c r="AH6" s="2327"/>
      <c r="AI6" s="2327"/>
      <c r="AJ6" s="2328"/>
      <c r="AK6" s="1396"/>
      <c r="AM6" s="1635"/>
      <c r="AN6" s="1635" t="str">
        <f>IF(T6="","",T6)</f>
        <v/>
      </c>
      <c r="AO6" s="1635"/>
      <c r="AP6" s="1635"/>
      <c r="AQ6" s="1647">
        <v>0</v>
      </c>
    </row>
    <row s="1653" customFormat="1" customHeight="1" ht="0.75" hidden="1">
      <c r="A7" s="1386"/>
      <c r="B7" s="1386"/>
      <c r="C7" s="1386"/>
      <c r="D7" s="1386"/>
      <c r="E7" s="2320"/>
      <c r="F7" s="2320"/>
      <c r="G7" s="2320"/>
      <c r="H7" s="2320"/>
      <c r="I7" s="2131"/>
      <c r="J7" s="2157">
        <f>S5&amp;".1"</f>
      </c>
      <c r="K7" s="1386"/>
      <c r="L7" s="1392"/>
      <c r="M7" s="1257"/>
      <c r="N7" s="1257"/>
      <c r="O7" s="1257"/>
      <c r="P7" s="2287"/>
      <c r="Q7" s="2287">
        <v>1</v>
      </c>
      <c r="R7" s="368"/>
      <c r="S7" s="1053"/>
      <c r="T7" s="1410"/>
      <c r="U7" s="1395"/>
      <c r="V7" s="2327"/>
      <c r="W7" s="2327"/>
      <c r="X7" s="2327"/>
      <c r="Y7" s="2327"/>
      <c r="Z7" s="2327"/>
      <c r="AA7" s="2328"/>
      <c r="AB7" s="1968"/>
      <c r="AC7" s="2327"/>
      <c r="AD7" s="2327"/>
      <c r="AE7" s="2327"/>
      <c r="AF7" s="2327"/>
      <c r="AG7" s="2327"/>
      <c r="AH7" s="2327"/>
      <c r="AI7" s="2327"/>
      <c r="AJ7" s="2328"/>
      <c r="AK7" s="1396"/>
      <c r="AM7" s="1635"/>
      <c r="AN7" s="1635" t="str">
        <f>IF(T7="","",T7)</f>
        <v/>
      </c>
      <c r="AO7" s="1635"/>
      <c r="AP7" s="1635"/>
      <c r="AQ7" s="1647">
        <v>0</v>
      </c>
    </row>
    <row customHeight="1" ht="21" hidden="1">
      <c r="A8" s="1278"/>
      <c r="B8" s="1278"/>
      <c r="C8" s="1278"/>
      <c r="D8" s="1278"/>
      <c r="E8" s="2320"/>
      <c r="F8" s="2320"/>
      <c r="G8" s="2320"/>
      <c r="H8" s="2320"/>
      <c r="I8" s="2131"/>
      <c r="J8" s="2131"/>
      <c r="K8" s="1999">
        <f>S5&amp;".1"</f>
      </c>
      <c r="L8" s="1321"/>
      <c r="P8" s="2287"/>
      <c r="Q8" s="2287"/>
      <c r="R8" s="2003">
        <v>1</v>
      </c>
      <c r="S8" s="2001">
        <f>$K8</f>
      </c>
      <c r="T8" s="2002"/>
      <c r="U8" s="311"/>
      <c r="V8" s="762"/>
      <c r="W8" s="1268"/>
      <c r="X8" s="2000"/>
      <c r="Y8" s="1998" t="s">
        <v>63</v>
      </c>
      <c r="Z8" s="2000"/>
      <c r="AA8" s="1998" t="s">
        <v>63</v>
      </c>
      <c r="AB8" s="2004"/>
      <c r="AC8" s="2005" t="s">
        <v>22</v>
      </c>
      <c r="AD8" s="762"/>
      <c r="AE8" s="1268"/>
      <c r="AF8" s="1963"/>
      <c r="AG8" s="1950" t="s">
        <v>63</v>
      </c>
      <c r="AH8" s="1963"/>
      <c r="AI8" s="1950" t="s">
        <v>63</v>
      </c>
      <c r="AJ8" s="1359"/>
      <c r="AK8" s="2283" t="s">
        <v>474</v>
      </c>
      <c r="AL8" s="1647">
        <f>STRCHECKDATE(#REF!)</f>
      </c>
      <c r="AM8" s="1635"/>
      <c r="AN8" s="1635" t="str">
        <f>IF(T8="","",T8)</f>
        <v/>
      </c>
      <c r="AO8" s="1635"/>
      <c r="AP8" s="1635"/>
      <c r="AQ8" s="1642">
        <v>0</v>
      </c>
    </row>
    <row customHeight="1" ht="11.25" hidden="1">
      <c r="A9" s="1278"/>
      <c r="B9" s="1278"/>
      <c r="C9" s="1278"/>
      <c r="D9" s="1278"/>
      <c r="E9" s="2320"/>
      <c r="F9" s="2320"/>
      <c r="G9" s="2320"/>
      <c r="H9" s="2320"/>
      <c r="I9" s="2131"/>
      <c r="J9" s="2157"/>
      <c r="K9" s="1278"/>
      <c r="L9" s="1321"/>
      <c r="P9" s="2287"/>
      <c r="Q9" s="2287"/>
      <c r="R9" s="367"/>
      <c r="S9" s="1289"/>
      <c r="T9" s="298" t="s">
        <v>478</v>
      </c>
      <c r="U9" s="611"/>
      <c r="V9" s="611"/>
      <c r="W9" s="611"/>
      <c r="X9" s="611"/>
      <c r="Y9" s="611"/>
      <c r="Z9" s="611"/>
      <c r="AA9" s="611"/>
      <c r="AB9" s="611"/>
      <c r="AC9" s="611"/>
      <c r="AD9" s="611"/>
      <c r="AE9" s="611"/>
      <c r="AF9" s="611"/>
      <c r="AG9" s="611"/>
      <c r="AH9" s="611"/>
      <c r="AI9" s="611"/>
      <c r="AJ9" s="335"/>
      <c r="AK9" s="2285"/>
      <c r="AM9" s="1635"/>
      <c r="AN9" s="1635" t="str">
        <f>IF(T9="","",T9)</f>
        <v>Добавить строку</v>
      </c>
      <c r="AO9" s="1635"/>
      <c r="AP9" s="1635"/>
      <c r="AQ9" s="1642">
        <v>0</v>
      </c>
    </row>
    <row s="1653" customFormat="1" customHeight="1" ht="0.75" hidden="1">
      <c r="A10" s="1386"/>
      <c r="B10" s="1386"/>
      <c r="C10" s="1386"/>
      <c r="D10" s="1386"/>
      <c r="E10" s="2320"/>
      <c r="F10" s="2320"/>
      <c r="G10" s="2320"/>
      <c r="H10" s="2320"/>
      <c r="I10" s="2157"/>
      <c r="J10" s="1386"/>
      <c r="K10" s="1386"/>
      <c r="L10" s="1392"/>
      <c r="M10" s="1257"/>
      <c r="N10" s="1257"/>
      <c r="O10" s="1257"/>
      <c r="P10" s="2287"/>
      <c r="Q10" s="1962"/>
      <c r="R10" s="367"/>
      <c r="S10" s="1397"/>
      <c r="T10" s="1398"/>
      <c r="U10" s="1399"/>
      <c r="V10" s="1399"/>
      <c r="W10" s="1399"/>
      <c r="X10" s="1399"/>
      <c r="Y10" s="1399"/>
      <c r="Z10" s="1399"/>
      <c r="AA10" s="1399"/>
      <c r="AB10" s="1399"/>
      <c r="AC10" s="1399"/>
      <c r="AD10" s="1399"/>
      <c r="AE10" s="1399"/>
      <c r="AF10" s="1399"/>
      <c r="AG10" s="1399"/>
      <c r="AH10" s="1399"/>
      <c r="AI10" s="1399"/>
      <c r="AJ10" s="1399"/>
      <c r="AK10" s="1400"/>
      <c r="AM10" s="1635"/>
      <c r="AN10" s="1635" t="str">
        <f>IF(T10="","",T10)</f>
        <v/>
      </c>
      <c r="AO10" s="1635"/>
      <c r="AP10" s="1635"/>
      <c r="AQ10" s="1647">
        <v>0</v>
      </c>
    </row>
    <row s="1653" customFormat="1" customHeight="1" ht="0.75" hidden="1">
      <c r="A11" s="1386"/>
      <c r="B11" s="1386"/>
      <c r="C11" s="1386"/>
      <c r="D11" s="1386"/>
      <c r="E11" s="2320"/>
      <c r="F11" s="2320"/>
      <c r="G11" s="2320"/>
      <c r="H11" s="2319"/>
      <c r="I11" s="1386"/>
      <c r="J11" s="1386"/>
      <c r="K11" s="1386"/>
      <c r="L11" s="1392"/>
      <c r="M11" s="1389"/>
      <c r="N11" s="1389"/>
      <c r="O11" s="362"/>
      <c r="P11" s="391"/>
      <c r="Q11" s="1355"/>
      <c r="R11" s="1412"/>
      <c r="S11" s="1397"/>
      <c r="T11" s="1398"/>
      <c r="U11" s="1399"/>
      <c r="V11" s="1399"/>
      <c r="W11" s="1399"/>
      <c r="X11" s="1399"/>
      <c r="Y11" s="1399"/>
      <c r="Z11" s="1399"/>
      <c r="AA11" s="1399"/>
      <c r="AB11" s="1399"/>
      <c r="AC11" s="1399"/>
      <c r="AD11" s="1399"/>
      <c r="AE11" s="1399"/>
      <c r="AF11" s="1399"/>
      <c r="AG11" s="1399"/>
      <c r="AH11" s="1399"/>
      <c r="AI11" s="1399"/>
      <c r="AJ11" s="1399"/>
      <c r="AK11" s="1400"/>
      <c r="AM11" s="1635"/>
      <c r="AN11" s="1635" t="str">
        <f>IF(T11="","",T11)</f>
        <v/>
      </c>
      <c r="AO11" s="1635"/>
      <c r="AP11" s="1635"/>
      <c r="AQ11" s="1647">
        <v>0</v>
      </c>
    </row>
    <row s="1653" customFormat="1" customHeight="1" ht="0.75" hidden="1">
      <c r="A12" s="1386"/>
      <c r="B12" s="1386"/>
      <c r="C12" s="1386"/>
      <c r="D12" s="1385"/>
      <c r="E12" s="2320"/>
      <c r="F12" s="2320"/>
      <c r="G12" s="2319"/>
      <c r="H12" s="1385"/>
      <c r="I12" s="1385"/>
      <c r="J12" s="1385"/>
      <c r="K12" s="1385"/>
      <c r="L12" s="1388"/>
      <c r="M12" s="1389"/>
      <c r="N12" s="1389"/>
      <c r="O12" s="362"/>
      <c r="P12" s="1327"/>
      <c r="Q12" s="1328"/>
      <c r="R12" s="1327"/>
      <c r="S12" s="1333"/>
      <c r="T12" s="1336" t="s">
        <v>428</v>
      </c>
      <c r="U12" s="1335"/>
      <c r="V12" s="1335"/>
      <c r="W12" s="1335"/>
      <c r="X12" s="1335"/>
      <c r="Y12" s="1335"/>
      <c r="Z12" s="1335"/>
      <c r="AA12" s="1335"/>
      <c r="AB12" s="1335"/>
      <c r="AC12" s="1335"/>
      <c r="AD12" s="1335"/>
      <c r="AE12" s="1335"/>
      <c r="AF12" s="1335"/>
      <c r="AG12" s="1335"/>
      <c r="AH12" s="1335"/>
      <c r="AI12" s="1335"/>
      <c r="AJ12" s="1335"/>
      <c r="AK12" s="1335"/>
      <c r="AM12" s="1262"/>
      <c r="AN12" s="1262" t="str">
        <f>IF(T12="","",T12)</f>
        <v>Добавить источник для дифференциации</v>
      </c>
      <c r="AO12" s="1262"/>
      <c r="AP12" s="1262"/>
      <c r="AQ12" s="1653">
        <v>0</v>
      </c>
    </row>
    <row s="1653" customFormat="1" customHeight="1" ht="0.75" hidden="1">
      <c r="A13" s="1386"/>
      <c r="B13" s="1386"/>
      <c r="C13" s="1385"/>
      <c r="D13" s="1385"/>
      <c r="E13" s="2320"/>
      <c r="F13" s="2319"/>
      <c r="G13" s="1385"/>
      <c r="H13" s="1385"/>
      <c r="I13" s="1385"/>
      <c r="J13" s="1385"/>
      <c r="K13" s="1385"/>
      <c r="L13" s="1388"/>
      <c r="M13" s="1390"/>
      <c r="N13" s="1390"/>
      <c r="O13" s="362"/>
      <c r="P13" s="1327"/>
      <c r="Q13" s="1328"/>
      <c r="R13" s="1327"/>
      <c r="S13" s="1333"/>
      <c r="T13" s="1336" t="s">
        <v>429</v>
      </c>
      <c r="U13" s="1335"/>
      <c r="V13" s="1335"/>
      <c r="W13" s="1335"/>
      <c r="X13" s="1335"/>
      <c r="Y13" s="1335"/>
      <c r="Z13" s="1335"/>
      <c r="AA13" s="1335"/>
      <c r="AB13" s="1335"/>
      <c r="AC13" s="1335"/>
      <c r="AD13" s="1335"/>
      <c r="AE13" s="1335"/>
      <c r="AF13" s="1335"/>
      <c r="AG13" s="1335"/>
      <c r="AH13" s="1335"/>
      <c r="AI13" s="1335"/>
      <c r="AJ13" s="1335"/>
      <c r="AK13" s="1335"/>
      <c r="AM13" s="1262"/>
      <c r="AN13" s="1262" t="str">
        <f>IF(T13="","",T13)</f>
        <v>Добавить централизованную систему для дифференциации</v>
      </c>
      <c r="AO13" s="1262"/>
      <c r="AP13" s="1262"/>
      <c r="AQ13" s="1653">
        <v>0</v>
      </c>
    </row>
    <row s="1653" customFormat="1" customHeight="1" ht="0.75" hidden="1">
      <c r="A14" s="1386"/>
      <c r="B14" s="1386"/>
      <c r="C14" s="1386"/>
      <c r="D14" s="1386"/>
      <c r="E14" s="2319"/>
      <c r="F14" s="1386"/>
      <c r="G14" s="1386"/>
      <c r="H14" s="1386"/>
      <c r="I14" s="1386"/>
      <c r="J14" s="1386"/>
      <c r="K14" s="1386"/>
      <c r="L14" s="1392"/>
      <c r="M14" s="1390"/>
      <c r="N14" s="1390"/>
      <c r="O14" s="362"/>
      <c r="P14" s="391"/>
      <c r="Q14" s="1355"/>
      <c r="R14" s="391"/>
      <c r="S14" s="1333"/>
      <c r="T14" s="1336" t="s">
        <v>430</v>
      </c>
      <c r="U14" s="1335"/>
      <c r="V14" s="1335"/>
      <c r="W14" s="1335"/>
      <c r="X14" s="1335"/>
      <c r="Y14" s="1335"/>
      <c r="Z14" s="1335"/>
      <c r="AA14" s="1335"/>
      <c r="AB14" s="1335"/>
      <c r="AC14" s="1335"/>
      <c r="AD14" s="1335"/>
      <c r="AE14" s="1335"/>
      <c r="AF14" s="1335"/>
      <c r="AG14" s="1335"/>
      <c r="AH14" s="1335"/>
      <c r="AI14" s="1335"/>
      <c r="AJ14" s="1335"/>
      <c r="AK14" s="1335"/>
      <c r="AM14" s="1635"/>
      <c r="AN14" s="1635" t="str">
        <f>IF(T14="","",T14)</f>
        <v>Добавить территорию для дифференциации</v>
      </c>
      <c r="AO14" s="1635"/>
      <c r="AP14" s="1635"/>
      <c r="AQ14" s="1647">
        <v>0</v>
      </c>
    </row>
    <row customHeight="1" ht="14.25" hidden="1">
      <c r="AQ15" s="1642">
        <v>0</v>
      </c>
    </row>
    <row customHeight="1" ht="14.25" hidden="1">
      <c r="AC16" s="1513"/>
      <c r="AD16" s="1414"/>
      <c r="AE16" s="1415"/>
      <c r="AF16" s="1746"/>
      <c r="AG16" s="1974" t="s">
        <v>63</v>
      </c>
      <c r="AH16" s="1746"/>
      <c r="AI16" s="1974" t="s">
        <v>63</v>
      </c>
      <c r="AQ16" s="1642">
        <v>0</v>
      </c>
    </row>
    <row customHeight="1" ht="14.25" hidden="1">
      <c r="AL17" s="1652"/>
      <c r="AM17" s="1652"/>
      <c r="AN17" s="1652"/>
      <c r="AO17" s="1652"/>
      <c r="AP17" s="1652"/>
      <c r="AQ17" s="1642">
        <v>0</v>
      </c>
    </row>
    <row customHeight="1" ht="14.25" hidden="1">
      <c r="O18" s="1356" t="s">
        <v>431</v>
      </c>
      <c r="X18" s="1356"/>
      <c r="Z18" s="1356"/>
      <c r="AF18" s="1356"/>
      <c r="AH18" s="1356"/>
      <c r="AL18" s="1652"/>
      <c r="AM18" s="1652"/>
      <c r="AN18" s="1652"/>
      <c r="AO18" s="1652"/>
      <c r="AP18" s="1652"/>
      <c r="AQ18" s="1642">
        <v>0</v>
      </c>
    </row>
    <row customHeight="1" ht="14.25" hidden="1">
      <c r="AL19" s="1652"/>
      <c r="AM19" s="1652"/>
      <c r="AN19" s="1652"/>
      <c r="AO19" s="1652"/>
      <c r="AP19" s="1652"/>
      <c r="AQ19" s="1642">
        <v>0</v>
      </c>
    </row>
    <row s="1520" customFormat="1" customHeight="1" ht="14.25" hidden="1">
      <c r="A20" s="1979"/>
      <c r="B20" s="1979"/>
      <c r="C20" s="1979"/>
      <c r="D20" s="1979"/>
      <c r="E20" s="1979"/>
      <c r="F20" s="1979"/>
      <c r="G20" s="1979"/>
      <c r="H20" s="1979"/>
      <c r="I20" s="1979"/>
      <c r="J20" s="1979"/>
      <c r="K20" s="1979"/>
      <c r="L20" s="1979"/>
      <c r="M20" s="1980"/>
      <c r="N20" s="1980"/>
      <c r="O20" s="1981" t="s">
        <v>432</v>
      </c>
      <c r="P20" s="1519"/>
      <c r="Q20" s="1521"/>
      <c r="R20" s="1521"/>
      <c r="Y20" s="1518" t="s">
        <v>434</v>
      </c>
      <c r="AA20" s="1518" t="s">
        <v>435</v>
      </c>
      <c r="AC20" s="1518" t="s">
        <v>480</v>
      </c>
      <c r="AG20" s="1518" t="s">
        <v>434</v>
      </c>
      <c r="AI20" s="1518" t="s">
        <v>435</v>
      </c>
      <c r="AL20" s="1522"/>
      <c r="AM20" s="1522"/>
      <c r="AN20" s="1522"/>
      <c r="AO20" s="1522"/>
      <c r="AP20" s="1522"/>
      <c r="AQ20" s="1518">
        <v>0</v>
      </c>
    </row>
    <row customHeight="1" ht="14.25" hidden="1">
      <c r="O21" s="1321"/>
      <c r="AL21" s="1652"/>
      <c r="AM21" s="1652"/>
      <c r="AN21" s="1652"/>
      <c r="AO21" s="1652"/>
      <c r="AP21" s="1652"/>
      <c r="AQ21" s="1642">
        <v>0</v>
      </c>
    </row>
    <row customHeight="1" ht="14.25" hidden="1">
      <c r="O22" s="1321"/>
      <c r="AL22" s="1652"/>
      <c r="AM22" s="1652"/>
      <c r="AN22" s="1652"/>
      <c r="AO22" s="1652"/>
      <c r="AP22" s="1652"/>
      <c r="AQ22" s="1642">
        <v>0</v>
      </c>
    </row>
    <row customHeight="1" ht="14.699999999999998">
      <c r="Q23" s="302"/>
      <c r="R23" s="387"/>
      <c r="S23" s="1286"/>
      <c r="T23" s="468"/>
      <c r="U23" s="468"/>
      <c r="V23" s="1646"/>
      <c r="W23" s="1646"/>
      <c r="X23" s="1646"/>
      <c r="Y23" s="1646"/>
      <c r="Z23" s="1646"/>
      <c r="AA23" s="1646"/>
      <c r="AB23" s="1646"/>
      <c r="AC23" s="1646"/>
      <c r="AD23" s="1646"/>
      <c r="AE23" s="1646"/>
      <c r="AF23" s="1646"/>
      <c r="AG23" s="1646"/>
      <c r="AH23" s="1646"/>
      <c r="AI23" s="1646"/>
      <c r="AQ23" s="1642">
        <v>14</v>
      </c>
    </row>
    <row customHeight="1" ht="39.75">
      <c r="Q24" s="302"/>
      <c r="R24" s="387"/>
      <c r="S24" s="227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8"/>
      <c r="U24" s="2278"/>
      <c r="V24" s="2278"/>
      <c r="W24" s="2278"/>
      <c r="X24" s="2278"/>
      <c r="Y24" s="2278"/>
      <c r="Z24" s="2278"/>
      <c r="AA24" s="2278"/>
      <c r="AB24" s="2278"/>
      <c r="AC24" s="2278"/>
      <c r="AD24" s="2278"/>
      <c r="AE24" s="2278"/>
      <c r="AF24" s="2278"/>
      <c r="AG24" s="2278"/>
      <c r="AH24" s="2278"/>
      <c r="AI24" s="1254"/>
      <c r="AQ24" s="1642">
        <v>38</v>
      </c>
    </row>
    <row customHeight="1" ht="14.699999999999998">
      <c r="Q25" s="302"/>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642">
        <v>14</v>
      </c>
    </row>
    <row customHeight="1" ht="14.25" hidden="1">
      <c r="Q26" s="302"/>
      <c r="R26" s="387"/>
      <c r="S26" s="1286"/>
      <c r="T26" s="468"/>
      <c r="U26" s="468"/>
      <c r="V26" s="333"/>
      <c r="W26" s="333"/>
      <c r="X26" s="333"/>
      <c r="Y26" s="333"/>
      <c r="Z26" s="333"/>
      <c r="AA26" s="333"/>
      <c r="AB26" s="333"/>
      <c r="AC26" s="333"/>
      <c r="AD26" s="333"/>
      <c r="AE26" s="333"/>
      <c r="AF26" s="333"/>
      <c r="AG26" s="333"/>
      <c r="AH26" s="333"/>
      <c r="AI26" s="333"/>
      <c r="AJ26" s="1646"/>
      <c r="AQ26" s="1642">
        <v>0</v>
      </c>
    </row>
    <row s="1861" customFormat="1" customHeight="1" ht="25.5" hidden="1">
      <c r="A27" s="1259"/>
      <c r="B27" s="1259"/>
      <c r="C27" s="1259"/>
      <c r="D27" s="1259"/>
      <c r="E27" s="1259"/>
      <c r="F27" s="1259"/>
      <c r="G27" s="1259"/>
      <c r="H27" s="1259"/>
      <c r="I27" s="1259"/>
      <c r="J27" s="1259"/>
      <c r="K27" s="1259"/>
      <c r="L27" s="1391"/>
      <c r="M27" s="1259"/>
      <c r="N27" s="1259"/>
      <c r="O27" s="1259"/>
      <c r="P27" s="1379"/>
      <c r="Q27" s="1379"/>
      <c r="S27" s="26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41"/>
      <c r="U27" s="1383"/>
      <c r="V27" s="2281" t="str">
        <f>IF(TITLE_NAME_OR_PR_CHANGE="",IF(TITLE_NAME_OR_PR="","",TITLE_NAME_OR_PR),TITLE_NAME_OR_PR_CHANGE)</f>
        <v/>
      </c>
      <c r="W27" s="2281"/>
      <c r="X27" s="2281"/>
      <c r="Y27" s="2281"/>
      <c r="Z27" s="2281"/>
      <c r="AA27" s="1646"/>
      <c r="AB27" s="1646"/>
      <c r="AC27" s="2281"/>
      <c r="AD27" s="2281"/>
      <c r="AE27" s="2281"/>
      <c r="AF27" s="2281"/>
      <c r="AG27" s="2281"/>
      <c r="AH27" s="2281"/>
      <c r="AI27" s="1646"/>
      <c r="AJ27" s="1646"/>
      <c r="AK27" s="291"/>
      <c r="AL27" s="379"/>
      <c r="AM27" s="379"/>
      <c r="AN27" s="379"/>
      <c r="AO27" s="379"/>
      <c r="AP27" s="379"/>
      <c r="AQ27" s="429">
        <v>0</v>
      </c>
    </row>
    <row s="1861" customFormat="1" customHeight="1" ht="18.75" hidden="1">
      <c r="A28" s="1259"/>
      <c r="B28" s="1259"/>
      <c r="C28" s="1259"/>
      <c r="D28" s="1259"/>
      <c r="E28" s="1259"/>
      <c r="F28" s="1259"/>
      <c r="G28" s="1259"/>
      <c r="H28" s="1259"/>
      <c r="I28" s="1259"/>
      <c r="J28" s="1259"/>
      <c r="K28" s="1259"/>
      <c r="L28" s="1391"/>
      <c r="M28" s="1259"/>
      <c r="N28" s="1259"/>
      <c r="O28" s="1259"/>
      <c r="P28" s="1379"/>
      <c r="Q28" s="1379"/>
      <c r="S28" s="2640" t="str">
        <f>"Дата документа об "&amp;IF(TITLE_DATE_PR_CHANGE="","утверждении","изменении")&amp;" тарифов"</f>
        <v>Дата документа об утверждении тарифов</v>
      </c>
      <c r="T28" s="2641"/>
      <c r="U28" s="1383"/>
      <c r="V28" s="2294" t="str">
        <f>IF(TITLE_DATE_PR_CHANGE="",IF(TITLE_DATE_PR="","",TITLE_DATE_PR),TITLE_DATE_PR_CHANGE)</f>
        <v/>
      </c>
      <c r="W28" s="2294"/>
      <c r="X28" s="2294"/>
      <c r="Y28" s="2294"/>
      <c r="Z28" s="2294"/>
      <c r="AA28" s="1646"/>
      <c r="AB28" s="1646"/>
      <c r="AC28" s="2294"/>
      <c r="AD28" s="2294"/>
      <c r="AE28" s="2294"/>
      <c r="AF28" s="2294"/>
      <c r="AG28" s="2294"/>
      <c r="AH28" s="2294"/>
      <c r="AI28" s="1646"/>
      <c r="AJ28" s="1646"/>
      <c r="AK28" s="291"/>
      <c r="AL28" s="379"/>
      <c r="AM28" s="379"/>
      <c r="AN28" s="379"/>
      <c r="AO28" s="379"/>
      <c r="AP28" s="379"/>
      <c r="AQ28" s="429">
        <v>0</v>
      </c>
    </row>
    <row s="1861" customFormat="1" customHeight="1" ht="18.75" hidden="1">
      <c r="A29" s="1259"/>
      <c r="B29" s="1259"/>
      <c r="C29" s="1259"/>
      <c r="D29" s="1259"/>
      <c r="E29" s="1259"/>
      <c r="F29" s="1259"/>
      <c r="G29" s="1259"/>
      <c r="H29" s="1259"/>
      <c r="I29" s="1259"/>
      <c r="J29" s="1259"/>
      <c r="K29" s="1259"/>
      <c r="L29" s="1391"/>
      <c r="M29" s="1259"/>
      <c r="N29" s="1259"/>
      <c r="O29" s="1259"/>
      <c r="P29" s="1379"/>
      <c r="Q29" s="1379"/>
      <c r="S29" s="2640" t="str">
        <f>"Номер документа об "&amp;IF(TITLE_DATE_PR_CHANGE="","утверждении","изменении")&amp;" тарифов"</f>
        <v>Номер документа об утверждении тарифов</v>
      </c>
      <c r="T29" s="2641"/>
      <c r="U29" s="1383"/>
      <c r="V29" s="2281" t="str">
        <f>IF(TITLE_NUMBER_PR_CHANGE="",IF(TITLE_NUMBER_PR="","",TITLE_NUMBER_PR),TITLE_NUMBER_PR_CHANGE)</f>
        <v/>
      </c>
      <c r="W29" s="2281"/>
      <c r="X29" s="2281"/>
      <c r="Y29" s="2281"/>
      <c r="Z29" s="2281"/>
      <c r="AA29" s="1646"/>
      <c r="AB29" s="1646"/>
      <c r="AC29" s="2281"/>
      <c r="AD29" s="2281"/>
      <c r="AE29" s="2281"/>
      <c r="AF29" s="2281"/>
      <c r="AG29" s="2281"/>
      <c r="AH29" s="2281"/>
      <c r="AI29" s="1646"/>
      <c r="AJ29" s="1646"/>
      <c r="AK29" s="291"/>
      <c r="AL29" s="379"/>
      <c r="AM29" s="379"/>
      <c r="AN29" s="379"/>
      <c r="AO29" s="379"/>
      <c r="AP29" s="379"/>
      <c r="AQ29" s="429">
        <v>0</v>
      </c>
    </row>
    <row s="1861" customFormat="1" customHeight="1" ht="18.75" hidden="1">
      <c r="A30" s="1259"/>
      <c r="B30" s="1259"/>
      <c r="C30" s="1259"/>
      <c r="D30" s="1259"/>
      <c r="E30" s="1259"/>
      <c r="F30" s="1259"/>
      <c r="G30" s="1259"/>
      <c r="H30" s="1259"/>
      <c r="I30" s="1259"/>
      <c r="J30" s="1259"/>
      <c r="K30" s="1259"/>
      <c r="L30" s="1391"/>
      <c r="M30" s="1259"/>
      <c r="N30" s="1259"/>
      <c r="O30" s="1259"/>
      <c r="P30" s="1379"/>
      <c r="Q30" s="1379"/>
      <c r="S30" s="2640" t="s">
        <v>43</v>
      </c>
      <c r="T30" s="2641"/>
      <c r="U30" s="1383"/>
      <c r="V30" s="2281" t="str">
        <f>IF(TITLE_IST_PUB_CHANGE="",IF(TITLE_IST_PUB="","",TITLE_IST_PUB),TITLE_IST_PUB_CHANGE)</f>
        <v/>
      </c>
      <c r="W30" s="2281"/>
      <c r="X30" s="2281"/>
      <c r="Y30" s="2281"/>
      <c r="Z30" s="2281"/>
      <c r="AA30" s="1646"/>
      <c r="AB30" s="1646"/>
      <c r="AC30" s="2281"/>
      <c r="AD30" s="2281"/>
      <c r="AE30" s="2281"/>
      <c r="AF30" s="2281"/>
      <c r="AG30" s="2281"/>
      <c r="AH30" s="2281"/>
      <c r="AI30" s="1646"/>
      <c r="AJ30" s="1646"/>
      <c r="AK30" s="291"/>
      <c r="AL30" s="379"/>
      <c r="AM30" s="379"/>
      <c r="AN30" s="379"/>
      <c r="AO30" s="379"/>
      <c r="AP30" s="379"/>
      <c r="AQ30" s="429">
        <v>0</v>
      </c>
    </row>
    <row customHeight="1" ht="14.25" hidden="1">
      <c r="Q31" s="302"/>
      <c r="R31" s="387"/>
      <c r="S31" s="1286"/>
      <c r="T31" s="468"/>
      <c r="U31" s="468"/>
      <c r="V31" s="333"/>
      <c r="W31" s="333"/>
      <c r="X31" s="333"/>
      <c r="Y31" s="333"/>
      <c r="Z31" s="333"/>
      <c r="AA31" s="333"/>
      <c r="AB31" s="333"/>
      <c r="AC31" s="333"/>
      <c r="AD31" s="333"/>
      <c r="AE31" s="333"/>
      <c r="AF31" s="333"/>
      <c r="AG31" s="333"/>
      <c r="AH31" s="333"/>
      <c r="AI31" s="333"/>
      <c r="AJ31" s="1646"/>
      <c r="AQ31" s="1642">
        <v>0</v>
      </c>
    </row>
    <row s="1861" customFormat="1" customHeight="1" ht="18.75" hidden="1">
      <c r="A32" s="1259"/>
      <c r="B32" s="1259"/>
      <c r="C32" s="1259"/>
      <c r="D32" s="1259"/>
      <c r="E32" s="1259"/>
      <c r="F32" s="1259"/>
      <c r="G32" s="1259"/>
      <c r="H32" s="1259"/>
      <c r="I32" s="1259"/>
      <c r="J32" s="1259"/>
      <c r="K32" s="1259"/>
      <c r="L32" s="1391"/>
      <c r="M32" s="1259"/>
      <c r="N32" s="1259"/>
      <c r="O32" s="1259"/>
      <c r="P32" s="1379"/>
      <c r="Q32" s="1379"/>
      <c r="S32" s="2640" t="str">
        <f>"Дата подачи заявления об "&amp;IF(TITLE_DATE_PR_CHANGE="","утверждении","изменении")&amp;" тарифов"</f>
        <v>Дата подачи заявления об утверждении тарифов</v>
      </c>
      <c r="T32" s="2641"/>
      <c r="U32" s="1383"/>
      <c r="V32" s="2294" t="str">
        <f>IF(TITLE_DATE_PR_CHANGE="",IF(TITLE_DATE_PR="","",TITLE_DATE_PR),TITLE_DATE_PR_CHANGE)</f>
        <v/>
      </c>
      <c r="W32" s="2294"/>
      <c r="X32" s="2294"/>
      <c r="Y32" s="2294"/>
      <c r="Z32" s="2294"/>
      <c r="AA32" s="1646"/>
      <c r="AB32" s="1646"/>
      <c r="AC32" s="2294"/>
      <c r="AD32" s="2294"/>
      <c r="AE32" s="2294"/>
      <c r="AF32" s="2294"/>
      <c r="AG32" s="2294"/>
      <c r="AH32" s="2294"/>
      <c r="AI32" s="1646"/>
      <c r="AJ32" s="1646"/>
      <c r="AK32" s="291"/>
      <c r="AL32" s="379"/>
      <c r="AM32" s="379"/>
      <c r="AN32" s="379"/>
      <c r="AO32" s="379"/>
      <c r="AP32" s="379"/>
      <c r="AQ32" s="429">
        <v>0</v>
      </c>
    </row>
    <row s="1861" customFormat="1" customHeight="1" ht="18" hidden="1">
      <c r="A33" s="1259"/>
      <c r="B33" s="1259"/>
      <c r="C33" s="1259"/>
      <c r="D33" s="1259"/>
      <c r="E33" s="1259"/>
      <c r="F33" s="1259"/>
      <c r="G33" s="1259"/>
      <c r="H33" s="1259"/>
      <c r="I33" s="1259"/>
      <c r="J33" s="1259"/>
      <c r="K33" s="1259"/>
      <c r="L33" s="1391"/>
      <c r="M33" s="1259"/>
      <c r="N33" s="1259"/>
      <c r="O33" s="1259"/>
      <c r="P33" s="1379"/>
      <c r="Q33" s="1379"/>
      <c r="S33" s="2640" t="str">
        <f>"Номер подачи заявления об "&amp;IF(TITLE_DATE_PR_CHANGE="","утверждении","изменении")&amp;" тарифов"</f>
        <v>Номер подачи заявления об утверждении тарифов</v>
      </c>
      <c r="T33" s="2641"/>
      <c r="U33" s="1383"/>
      <c r="V33" s="2281" t="str">
        <f>IF(TITLE_NUMBER_PR_CHANGE="",IF(TITLE_NUMBER_PR="","",TITLE_NUMBER_PR),TITLE_NUMBER_PR_CHANGE)</f>
        <v/>
      </c>
      <c r="W33" s="2281"/>
      <c r="X33" s="2281"/>
      <c r="Y33" s="2281"/>
      <c r="Z33" s="2281"/>
      <c r="AA33" s="1646"/>
      <c r="AB33" s="1646"/>
      <c r="AC33" s="2281"/>
      <c r="AD33" s="2281"/>
      <c r="AE33" s="2281"/>
      <c r="AF33" s="2281"/>
      <c r="AG33" s="2281"/>
      <c r="AH33" s="2281"/>
      <c r="AI33" s="1646"/>
      <c r="AJ33" s="1646"/>
      <c r="AK33" s="291"/>
      <c r="AL33" s="379"/>
      <c r="AM33" s="379"/>
      <c r="AN33" s="379"/>
      <c r="AO33" s="379"/>
      <c r="AP33" s="379"/>
      <c r="AQ33" s="429">
        <v>0</v>
      </c>
    </row>
    <row s="1861" customFormat="1" customHeight="1" ht="1.05">
      <c r="A34" s="1259"/>
      <c r="B34" s="1259"/>
      <c r="C34" s="1259"/>
      <c r="D34" s="1259"/>
      <c r="E34" s="1259"/>
      <c r="F34" s="1259"/>
      <c r="G34" s="1259"/>
      <c r="H34" s="1259"/>
      <c r="I34" s="1259"/>
      <c r="J34" s="1259"/>
      <c r="K34" s="1259"/>
      <c r="L34" s="1391"/>
      <c r="M34" s="1259"/>
      <c r="N34" s="1259"/>
      <c r="O34" s="1259"/>
      <c r="P34" s="1379"/>
      <c r="Q34" s="1379"/>
      <c r="S34" s="1646"/>
      <c r="T34" s="1646"/>
      <c r="U34" s="1978"/>
      <c r="V34" s="1646"/>
      <c r="W34" s="1646"/>
      <c r="X34" s="1646"/>
      <c r="Y34" s="1646"/>
      <c r="Z34" s="1646"/>
      <c r="AA34" s="1653" t="s">
        <v>437</v>
      </c>
      <c r="AB34" s="1653"/>
      <c r="AC34" s="1646"/>
      <c r="AD34" s="1646"/>
      <c r="AE34" s="1646"/>
      <c r="AF34" s="1646"/>
      <c r="AG34" s="1646"/>
      <c r="AH34" s="1646"/>
      <c r="AI34" s="1653" t="s">
        <v>437</v>
      </c>
      <c r="AL34" s="379"/>
      <c r="AM34" s="379"/>
      <c r="AN34" s="379"/>
      <c r="AO34" s="379"/>
      <c r="AP34" s="379"/>
      <c r="AQ34" s="429">
        <v>1</v>
      </c>
    </row>
    <row customHeight="1" ht="14.699999999999998">
      <c r="Q35" s="302"/>
      <c r="R35" s="387"/>
      <c r="S35" s="1286"/>
      <c r="T35" s="468"/>
      <c r="U35" s="1255"/>
      <c r="V35" s="2282"/>
      <c r="W35" s="2282"/>
      <c r="X35" s="2282"/>
      <c r="Y35" s="2282"/>
      <c r="Z35" s="2282"/>
      <c r="AA35" s="2282"/>
      <c r="AB35" s="1965"/>
      <c r="AC35" s="2282"/>
      <c r="AD35" s="2282"/>
      <c r="AE35" s="2282"/>
      <c r="AF35" s="2282"/>
      <c r="AG35" s="2282"/>
      <c r="AH35" s="2282"/>
      <c r="AI35" s="2282"/>
      <c r="AQ35" s="1642">
        <v>14</v>
      </c>
    </row>
    <row customHeight="1" ht="14.699999999999998">
      <c r="Q36" s="302"/>
      <c r="R36" s="387"/>
      <c r="S36" s="2157" t="s">
        <v>314</v>
      </c>
      <c r="T36" s="2157"/>
      <c r="U36" s="2157"/>
      <c r="V36" s="2157"/>
      <c r="W36" s="2157"/>
      <c r="X36" s="2157"/>
      <c r="Y36" s="2157"/>
      <c r="Z36" s="2157"/>
      <c r="AA36" s="2205"/>
      <c r="AB36" s="2205"/>
      <c r="AC36" s="2205"/>
      <c r="AD36" s="2157"/>
      <c r="AE36" s="2157"/>
      <c r="AF36" s="2157"/>
      <c r="AG36" s="2157"/>
      <c r="AH36" s="2157"/>
      <c r="AI36" s="2157"/>
      <c r="AJ36" s="2157"/>
      <c r="AK36" s="2157" t="s">
        <v>315</v>
      </c>
      <c r="AQ36" s="1642">
        <v>14</v>
      </c>
    </row>
    <row customHeight="1" ht="14.699999999999998">
      <c r="Q37" s="302"/>
      <c r="R37" s="387"/>
      <c r="S37" s="2303" t="s">
        <v>89</v>
      </c>
      <c r="T37" s="2239" t="s">
        <v>491</v>
      </c>
      <c r="U37" s="348"/>
      <c r="V37" s="2305"/>
      <c r="W37" s="2305"/>
      <c r="X37" s="2305"/>
      <c r="Y37" s="2305"/>
      <c r="Z37" s="2305"/>
      <c r="AA37" s="2239" t="s">
        <v>440</v>
      </c>
      <c r="AB37" s="2238" t="s">
        <v>492</v>
      </c>
      <c r="AC37" s="2238" t="s">
        <v>484</v>
      </c>
      <c r="AD37" s="2321" t="s">
        <v>439</v>
      </c>
      <c r="AE37" s="2321"/>
      <c r="AF37" s="2305"/>
      <c r="AG37" s="2305"/>
      <c r="AH37" s="2306"/>
      <c r="AI37" s="2307" t="s">
        <v>440</v>
      </c>
      <c r="AJ37" s="2310" t="s">
        <v>442</v>
      </c>
      <c r="AK37" s="2157"/>
      <c r="AQ37" s="1642">
        <v>14</v>
      </c>
    </row>
    <row customHeight="1" ht="35.699999999999996">
      <c r="Q38" s="302"/>
      <c r="R38" s="387"/>
      <c r="S38" s="2303"/>
      <c r="T38" s="2239"/>
      <c r="U38" s="1042"/>
      <c r="V38" s="2133" t="s">
        <v>487</v>
      </c>
      <c r="W38" s="2157"/>
      <c r="X38" s="2324" t="s">
        <v>446</v>
      </c>
      <c r="Y38" s="2343"/>
      <c r="Z38" s="2343"/>
      <c r="AA38" s="2239"/>
      <c r="AB38" s="2238"/>
      <c r="AC38" s="2238"/>
      <c r="AD38" s="2133" t="s">
        <v>487</v>
      </c>
      <c r="AE38" s="2157"/>
      <c r="AF38" s="2343" t="s">
        <v>446</v>
      </c>
      <c r="AG38" s="2343"/>
      <c r="AH38" s="2344"/>
      <c r="AI38" s="2308"/>
      <c r="AJ38" s="2311"/>
      <c r="AK38" s="2157"/>
      <c r="AQ38" s="1642">
        <v>34</v>
      </c>
    </row>
    <row customHeight="1" ht="14.699999999999998">
      <c r="Q39" s="302"/>
      <c r="R39" s="387"/>
      <c r="S39" s="2303"/>
      <c r="T39" s="2239"/>
      <c r="U39" s="1042"/>
      <c r="V39" s="2370" t="str">
        <f>IF($AD$39&lt;&gt;"",$AD$39,"")</f>
        <v/>
      </c>
      <c r="W39" s="2370"/>
      <c r="X39" s="2325"/>
      <c r="Y39" s="2345"/>
      <c r="Z39" s="2345"/>
      <c r="AA39" s="2239"/>
      <c r="AB39" s="2238"/>
      <c r="AC39" s="2238"/>
      <c r="AD39" s="2386"/>
      <c r="AE39" s="2369"/>
      <c r="AF39" s="2345"/>
      <c r="AG39" s="2345"/>
      <c r="AH39" s="2346"/>
      <c r="AI39" s="2308"/>
      <c r="AJ39" s="2311"/>
      <c r="AK39" s="2157"/>
      <c r="AQ39" s="1642">
        <v>14</v>
      </c>
    </row>
    <row customHeight="1" ht="14.699999999999998">
      <c r="A40" s="1277"/>
      <c r="B40" s="1277" t="s">
        <v>151</v>
      </c>
      <c r="C40" s="1277" t="s">
        <v>152</v>
      </c>
      <c r="D40" s="1277" t="s">
        <v>153</v>
      </c>
      <c r="E40" s="1321" t="s">
        <v>447</v>
      </c>
      <c r="F40" s="1321" t="s">
        <v>448</v>
      </c>
      <c r="G40" s="1321" t="s">
        <v>449</v>
      </c>
      <c r="H40" s="1321" t="s">
        <v>450</v>
      </c>
      <c r="I40" s="1321" t="s">
        <v>451</v>
      </c>
      <c r="J40" s="1321" t="s">
        <v>452</v>
      </c>
      <c r="K40" s="1321" t="s">
        <v>453</v>
      </c>
      <c r="L40" s="1321" t="s">
        <v>432</v>
      </c>
      <c r="Q40" s="302"/>
      <c r="R40" s="387"/>
      <c r="S40" s="2303"/>
      <c r="T40" s="2239"/>
      <c r="U40" s="313"/>
      <c r="V40" s="1958" t="s">
        <v>488</v>
      </c>
      <c r="W40" s="1958" t="s">
        <v>489</v>
      </c>
      <c r="X40" s="1946" t="s">
        <v>456</v>
      </c>
      <c r="Y40" s="2300" t="s">
        <v>457</v>
      </c>
      <c r="Z40" s="2350"/>
      <c r="AA40" s="2239"/>
      <c r="AB40" s="2238"/>
      <c r="AC40" s="2238"/>
      <c r="AD40" s="1976" t="s">
        <v>488</v>
      </c>
      <c r="AE40" s="1967" t="s">
        <v>489</v>
      </c>
      <c r="AF40" s="1946" t="s">
        <v>456</v>
      </c>
      <c r="AG40" s="2300" t="s">
        <v>457</v>
      </c>
      <c r="AH40" s="2301"/>
      <c r="AI40" s="2309"/>
      <c r="AJ40" s="2312"/>
      <c r="AK40" s="2157"/>
      <c r="AQ40" s="1642">
        <v>14</v>
      </c>
    </row>
    <row s="1652" customFormat="1" customHeight="1" ht="11.25" hidden="1">
      <c r="A41" s="1277"/>
      <c r="B41" s="1277"/>
      <c r="C41" s="1277"/>
      <c r="D41" s="1277"/>
      <c r="E41" s="1277"/>
      <c r="F41" s="1277"/>
      <c r="G41" s="1277"/>
      <c r="H41" s="1277"/>
      <c r="I41" s="1277"/>
      <c r="J41" s="1277"/>
      <c r="K41" s="1277"/>
      <c r="L41" s="1321"/>
      <c r="M41" s="1973"/>
      <c r="N41" s="1973"/>
      <c r="O41" s="1973"/>
      <c r="P41" s="521"/>
      <c r="Q41" s="1265"/>
      <c r="R41" s="1265">
        <v>1</v>
      </c>
      <c r="S41" s="1288" t="s">
        <v>120</v>
      </c>
      <c r="T41" s="1266" t="s">
        <v>104</v>
      </c>
      <c r="U41" s="1256" t="str">
        <f>OFFSET(U41,0,-1)</f>
        <v>2</v>
      </c>
      <c r="V41" s="1964">
        <f>OFFSET(V41,0,-1)+1</f>
        <v>3</v>
      </c>
      <c r="W41" s="1964">
        <f>OFFSET(W41,0,-1)+1</f>
        <v>4</v>
      </c>
      <c r="X41" s="1964">
        <f>OFFSET(X41,0,-1)+1</f>
        <v>5</v>
      </c>
      <c r="Y41" s="2302">
        <f>OFFSET(Y41,0,-1)+1</f>
        <v>6</v>
      </c>
      <c r="Z41" s="2302"/>
      <c r="AA41" s="1352">
        <f>OFFSET(AA41,0,-2)+1</f>
        <v>7</v>
      </c>
      <c r="AB41" s="1352"/>
      <c r="AC41" s="1352"/>
      <c r="AD41" s="1964">
        <f>OFFSET(AD41,0,-1)+1</f>
        <v>1</v>
      </c>
      <c r="AE41" s="1964">
        <f>OFFSET(AE41,0,-1)+1</f>
        <v>2</v>
      </c>
      <c r="AF41" s="1964">
        <f>OFFSET(AF41,0,-1)+1</f>
        <v>3</v>
      </c>
      <c r="AG41" s="2302">
        <f>OFFSET(AG41,0,-1)+1</f>
        <v>4</v>
      </c>
      <c r="AH41" s="2302"/>
      <c r="AI41" s="1964">
        <f>OFFSET(AI41,0,-2)+1</f>
        <v>5</v>
      </c>
      <c r="AJ41" s="1256">
        <f>OFFSET(AJ41,0,-1)</f>
        <v>5</v>
      </c>
      <c r="AK41" s="1964">
        <f>OFFSET(AK41,0,-1)+1</f>
        <v>6</v>
      </c>
      <c r="AL41" s="1647"/>
      <c r="AM41" s="1647"/>
      <c r="AN41" s="1647"/>
      <c r="AO41" s="1647"/>
      <c r="AP41" s="1647"/>
      <c r="AQ41" s="1652">
        <v>0</v>
      </c>
    </row>
    <row customHeight="1" ht="107.25">
      <c r="A42" s="1278" t="s">
        <v>220</v>
      </c>
      <c r="B42" s="1278"/>
      <c r="C42" s="1278"/>
      <c r="D42" s="1278"/>
      <c r="E42" s="2319">
        <v>1</v>
      </c>
      <c r="F42" s="1278"/>
      <c r="G42" s="1278"/>
      <c r="H42" s="1278"/>
      <c r="I42" s="1278"/>
      <c r="J42" s="1278"/>
      <c r="K42" s="1278"/>
      <c r="L42" s="1321"/>
      <c r="M42" s="1621"/>
      <c r="N42" s="1621"/>
      <c r="O42" s="1621"/>
      <c r="P42" s="1420"/>
      <c r="Q42" s="884"/>
      <c r="R42" s="366"/>
      <c r="S42" s="1966">
        <f>INDEX(PT_DIFFERENTIATION_NUM_NTAR,MATCH(A42,PT_DIFFERENTIATION_NTAR_ID,0))</f>
        <v>0</v>
      </c>
      <c r="T42" s="1536" t="s">
        <v>139</v>
      </c>
      <c r="U42" s="311"/>
      <c r="V42" s="2273"/>
      <c r="W42" s="2273"/>
      <c r="X42" s="2273"/>
      <c r="Y42" s="2273"/>
      <c r="Z42" s="2273"/>
      <c r="AA42" s="2274"/>
      <c r="AB42" s="1960"/>
      <c r="AC42" s="2273" t="str">
        <f>INDEX(PT_DIFFERENTIATION_NTAR,MATCH(A42,PT_DIFFERENTIATION_NTAR_ID,0))</f>
        <v/>
      </c>
      <c r="AD42" s="2273"/>
      <c r="AE42" s="2273"/>
      <c r="AF42" s="2273"/>
      <c r="AG42" s="2273"/>
      <c r="AH42" s="2273"/>
      <c r="AI42" s="2273"/>
      <c r="AJ42" s="2274"/>
      <c r="AK42" s="12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5"/>
      <c r="AN42" s="1635" t="str">
        <f>IF(T42="","",T42)</f>
        <v>Наименование тарифа</v>
      </c>
      <c r="AO42" s="1635"/>
      <c r="AP42" s="1635"/>
      <c r="AQ42" s="1642">
        <v>102</v>
      </c>
    </row>
    <row customHeight="1" ht="22.049999999999997">
      <c r="A43" s="1278" t="s">
        <v>220</v>
      </c>
      <c r="B43" s="1278" t="s">
        <v>221</v>
      </c>
      <c r="C43" s="1278"/>
      <c r="D43" s="1278"/>
      <c r="E43" s="2320"/>
      <c r="F43" s="2319">
        <v>1</v>
      </c>
      <c r="G43" s="1278"/>
      <c r="H43" s="1278"/>
      <c r="I43" s="1278"/>
      <c r="J43" s="1278"/>
      <c r="K43" s="1278"/>
      <c r="L43" s="1321"/>
      <c r="M43" s="1621"/>
      <c r="N43" s="1621"/>
      <c r="O43" s="1621"/>
      <c r="P43" s="1977"/>
      <c r="Q43" s="1422"/>
      <c r="R43" s="364"/>
      <c r="S43" s="1966" t="str">
        <f>INDEX(PT_DIFFERENTIATION_NUM_TER,MATCH(B43,PT_DIFFERENTIATION_TER_ID,0))</f>
        <v>.</v>
      </c>
      <c r="T43" s="1533" t="s">
        <v>411</v>
      </c>
      <c r="U43" s="311"/>
      <c r="V43" s="2273"/>
      <c r="W43" s="2273"/>
      <c r="X43" s="2273"/>
      <c r="Y43" s="2273"/>
      <c r="Z43" s="2273"/>
      <c r="AA43" s="2274"/>
      <c r="AB43" s="1960"/>
      <c r="AC43" s="2273" t="str">
        <f>INDEX(PT_DIFFERENTIATION_TER,MATCH(B43,PT_DIFFERENTIATION_TER_ID,0))</f>
        <v/>
      </c>
      <c r="AD43" s="2273"/>
      <c r="AE43" s="2273"/>
      <c r="AF43" s="2273"/>
      <c r="AG43" s="2273"/>
      <c r="AH43" s="2273"/>
      <c r="AI43" s="2273"/>
      <c r="AJ43" s="2274"/>
      <c r="AK43" s="1269" t="s">
        <v>412</v>
      </c>
      <c r="AM43" s="1635"/>
      <c r="AN43" s="1635" t="str">
        <f>IF(T43="","",T43)</f>
        <v>Территория действия тарифа</v>
      </c>
      <c r="AO43" s="1635"/>
      <c r="AP43" s="1635"/>
      <c r="AQ43" s="1642">
        <v>21</v>
      </c>
    </row>
    <row customHeight="1" ht="24">
      <c r="A44" s="1278" t="s">
        <v>220</v>
      </c>
      <c r="B44" s="1278" t="s">
        <v>221</v>
      </c>
      <c r="C44" s="1278" t="s">
        <v>222</v>
      </c>
      <c r="D44" s="1278"/>
      <c r="E44" s="2320"/>
      <c r="F44" s="2320"/>
      <c r="G44" s="2319">
        <v>1</v>
      </c>
      <c r="H44" s="1278"/>
      <c r="I44" s="1278"/>
      <c r="J44" s="1278"/>
      <c r="K44" s="1278"/>
      <c r="L44" s="1321"/>
      <c r="M44" s="1621"/>
      <c r="N44" s="1621"/>
      <c r="O44" s="1621"/>
      <c r="P44" s="1423"/>
      <c r="Q44" s="1422"/>
      <c r="R44" s="364"/>
      <c r="S44" s="1966" t="str">
        <f>INDEX(PT_DIFFERENTIATION_NUM_CS,MATCH(C44,PT_DIFFERENTIATION_CS_ID,0))</f>
        <v>..</v>
      </c>
      <c r="T44" s="320" t="s">
        <v>413</v>
      </c>
      <c r="U44" s="311"/>
      <c r="V44" s="2273"/>
      <c r="W44" s="2273"/>
      <c r="X44" s="2273"/>
      <c r="Y44" s="2273"/>
      <c r="Z44" s="2273"/>
      <c r="AA44" s="2274"/>
      <c r="AB44" s="1960"/>
      <c r="AC44" s="2273" t="str">
        <f>INDEX(PT_DIFFERENTIATION_CS,MATCH(C44,PT_DIFFERENTIATION_CS_ID,0))</f>
        <v/>
      </c>
      <c r="AD44" s="2273"/>
      <c r="AE44" s="2273"/>
      <c r="AF44" s="2273"/>
      <c r="AG44" s="2273"/>
      <c r="AH44" s="2273"/>
      <c r="AI44" s="2273"/>
      <c r="AJ44" s="2274"/>
      <c r="AK44" s="1269" t="s">
        <v>414</v>
      </c>
      <c r="AM44" s="1635"/>
      <c r="AN44" s="1635" t="str">
        <f>IF(T44="","",T44)</f>
        <v>Наименование системы теплоснабжения </v>
      </c>
      <c r="AO44" s="1635"/>
      <c r="AP44" s="1635"/>
      <c r="AQ44" s="1642">
        <v>23</v>
      </c>
    </row>
    <row customHeight="1" ht="22.049999999999997">
      <c r="A45" s="1278" t="s">
        <v>220</v>
      </c>
      <c r="B45" s="1278" t="s">
        <v>221</v>
      </c>
      <c r="C45" s="1278" t="s">
        <v>222</v>
      </c>
      <c r="D45" s="1278" t="s">
        <v>223</v>
      </c>
      <c r="E45" s="2320"/>
      <c r="F45" s="2320"/>
      <c r="G45" s="2320"/>
      <c r="H45" s="2319">
        <v>1</v>
      </c>
      <c r="I45" s="1278"/>
      <c r="J45" s="1278"/>
      <c r="K45" s="1278"/>
      <c r="L45" s="1321"/>
      <c r="M45" s="1621"/>
      <c r="N45" s="1621"/>
      <c r="O45" s="1621"/>
      <c r="P45" s="1423"/>
      <c r="Q45" s="1422"/>
      <c r="R45" s="364"/>
      <c r="S45" s="1966" t="str">
        <f>INDEX(PT_DIFFERENTIATION_NUM_IST_TE,MATCH(D45,PT_DIFFERENTIATION_IST_TE_ID,0))</f>
        <v>...</v>
      </c>
      <c r="T45" s="321" t="s">
        <v>415</v>
      </c>
      <c r="U45" s="311"/>
      <c r="V45" s="2273"/>
      <c r="W45" s="2273"/>
      <c r="X45" s="2273"/>
      <c r="Y45" s="2273"/>
      <c r="Z45" s="2273"/>
      <c r="AA45" s="2274"/>
      <c r="AB45" s="1960"/>
      <c r="AC45" s="2273" t="str">
        <f>INDEX(PT_DIFFERENTIATION_IST_TE,MATCH(D45,PT_DIFFERENTIATION_IST_TE_ID,0))</f>
        <v/>
      </c>
      <c r="AD45" s="2273"/>
      <c r="AE45" s="2273"/>
      <c r="AF45" s="2273"/>
      <c r="AG45" s="2273"/>
      <c r="AH45" s="2273"/>
      <c r="AI45" s="2273"/>
      <c r="AJ45" s="2274"/>
      <c r="AK45" s="1269" t="s">
        <v>416</v>
      </c>
      <c r="AM45" s="1635"/>
      <c r="AN45" s="1635" t="str">
        <f>IF(T45="","",T45)</f>
        <v>Источник тепловой энергии  </v>
      </c>
      <c r="AO45" s="1635"/>
      <c r="AP45" s="1635"/>
      <c r="AQ45" s="1642">
        <v>21</v>
      </c>
    </row>
    <row s="1653" customFormat="1" customHeight="1" ht="0">
      <c r="A46" s="1386" t="s">
        <v>220</v>
      </c>
      <c r="B46" s="1386" t="s">
        <v>221</v>
      </c>
      <c r="C46" s="1386" t="s">
        <v>222</v>
      </c>
      <c r="D46" s="1386" t="s">
        <v>223</v>
      </c>
      <c r="E46" s="2320"/>
      <c r="F46" s="2320"/>
      <c r="G46" s="2320"/>
      <c r="H46" s="2320"/>
      <c r="I46" s="2157" t="str">
        <f>S45&amp;".1"</f>
        <v>....1</v>
      </c>
      <c r="J46" s="1386"/>
      <c r="K46" s="1386"/>
      <c r="L46" s="1392" t="s">
        <v>417</v>
      </c>
      <c r="M46" s="1257"/>
      <c r="N46" s="1257"/>
      <c r="O46" s="1257"/>
      <c r="P46" s="2287">
        <v>1</v>
      </c>
      <c r="Q46" s="1962"/>
      <c r="R46" s="367"/>
      <c r="S46" s="1053"/>
      <c r="T46" s="1394"/>
      <c r="U46" s="1395"/>
      <c r="V46" s="2327"/>
      <c r="W46" s="2327"/>
      <c r="X46" s="2327"/>
      <c r="Y46" s="2327"/>
      <c r="Z46" s="2327"/>
      <c r="AA46" s="2328"/>
      <c r="AB46" s="1968"/>
      <c r="AC46" s="2327"/>
      <c r="AD46" s="2327"/>
      <c r="AE46" s="2327"/>
      <c r="AF46" s="2327"/>
      <c r="AG46" s="2327"/>
      <c r="AH46" s="2327"/>
      <c r="AI46" s="2327"/>
      <c r="AJ46" s="2328"/>
      <c r="AK46" s="1396"/>
      <c r="AM46" s="1635"/>
      <c r="AN46" s="1635" t="str">
        <f>IF(T46="","",T46)</f>
        <v/>
      </c>
      <c r="AO46" s="1635"/>
      <c r="AP46" s="1635"/>
      <c r="AQ46" s="1647">
        <v>0</v>
      </c>
    </row>
    <row s="1653" customFormat="1" customHeight="1" ht="0">
      <c r="A47" s="1386" t="s">
        <v>220</v>
      </c>
      <c r="B47" s="1386" t="s">
        <v>221</v>
      </c>
      <c r="C47" s="1386" t="s">
        <v>222</v>
      </c>
      <c r="D47" s="1386" t="s">
        <v>223</v>
      </c>
      <c r="E47" s="2320"/>
      <c r="F47" s="2320"/>
      <c r="G47" s="2320"/>
      <c r="H47" s="2320"/>
      <c r="I47" s="2131"/>
      <c r="J47" s="2157" t="str">
        <f>S45&amp;".1"</f>
        <v>....1</v>
      </c>
      <c r="K47" s="1386"/>
      <c r="L47" s="1392"/>
      <c r="M47" s="1257"/>
      <c r="N47" s="1257"/>
      <c r="O47" s="1257"/>
      <c r="P47" s="2287"/>
      <c r="Q47" s="2287">
        <v>1</v>
      </c>
      <c r="R47" s="368"/>
      <c r="S47" s="1053"/>
      <c r="T47" s="1410"/>
      <c r="U47" s="1395"/>
      <c r="V47" s="2327"/>
      <c r="W47" s="2327"/>
      <c r="X47" s="2327"/>
      <c r="Y47" s="2327"/>
      <c r="Z47" s="2327"/>
      <c r="AA47" s="2328"/>
      <c r="AB47" s="1968"/>
      <c r="AC47" s="2327"/>
      <c r="AD47" s="2327"/>
      <c r="AE47" s="2327"/>
      <c r="AF47" s="2327"/>
      <c r="AG47" s="2327"/>
      <c r="AH47" s="2327"/>
      <c r="AI47" s="2327"/>
      <c r="AJ47" s="2328"/>
      <c r="AK47" s="1396"/>
      <c r="AM47" s="1635"/>
      <c r="AN47" s="1635" t="str">
        <f>IF(T47="","",T47)</f>
        <v/>
      </c>
      <c r="AO47" s="1635"/>
      <c r="AP47" s="1635"/>
      <c r="AQ47" s="1647">
        <v>0</v>
      </c>
    </row>
    <row customHeight="1" ht="22.049999999999997">
      <c r="A48" s="1278" t="s">
        <v>220</v>
      </c>
      <c r="B48" s="1278" t="s">
        <v>221</v>
      </c>
      <c r="C48" s="1278" t="s">
        <v>222</v>
      </c>
      <c r="D48" s="1278" t="s">
        <v>223</v>
      </c>
      <c r="E48" s="2320"/>
      <c r="F48" s="2320"/>
      <c r="G48" s="2320"/>
      <c r="H48" s="2320"/>
      <c r="I48" s="2131"/>
      <c r="J48" s="2131"/>
      <c r="K48" s="1949" t="str">
        <f>S45&amp;".1"</f>
        <v>....1</v>
      </c>
      <c r="L48" s="1321"/>
      <c r="P48" s="2287"/>
      <c r="Q48" s="2287"/>
      <c r="R48" s="368">
        <v>1</v>
      </c>
      <c r="S48" s="1970" t="str">
        <f>$K48</f>
        <v>....1</v>
      </c>
      <c r="T48" s="1969"/>
      <c r="U48" s="311"/>
      <c r="V48" s="762"/>
      <c r="W48" s="1268"/>
      <c r="X48" s="1963"/>
      <c r="Y48" s="1950" t="s">
        <v>63</v>
      </c>
      <c r="Z48" s="1963"/>
      <c r="AA48" s="1950" t="s">
        <v>63</v>
      </c>
      <c r="AB48" s="1972"/>
      <c r="AC48" s="1971" t="s">
        <v>22</v>
      </c>
      <c r="AD48" s="762"/>
      <c r="AE48" s="1268"/>
      <c r="AF48" s="1963"/>
      <c r="AG48" s="1950" t="s">
        <v>63</v>
      </c>
      <c r="AH48" s="1963"/>
      <c r="AI48" s="1950" t="s">
        <v>63</v>
      </c>
      <c r="AJ48" s="1359"/>
      <c r="AK48" s="2283" t="s">
        <v>490</v>
      </c>
      <c r="AL48" s="1647">
        <f>STRCHECKDATE(#REF!)</f>
      </c>
      <c r="AM48" s="1635"/>
      <c r="AN48" s="1635" t="str">
        <f>IF(T48="","",T48)</f>
        <v/>
      </c>
      <c r="AO48" s="1635"/>
      <c r="AP48" s="1635"/>
      <c r="AQ48" s="1642">
        <v>21</v>
      </c>
    </row>
    <row customHeight="1" ht="11.549999999999999">
      <c r="A49" s="1278" t="s">
        <v>220</v>
      </c>
      <c r="B49" s="1278" t="s">
        <v>221</v>
      </c>
      <c r="C49" s="1278" t="s">
        <v>222</v>
      </c>
      <c r="D49" s="1278" t="s">
        <v>223</v>
      </c>
      <c r="E49" s="2320"/>
      <c r="F49" s="2320"/>
      <c r="G49" s="2320"/>
      <c r="H49" s="2320"/>
      <c r="I49" s="2131"/>
      <c r="J49" s="2157"/>
      <c r="K49" s="1278"/>
      <c r="L49" s="1321"/>
      <c r="P49" s="2287"/>
      <c r="Q49" s="2287"/>
      <c r="R49" s="367"/>
      <c r="S49" s="1289"/>
      <c r="T49" s="298" t="s">
        <v>478</v>
      </c>
      <c r="U49" s="611"/>
      <c r="V49" s="611"/>
      <c r="W49" s="611"/>
      <c r="X49" s="611"/>
      <c r="Y49" s="611"/>
      <c r="Z49" s="611"/>
      <c r="AA49" s="335"/>
      <c r="AB49" s="611"/>
      <c r="AC49" s="611"/>
      <c r="AD49" s="611"/>
      <c r="AE49" s="611"/>
      <c r="AF49" s="611"/>
      <c r="AG49" s="611"/>
      <c r="AH49" s="611"/>
      <c r="AI49" s="611"/>
      <c r="AJ49" s="335"/>
      <c r="AK49" s="2285"/>
      <c r="AM49" s="1635"/>
      <c r="AN49" s="1635" t="str">
        <f>IF(T49="","",T49)</f>
        <v>Добавить строку</v>
      </c>
      <c r="AO49" s="1635"/>
      <c r="AP49" s="1635"/>
      <c r="AQ49" s="1642">
        <v>11</v>
      </c>
    </row>
    <row s="1653" customFormat="1" customHeight="1" ht="1.05">
      <c r="A50" s="1386" t="s">
        <v>220</v>
      </c>
      <c r="B50" s="1386" t="s">
        <v>221</v>
      </c>
      <c r="C50" s="1386" t="s">
        <v>222</v>
      </c>
      <c r="D50" s="1386" t="s">
        <v>223</v>
      </c>
      <c r="E50" s="2320"/>
      <c r="F50" s="2320"/>
      <c r="G50" s="2320"/>
      <c r="H50" s="2320"/>
      <c r="I50" s="2157"/>
      <c r="J50" s="1386"/>
      <c r="K50" s="1386"/>
      <c r="L50" s="1392"/>
      <c r="M50" s="1257"/>
      <c r="N50" s="1257"/>
      <c r="O50" s="1257"/>
      <c r="P50" s="2287"/>
      <c r="Q50" s="1962"/>
      <c r="R50" s="367"/>
      <c r="S50" s="1397"/>
      <c r="T50" s="1398" t="s">
        <v>426</v>
      </c>
      <c r="U50" s="1399"/>
      <c r="V50" s="1399"/>
      <c r="W50" s="1399"/>
      <c r="X50" s="1399"/>
      <c r="Y50" s="1399"/>
      <c r="Z50" s="1399"/>
      <c r="AA50" s="1399"/>
      <c r="AB50" s="1399"/>
      <c r="AC50" s="1399"/>
      <c r="AD50" s="1399"/>
      <c r="AE50" s="1399"/>
      <c r="AF50" s="1399"/>
      <c r="AG50" s="1399"/>
      <c r="AH50" s="1399"/>
      <c r="AI50" s="1399"/>
      <c r="AJ50" s="1399"/>
      <c r="AK50" s="1400"/>
      <c r="AM50" s="1635"/>
      <c r="AN50" s="1635" t="str">
        <f>IF(T50="","",T50)</f>
        <v>Добавить группу потребителей</v>
      </c>
      <c r="AO50" s="1635"/>
      <c r="AP50" s="1635"/>
      <c r="AQ50" s="1647">
        <v>1</v>
      </c>
    </row>
    <row s="1652" customFormat="1" customHeight="1" ht="1.05">
      <c r="A51" s="1386" t="s">
        <v>220</v>
      </c>
      <c r="B51" s="1386" t="s">
        <v>221</v>
      </c>
      <c r="C51" s="1386" t="s">
        <v>222</v>
      </c>
      <c r="D51" s="1386" t="s">
        <v>223</v>
      </c>
      <c r="E51" s="2320"/>
      <c r="F51" s="2320"/>
      <c r="G51" s="2320"/>
      <c r="H51" s="2319"/>
      <c r="I51" s="1386"/>
      <c r="J51" s="1386"/>
      <c r="K51" s="1386"/>
      <c r="L51" s="1392"/>
      <c r="M51" s="1389"/>
      <c r="N51" s="1389"/>
      <c r="O51" s="362"/>
      <c r="P51" s="391"/>
      <c r="Q51" s="1355"/>
      <c r="R51" s="1411"/>
      <c r="S51" s="1397"/>
      <c r="T51" s="1398"/>
      <c r="U51" s="1399"/>
      <c r="V51" s="1399"/>
      <c r="W51" s="1399"/>
      <c r="X51" s="1399"/>
      <c r="Y51" s="1399"/>
      <c r="Z51" s="1399"/>
      <c r="AA51" s="1399"/>
      <c r="AB51" s="1399"/>
      <c r="AC51" s="1399"/>
      <c r="AD51" s="1399"/>
      <c r="AE51" s="1399"/>
      <c r="AF51" s="1399"/>
      <c r="AG51" s="1399"/>
      <c r="AH51" s="1399"/>
      <c r="AI51" s="1399"/>
      <c r="AJ51" s="1399"/>
      <c r="AK51" s="1400"/>
      <c r="AL51" s="1647"/>
      <c r="AM51" s="1635"/>
      <c r="AN51" s="1635" t="str">
        <f>IF(T51="","",T51)</f>
        <v/>
      </c>
      <c r="AO51" s="1635"/>
      <c r="AP51" s="1635"/>
      <c r="AQ51" s="1652">
        <v>1</v>
      </c>
    </row>
    <row s="1653" customFormat="1" customHeight="1" ht="1.05">
      <c r="A52" s="1386" t="s">
        <v>220</v>
      </c>
      <c r="B52" s="1386" t="s">
        <v>221</v>
      </c>
      <c r="C52" s="1386" t="s">
        <v>222</v>
      </c>
      <c r="D52" s="1385"/>
      <c r="E52" s="2320"/>
      <c r="F52" s="2320"/>
      <c r="G52" s="2319"/>
      <c r="H52" s="1385"/>
      <c r="I52" s="1385"/>
      <c r="J52" s="1385"/>
      <c r="K52" s="1385"/>
      <c r="L52" s="1388"/>
      <c r="M52" s="1389"/>
      <c r="N52" s="1389"/>
      <c r="O52" s="362"/>
      <c r="P52" s="1327"/>
      <c r="Q52" s="1328"/>
      <c r="R52" s="1327"/>
      <c r="S52" s="1333"/>
      <c r="T52" s="1336" t="s">
        <v>428</v>
      </c>
      <c r="U52" s="1335"/>
      <c r="V52" s="1335"/>
      <c r="W52" s="1335"/>
      <c r="X52" s="1335"/>
      <c r="Y52" s="1335"/>
      <c r="Z52" s="1335"/>
      <c r="AA52" s="1335"/>
      <c r="AB52" s="1335"/>
      <c r="AC52" s="1335"/>
      <c r="AD52" s="1335"/>
      <c r="AE52" s="1335"/>
      <c r="AF52" s="1335"/>
      <c r="AG52" s="1335"/>
      <c r="AH52" s="1335"/>
      <c r="AI52" s="1335"/>
      <c r="AJ52" s="1335"/>
      <c r="AK52" s="1335"/>
      <c r="AM52" s="1262"/>
      <c r="AN52" s="1262" t="str">
        <f>IF(T52="","",T52)</f>
        <v>Добавить источник для дифференциации</v>
      </c>
      <c r="AO52" s="1262"/>
      <c r="AP52" s="1262"/>
      <c r="AQ52" s="1653">
        <v>1</v>
      </c>
    </row>
    <row s="1653" customFormat="1" customHeight="1" ht="1.05">
      <c r="A53" s="1386" t="s">
        <v>220</v>
      </c>
      <c r="B53" s="1386" t="s">
        <v>221</v>
      </c>
      <c r="C53" s="1385"/>
      <c r="D53" s="1385"/>
      <c r="E53" s="2320"/>
      <c r="F53" s="2319"/>
      <c r="G53" s="1385"/>
      <c r="H53" s="1385"/>
      <c r="I53" s="1385"/>
      <c r="J53" s="1385"/>
      <c r="K53" s="1385"/>
      <c r="L53" s="1388"/>
      <c r="M53" s="1390"/>
      <c r="N53" s="1390"/>
      <c r="O53" s="362"/>
      <c r="P53" s="1327"/>
      <c r="Q53" s="1328"/>
      <c r="R53" s="1327"/>
      <c r="S53" s="1333"/>
      <c r="T53" s="1336" t="s">
        <v>429</v>
      </c>
      <c r="U53" s="1335"/>
      <c r="V53" s="1335"/>
      <c r="W53" s="1335"/>
      <c r="X53" s="1335"/>
      <c r="Y53" s="1335"/>
      <c r="Z53" s="1335"/>
      <c r="AA53" s="1335"/>
      <c r="AB53" s="1335"/>
      <c r="AC53" s="1335"/>
      <c r="AD53" s="1335"/>
      <c r="AE53" s="1335"/>
      <c r="AF53" s="1335"/>
      <c r="AG53" s="1335"/>
      <c r="AH53" s="1335"/>
      <c r="AI53" s="1335"/>
      <c r="AJ53" s="1335"/>
      <c r="AK53" s="1335"/>
      <c r="AM53" s="1262"/>
      <c r="AN53" s="1262" t="str">
        <f>IF(T53="","",T53)</f>
        <v>Добавить централизованную систему для дифференциации</v>
      </c>
      <c r="AO53" s="1262"/>
      <c r="AP53" s="1262"/>
      <c r="AQ53" s="1653">
        <v>1</v>
      </c>
    </row>
    <row s="1653" customFormat="1" customHeight="1" ht="1.05">
      <c r="A54" s="1386" t="s">
        <v>220</v>
      </c>
      <c r="B54" s="1386"/>
      <c r="C54" s="1386"/>
      <c r="D54" s="1386"/>
      <c r="E54" s="2320"/>
      <c r="F54" s="1386"/>
      <c r="G54" s="1386"/>
      <c r="H54" s="1386"/>
      <c r="I54" s="1386"/>
      <c r="J54" s="1386"/>
      <c r="K54" s="1386"/>
      <c r="L54" s="1392"/>
      <c r="M54" s="1390"/>
      <c r="N54" s="1390"/>
      <c r="O54" s="362"/>
      <c r="P54" s="391"/>
      <c r="Q54" s="1355"/>
      <c r="R54" s="391"/>
      <c r="S54" s="1333"/>
      <c r="T54" s="1336" t="s">
        <v>430</v>
      </c>
      <c r="U54" s="1335"/>
      <c r="V54" s="1335"/>
      <c r="W54" s="1335"/>
      <c r="X54" s="1335"/>
      <c r="Y54" s="1335"/>
      <c r="Z54" s="1335"/>
      <c r="AA54" s="1335"/>
      <c r="AB54" s="1335"/>
      <c r="AC54" s="1335"/>
      <c r="AD54" s="1335"/>
      <c r="AE54" s="1335"/>
      <c r="AF54" s="1335"/>
      <c r="AG54" s="1335"/>
      <c r="AH54" s="1335"/>
      <c r="AI54" s="1335"/>
      <c r="AJ54" s="1335"/>
      <c r="AK54" s="1335"/>
      <c r="AM54" s="1635"/>
      <c r="AN54" s="1635" t="str">
        <f>IF(T54="","",T54)</f>
        <v>Добавить территорию для дифференциации</v>
      </c>
      <c r="AO54" s="1635"/>
      <c r="AP54" s="1635"/>
      <c r="AQ54" s="1647">
        <v>1</v>
      </c>
    </row>
    <row s="1653" customFormat="1" customHeight="1" ht="1.05">
      <c r="A55" s="1386" t="s">
        <v>220</v>
      </c>
      <c r="B55" s="1386"/>
      <c r="C55" s="1386"/>
      <c r="D55" s="1386"/>
      <c r="E55" s="2319"/>
      <c r="F55" s="1386"/>
      <c r="G55" s="1386"/>
      <c r="H55" s="1386"/>
      <c r="I55" s="1386"/>
      <c r="J55" s="1386"/>
      <c r="K55" s="1386"/>
      <c r="L55" s="1392"/>
      <c r="M55" s="1390"/>
      <c r="N55" s="1390"/>
      <c r="O55" s="362"/>
      <c r="P55" s="391"/>
      <c r="Q55" s="1355"/>
      <c r="R55" s="391"/>
      <c r="S55" s="1333"/>
      <c r="T55" s="1336" t="s">
        <v>430</v>
      </c>
      <c r="U55" s="1335"/>
      <c r="V55" s="1335"/>
      <c r="W55" s="1335"/>
      <c r="X55" s="1335"/>
      <c r="Y55" s="1335"/>
      <c r="Z55" s="1335"/>
      <c r="AA55" s="1335"/>
      <c r="AB55" s="1335"/>
      <c r="AC55" s="1335"/>
      <c r="AD55" s="1335"/>
      <c r="AE55" s="1335"/>
      <c r="AF55" s="1335"/>
      <c r="AG55" s="1335"/>
      <c r="AH55" s="1335"/>
      <c r="AI55" s="1335"/>
      <c r="AJ55" s="1335"/>
      <c r="AK55" s="1335"/>
      <c r="AM55" s="1635"/>
      <c r="AN55" s="1635" t="str">
        <f>IF(T55="","",T55)</f>
        <v>Добавить территорию для дифференциации</v>
      </c>
      <c r="AO55" s="1635"/>
      <c r="AP55" s="1635"/>
      <c r="AQ55" s="1647">
        <v>1</v>
      </c>
    </row>
    <row s="1653" customFormat="1" customHeight="1" ht="1.05">
      <c r="A56" s="1385"/>
      <c r="B56" s="1385"/>
      <c r="C56" s="1385"/>
      <c r="D56" s="1385"/>
      <c r="E56" s="1386"/>
      <c r="F56" s="1385"/>
      <c r="G56" s="1385"/>
      <c r="H56" s="1385"/>
      <c r="I56" s="1385"/>
      <c r="J56" s="1385"/>
      <c r="K56" s="1385"/>
      <c r="L56" s="1388"/>
      <c r="M56" s="1390"/>
      <c r="N56" s="1390"/>
      <c r="O56" s="362"/>
      <c r="P56" s="1327"/>
      <c r="Q56" s="1328"/>
      <c r="R56" s="1327"/>
      <c r="S56" s="1333"/>
      <c r="T56" s="1336" t="s">
        <v>458</v>
      </c>
      <c r="U56" s="1335"/>
      <c r="V56" s="1335"/>
      <c r="W56" s="1335"/>
      <c r="X56" s="1335"/>
      <c r="Y56" s="1335"/>
      <c r="Z56" s="1335"/>
      <c r="AA56" s="1335"/>
      <c r="AB56" s="1335"/>
      <c r="AC56" s="1335"/>
      <c r="AD56" s="1335"/>
      <c r="AE56" s="1335"/>
      <c r="AF56" s="1335"/>
      <c r="AG56" s="1335"/>
      <c r="AH56" s="1335"/>
      <c r="AI56" s="1335"/>
      <c r="AJ56" s="1335"/>
      <c r="AK56" s="1335"/>
      <c r="AM56" s="1262"/>
      <c r="AN56" s="1262" t="str">
        <f>IF(T56="","",T56)</f>
        <v>Добавить наименование тарифа</v>
      </c>
      <c r="AO56" s="1262"/>
      <c r="AP56" s="1262"/>
      <c r="AQ56" s="1653">
        <v>1</v>
      </c>
    </row>
    <row customHeight="1" ht="11.549999999999999">
      <c r="M57" s="1642"/>
      <c r="N57" s="1642"/>
      <c r="O57" s="1646"/>
      <c r="P57" s="1377"/>
      <c r="Q57" s="1377"/>
      <c r="R57" s="1642"/>
      <c r="S57" s="1642"/>
      <c r="AL57" s="1642"/>
      <c r="AM57" s="1642"/>
      <c r="AN57" s="1642"/>
      <c r="AO57" s="1642"/>
      <c r="AP57" s="1642"/>
      <c r="AQ57" s="1642">
        <v>11</v>
      </c>
    </row>
    <row customHeight="1" ht="19.95">
      <c r="O58" s="1646"/>
      <c r="S58" s="1264"/>
      <c r="T58" s="2315"/>
      <c r="U58" s="2315"/>
      <c r="V58" s="2315"/>
      <c r="W58" s="2315"/>
      <c r="X58" s="2315"/>
      <c r="Y58" s="2315"/>
      <c r="Z58" s="2315"/>
      <c r="AA58" s="2315"/>
      <c r="AB58" s="2315"/>
      <c r="AC58" s="2315"/>
      <c r="AD58" s="2315"/>
      <c r="AE58" s="2315"/>
      <c r="AF58" s="2315"/>
      <c r="AG58" s="2315"/>
      <c r="AH58" s="2315"/>
      <c r="AI58" s="2315"/>
      <c r="AJ58" s="2315"/>
      <c r="AK58" s="2315"/>
      <c r="AQ58" s="1642">
        <v>19</v>
      </c>
    </row>
    <row customHeight="1" ht="21">
      <c r="O59" s="1646"/>
      <c r="T59" s="2315"/>
      <c r="U59" s="2315"/>
      <c r="V59" s="2315"/>
      <c r="W59" s="2315"/>
      <c r="X59" s="2315"/>
      <c r="Y59" s="2315"/>
      <c r="Z59" s="2315"/>
      <c r="AA59" s="2315"/>
      <c r="AB59" s="2315"/>
      <c r="AC59" s="2315"/>
      <c r="AD59" s="2315"/>
      <c r="AE59" s="2315"/>
      <c r="AF59" s="2315"/>
      <c r="AG59" s="2315"/>
      <c r="AH59" s="2315"/>
      <c r="AI59" s="2315"/>
      <c r="AJ59" s="2315"/>
      <c r="AK59" s="2315"/>
      <c r="AQ59" s="1642">
        <v>20</v>
      </c>
    </row>
    <row customHeight="1" ht="14.699999999999998">
      <c r="O60" s="1646"/>
      <c r="T60" s="1961"/>
      <c r="U60" s="1961"/>
      <c r="V60" s="1961"/>
      <c r="W60" s="1961"/>
      <c r="X60" s="1961"/>
      <c r="Y60" s="1961"/>
      <c r="Z60" s="1961"/>
      <c r="AA60" s="1961"/>
      <c r="AB60" s="1961"/>
      <c r="AC60" s="1961"/>
      <c r="AD60" s="1961"/>
      <c r="AE60" s="1961"/>
      <c r="AF60" s="1961"/>
      <c r="AG60" s="1961"/>
      <c r="AH60" s="1961"/>
      <c r="AI60" s="1961"/>
      <c r="AJ60" s="1961"/>
      <c r="AK60" s="1961"/>
      <c r="AQ60" s="1642">
        <v>14</v>
      </c>
    </row>
    <row customHeight="1" ht="19.95">
      <c r="O61" s="1646"/>
      <c r="T61" s="2315"/>
      <c r="U61" s="2315"/>
      <c r="V61" s="2315"/>
      <c r="W61" s="2315"/>
      <c r="X61" s="2315"/>
      <c r="Y61" s="2315"/>
      <c r="Z61" s="2315"/>
      <c r="AA61" s="2315"/>
      <c r="AB61" s="2315"/>
      <c r="AC61" s="2315"/>
      <c r="AD61" s="2315"/>
      <c r="AE61" s="2315"/>
      <c r="AF61" s="2315"/>
      <c r="AG61" s="2315"/>
      <c r="AH61" s="2315"/>
      <c r="AI61" s="2315"/>
      <c r="AJ61" s="2315"/>
      <c r="AK61" s="2315"/>
      <c r="AQ61" s="1642">
        <v>19</v>
      </c>
    </row>
    <row customHeight="1" ht="16.8">
      <c r="O62" s="1646"/>
      <c r="T62" s="2315"/>
      <c r="U62" s="2315"/>
      <c r="V62" s="2315"/>
      <c r="W62" s="2315"/>
      <c r="X62" s="2315"/>
      <c r="Y62" s="2315"/>
      <c r="Z62" s="2315"/>
      <c r="AA62" s="2315"/>
      <c r="AB62" s="2315"/>
      <c r="AC62" s="2315"/>
      <c r="AD62" s="2315"/>
      <c r="AE62" s="2315"/>
      <c r="AF62" s="2315"/>
      <c r="AG62" s="2315"/>
      <c r="AH62" s="2315"/>
      <c r="AI62" s="2315"/>
      <c r="AJ62" s="2315"/>
      <c r="AK62" s="2315"/>
      <c r="AQ62" s="1642">
        <v>16</v>
      </c>
    </row>
    <row customHeight="1" ht="14.699999999999998">
      <c r="O63" s="1646"/>
      <c r="AQ63" s="1642">
        <v>14</v>
      </c>
    </row>
    <row customHeight="1" ht="22.5" hidden="1">
      <c r="A64" s="1642" t="s">
        <v>83</v>
      </c>
      <c r="B64" s="1642">
        <v>0</v>
      </c>
      <c r="C64" s="1642">
        <v>0</v>
      </c>
      <c r="D64" s="1642">
        <v>0</v>
      </c>
      <c r="E64" s="1642">
        <v>0</v>
      </c>
      <c r="F64" s="1642">
        <v>0</v>
      </c>
      <c r="G64" s="1642">
        <v>0</v>
      </c>
      <c r="H64" s="1642">
        <v>0</v>
      </c>
      <c r="I64" s="1642">
        <v>0</v>
      </c>
      <c r="J64" s="1642">
        <v>0</v>
      </c>
      <c r="K64" s="1642">
        <v>0</v>
      </c>
      <c r="L64" s="1947">
        <v>0</v>
      </c>
      <c r="M64" s="1973">
        <v>0</v>
      </c>
      <c r="N64" s="1973">
        <v>0</v>
      </c>
      <c r="O64" s="1973">
        <v>0</v>
      </c>
      <c r="P64" s="1373">
        <v>3</v>
      </c>
      <c r="Q64" s="1382">
        <v>3</v>
      </c>
      <c r="R64" s="355">
        <v>3</v>
      </c>
      <c r="S64" s="592">
        <v>12</v>
      </c>
      <c r="T64" s="1642">
        <v>31</v>
      </c>
      <c r="U64" s="1642">
        <v>0</v>
      </c>
      <c r="V64" s="1642">
        <v>0</v>
      </c>
      <c r="W64" s="1642">
        <v>0</v>
      </c>
      <c r="X64" s="1642">
        <v>0</v>
      </c>
      <c r="Y64" s="1642">
        <v>0</v>
      </c>
      <c r="Z64" s="1642">
        <v>0</v>
      </c>
      <c r="AA64" s="1642">
        <v>0</v>
      </c>
      <c r="AB64" s="1642">
        <v>27</v>
      </c>
      <c r="AC64" s="1642">
        <v>24</v>
      </c>
      <c r="AD64" s="1642">
        <v>21</v>
      </c>
      <c r="AE64" s="1642">
        <v>21</v>
      </c>
      <c r="AF64" s="1642">
        <v>11</v>
      </c>
      <c r="AG64" s="1642">
        <v>3</v>
      </c>
      <c r="AH64" s="1642">
        <v>11</v>
      </c>
      <c r="AI64" s="1642">
        <v>8</v>
      </c>
      <c r="AJ64" s="1642">
        <v>4</v>
      </c>
      <c r="AK64" s="1642">
        <v>115</v>
      </c>
      <c r="AL64" s="1647">
        <v>10</v>
      </c>
      <c r="AM64" s="1647">
        <v>10</v>
      </c>
      <c r="AN64" s="1647">
        <v>10</v>
      </c>
      <c r="AO64" s="1647">
        <v>10</v>
      </c>
      <c r="AP64" s="1647">
        <v>10</v>
      </c>
      <c r="AQ64" s="164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44C0A-7837-2809-A2A8-4AA3B03165A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436">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34"/>
      <c r="Q3" s="363"/>
      <c r="R3" s="364"/>
      <c r="S3" s="1436">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436">
        <f>INDEX(PT_DIFFERENTIATION_NUM_CS,MATCH(C4,PT_DIFFERENTIATION_CS_ID,0))</f>
      </c>
      <c r="T4" s="320" t="s">
        <v>493</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494</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89"/>
      <c r="F5" s="2289"/>
      <c r="G5" s="2289"/>
      <c r="H5" s="2289"/>
      <c r="I5" s="2286">
        <f>S4&amp;".1"</f>
      </c>
      <c r="J5" s="1374"/>
      <c r="K5" s="1374"/>
      <c r="L5" s="1375"/>
      <c r="P5" s="2287">
        <v>1</v>
      </c>
      <c r="Q5" s="1433"/>
      <c r="R5" s="367"/>
      <c r="S5" s="1436">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436">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436">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435"/>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33"/>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14.25"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437"/>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32"/>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32"/>
      <c r="M19" s="1373"/>
      <c r="N19" s="1373"/>
      <c r="O19" s="1373"/>
      <c r="P19" s="1373"/>
      <c r="Q19" s="1382"/>
      <c r="R19" s="1382"/>
      <c r="S19" s="740"/>
      <c r="AB19" s="1377"/>
      <c r="AI19" s="1377"/>
      <c r="AL19" s="522"/>
      <c r="AM19" s="522"/>
      <c r="AN19" s="522"/>
      <c r="AO19" s="522"/>
      <c r="AP19" s="522"/>
      <c r="AQ19" s="1171">
        <v>0</v>
      </c>
    </row>
    <row s="1377" customFormat="1" customHeight="1" ht="12" hidden="1">
      <c r="L20" s="1432"/>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374"/>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366"/>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363" t="s">
        <v>501</v>
      </c>
      <c r="W38" s="2292" t="s">
        <v>445</v>
      </c>
      <c r="X38" s="2293"/>
      <c r="Y38" s="2292" t="s">
        <v>446</v>
      </c>
      <c r="Z38" s="2299"/>
      <c r="AA38" s="2293"/>
      <c r="AB38" s="2308"/>
      <c r="AC38" s="1363" t="s">
        <v>501</v>
      </c>
      <c r="AD38" s="2292" t="s">
        <v>445</v>
      </c>
      <c r="AE38" s="2293"/>
      <c r="AF38" s="2292" t="s">
        <v>446</v>
      </c>
      <c r="AG38" s="2299"/>
      <c r="AH38" s="2293"/>
      <c r="AI38" s="2308"/>
      <c r="AJ38" s="2311"/>
      <c r="AK38" s="2157"/>
      <c r="AQ38" s="1166">
        <v>34</v>
      </c>
    </row>
    <row customHeight="1" ht="35.699999999999996">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363" t="s">
        <v>504</v>
      </c>
      <c r="W39" s="1233" t="s">
        <v>505</v>
      </c>
      <c r="X39" s="1233" t="s">
        <v>506</v>
      </c>
      <c r="Y39" s="1368" t="s">
        <v>456</v>
      </c>
      <c r="Z39" s="2300" t="s">
        <v>457</v>
      </c>
      <c r="AA39" s="2301"/>
      <c r="AB39" s="2309"/>
      <c r="AC39" s="1363" t="s">
        <v>504</v>
      </c>
      <c r="AD39" s="1233" t="s">
        <v>505</v>
      </c>
      <c r="AE39" s="1233" t="s">
        <v>506</v>
      </c>
      <c r="AF39" s="1368" t="s">
        <v>456</v>
      </c>
      <c r="AG39" s="2300" t="s">
        <v>457</v>
      </c>
      <c r="AH39" s="2301"/>
      <c r="AI39" s="2309"/>
      <c r="AJ39" s="2312"/>
      <c r="AK39" s="2157"/>
      <c r="AQ39" s="1166">
        <v>34</v>
      </c>
    </row>
    <row s="1652" customFormat="1" customHeight="1" ht="11.25" hidden="1">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364">
        <f>OFFSET(V40,0,-1)+1</f>
        <v>3</v>
      </c>
      <c r="W40" s="1364">
        <f>OFFSET(W40,0,-1)+1</f>
        <v>4</v>
      </c>
      <c r="X40" s="1364">
        <f>OFFSET(X40,0,-1)+1</f>
        <v>5</v>
      </c>
      <c r="Y40" s="1364">
        <f>OFFSET(Y40,0,-1)+1</f>
        <v>6</v>
      </c>
      <c r="Z40" s="2302">
        <f>OFFSET(Z40,0,-1)+1</f>
        <v>7</v>
      </c>
      <c r="AA40" s="2302"/>
      <c r="AB40" s="1364">
        <f>OFFSET(AB40,0,-2)+1</f>
        <v>8</v>
      </c>
      <c r="AC40" s="1364">
        <f>OFFSET(AC40,0,-1)+1</f>
        <v>9</v>
      </c>
      <c r="AD40" s="1364">
        <f>OFFSET(AD40,0,-1)+1</f>
        <v>10</v>
      </c>
      <c r="AE40" s="1364">
        <f>OFFSET(AE40,0,-1)+1</f>
        <v>11</v>
      </c>
      <c r="AF40" s="1364">
        <f>OFFSET(AF40,0,-1)+1</f>
        <v>12</v>
      </c>
      <c r="AG40" s="2302">
        <f>OFFSET(AG40,0,-1)+1</f>
        <v>13</v>
      </c>
      <c r="AH40" s="2302"/>
      <c r="AI40" s="1364">
        <f>OFFSET(AI40,0,-2)+1</f>
        <v>14</v>
      </c>
      <c r="AJ40" s="1256">
        <f>OFFSET(AJ40,0,-1)</f>
        <v>14</v>
      </c>
      <c r="AK40" s="1364">
        <f>OFFSET(AK40,0,-1)+1</f>
        <v>15</v>
      </c>
      <c r="AL40" s="522"/>
      <c r="AM40" s="522"/>
      <c r="AN40" s="522"/>
      <c r="AO40" s="522"/>
      <c r="AP40" s="522"/>
      <c r="AQ40" s="507">
        <v>0</v>
      </c>
    </row>
    <row customHeight="1" ht="24">
      <c r="A41" s="1374" t="s">
        <v>240</v>
      </c>
      <c r="B41" s="1374"/>
      <c r="C41" s="1374"/>
      <c r="D41" s="1374"/>
      <c r="E41" s="2288">
        <v>1</v>
      </c>
      <c r="F41" s="1374"/>
      <c r="G41" s="1374"/>
      <c r="H41" s="1374"/>
      <c r="I41" s="1374"/>
      <c r="J41" s="1374"/>
      <c r="K41" s="1374"/>
      <c r="L41" s="1375"/>
      <c r="M41" s="1376"/>
      <c r="N41" s="1376"/>
      <c r="O41" s="1376"/>
      <c r="P41" s="372"/>
      <c r="Q41" s="371"/>
      <c r="R41" s="366"/>
      <c r="S41" s="1369">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240</v>
      </c>
      <c r="B42" s="1374" t="s">
        <v>241</v>
      </c>
      <c r="C42" s="1374"/>
      <c r="D42" s="1374"/>
      <c r="E42" s="2289"/>
      <c r="F42" s="2288">
        <v>1</v>
      </c>
      <c r="G42" s="1374"/>
      <c r="H42" s="1374"/>
      <c r="I42" s="1374"/>
      <c r="J42" s="1374"/>
      <c r="K42" s="1374"/>
      <c r="L42" s="1375"/>
      <c r="M42" s="1376"/>
      <c r="N42" s="1376"/>
      <c r="O42" s="1376"/>
      <c r="P42" s="1367"/>
      <c r="Q42" s="363"/>
      <c r="R42" s="364"/>
      <c r="S42" s="1369"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240</v>
      </c>
      <c r="B43" s="1374" t="s">
        <v>241</v>
      </c>
      <c r="C43" s="1374" t="s">
        <v>242</v>
      </c>
      <c r="D43" s="1374"/>
      <c r="E43" s="2289"/>
      <c r="F43" s="2289"/>
      <c r="G43" s="2288">
        <v>1</v>
      </c>
      <c r="H43" s="1374"/>
      <c r="I43" s="1374"/>
      <c r="J43" s="1374"/>
      <c r="K43" s="1374"/>
      <c r="L43" s="1375"/>
      <c r="M43" s="1376"/>
      <c r="N43" s="1376"/>
      <c r="O43" s="1376"/>
      <c r="P43" s="365"/>
      <c r="Q43" s="363"/>
      <c r="R43" s="364"/>
      <c r="S43" s="1369" t="str">
        <f>INDEX(PT_DIFFERENTIATION_NUM_CS,MATCH(C43,PT_DIFFERENTIATION_CS_ID,0))</f>
        <v>..</v>
      </c>
      <c r="T43" s="320" t="s">
        <v>493</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494</v>
      </c>
      <c r="AM43" s="511"/>
      <c r="AN43" s="511" t="str">
        <f>IF(T43="","",T43)</f>
        <v>Наименование централизованной системы холодного водоснабжения</v>
      </c>
      <c r="AO43" s="511"/>
      <c r="AP43" s="511"/>
      <c r="AQ43" s="1166">
        <v>23</v>
      </c>
    </row>
    <row customHeight="1" ht="24">
      <c r="A44" s="1374" t="s">
        <v>240</v>
      </c>
      <c r="B44" s="1374" t="s">
        <v>241</v>
      </c>
      <c r="C44" s="1374" t="s">
        <v>242</v>
      </c>
      <c r="D44" s="1374" t="s">
        <v>507</v>
      </c>
      <c r="E44" s="2289"/>
      <c r="F44" s="2289"/>
      <c r="G44" s="2289"/>
      <c r="H44" s="2289"/>
      <c r="I44" s="2286" t="str">
        <f>S43&amp;".1"</f>
        <v>...1</v>
      </c>
      <c r="J44" s="1374"/>
      <c r="K44" s="1374"/>
      <c r="L44" s="1375"/>
      <c r="P44" s="2287">
        <v>1</v>
      </c>
      <c r="Q44" s="1365"/>
      <c r="R44" s="367"/>
      <c r="S44" s="1369"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240</v>
      </c>
      <c r="B45" s="1374" t="s">
        <v>241</v>
      </c>
      <c r="C45" s="1374" t="s">
        <v>242</v>
      </c>
      <c r="D45" s="1374" t="s">
        <v>507</v>
      </c>
      <c r="E45" s="2289"/>
      <c r="F45" s="2289"/>
      <c r="G45" s="2289"/>
      <c r="H45" s="2289"/>
      <c r="I45" s="2316"/>
      <c r="J45" s="2286" t="str">
        <f>I44&amp;".1"</f>
        <v>...1.1</v>
      </c>
      <c r="K45" s="1374"/>
      <c r="L45" s="1375" t="s">
        <v>420</v>
      </c>
      <c r="P45" s="2287"/>
      <c r="Q45" s="2287">
        <v>1</v>
      </c>
      <c r="R45" s="368"/>
      <c r="S45" s="1369"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240</v>
      </c>
      <c r="B46" s="1374" t="s">
        <v>241</v>
      </c>
      <c r="C46" s="1374" t="s">
        <v>242</v>
      </c>
      <c r="D46" s="1374" t="s">
        <v>507</v>
      </c>
      <c r="E46" s="2289"/>
      <c r="F46" s="2289"/>
      <c r="G46" s="2289"/>
      <c r="H46" s="2289"/>
      <c r="I46" s="2316"/>
      <c r="J46" s="2316"/>
      <c r="K46" s="2286" t="str">
        <f>J45&amp;".1"</f>
        <v>...1.1.1</v>
      </c>
      <c r="L46" s="1375"/>
      <c r="P46" s="2287"/>
      <c r="Q46" s="2287"/>
      <c r="R46" s="368">
        <v>1</v>
      </c>
      <c r="S46" s="1369" t="str">
        <f>$K46</f>
        <v>...1.1.1</v>
      </c>
      <c r="T46" s="1448"/>
      <c r="U46" s="311"/>
      <c r="V46" s="1371"/>
      <c r="W46" s="1371"/>
      <c r="X46" s="1372"/>
      <c r="Y46" s="2297"/>
      <c r="Z46" s="2298" t="s">
        <v>63</v>
      </c>
      <c r="AA46" s="2297"/>
      <c r="AB46" s="2298" t="s">
        <v>63</v>
      </c>
      <c r="AC46" s="762"/>
      <c r="AD46" s="762"/>
      <c r="AE46" s="1268"/>
      <c r="AF46" s="2295"/>
      <c r="AG46" s="2137" t="s">
        <v>63</v>
      </c>
      <c r="AH46" s="2317"/>
      <c r="AI46" s="2137" t="s">
        <v>19</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240</v>
      </c>
      <c r="B47" s="1374" t="s">
        <v>241</v>
      </c>
      <c r="C47" s="1374" t="s">
        <v>242</v>
      </c>
      <c r="D47" s="1374" t="s">
        <v>507</v>
      </c>
      <c r="E47" s="2289"/>
      <c r="F47" s="2289"/>
      <c r="G47" s="2289"/>
      <c r="H47" s="2289"/>
      <c r="I47" s="2316"/>
      <c r="J47" s="2316"/>
      <c r="K47" s="2286"/>
      <c r="L47" s="1375"/>
      <c r="P47" s="2287"/>
      <c r="Q47" s="2287"/>
      <c r="R47" s="368"/>
      <c r="S47" s="1370"/>
      <c r="T47" s="311"/>
      <c r="U47" s="311"/>
      <c r="V47" s="1371"/>
      <c r="W47" s="1371"/>
      <c r="X47" s="339" t="str">
        <f>Y46&amp;"-"&amp;AA46</f>
        <v>-</v>
      </c>
      <c r="Y47" s="2298"/>
      <c r="Z47" s="2298"/>
      <c r="AA47" s="2298"/>
      <c r="AB47" s="2298"/>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240</v>
      </c>
      <c r="B48" s="1374" t="s">
        <v>241</v>
      </c>
      <c r="C48" s="1374" t="s">
        <v>242</v>
      </c>
      <c r="D48" s="1374" t="s">
        <v>507</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240</v>
      </c>
      <c r="B49" s="1374" t="s">
        <v>241</v>
      </c>
      <c r="C49" s="1374" t="s">
        <v>242</v>
      </c>
      <c r="D49" s="1374" t="s">
        <v>507</v>
      </c>
      <c r="E49" s="2289"/>
      <c r="F49" s="2289"/>
      <c r="G49" s="2289"/>
      <c r="H49" s="2289"/>
      <c r="I49" s="2286"/>
      <c r="J49" s="1374"/>
      <c r="K49" s="1374"/>
      <c r="L49" s="1375"/>
      <c r="P49" s="2287"/>
      <c r="Q49" s="1365"/>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240</v>
      </c>
      <c r="B50" s="1374" t="s">
        <v>241</v>
      </c>
      <c r="C50" s="1374" t="s">
        <v>242</v>
      </c>
      <c r="D50" s="1374" t="s">
        <v>507</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240</v>
      </c>
      <c r="B51" s="1354" t="s">
        <v>241</v>
      </c>
      <c r="C51" s="1325"/>
      <c r="D51" s="1325"/>
      <c r="E51" s="2289"/>
      <c r="F51" s="2288"/>
      <c r="G51" s="1325"/>
      <c r="H51" s="1325"/>
      <c r="I51" s="1325"/>
      <c r="J51" s="1325"/>
      <c r="K51" s="1325"/>
      <c r="L51" s="1437"/>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240</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37"/>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32">
        <v>0</v>
      </c>
      <c r="M58" s="1373">
        <v>0</v>
      </c>
      <c r="N58" s="1373">
        <v>0</v>
      </c>
      <c r="O58" s="1373">
        <v>0</v>
      </c>
      <c r="P58" s="1362">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F74C7-9E88-69B8-0278-C9639FC698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468">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64"/>
      <c r="Q3" s="363"/>
      <c r="R3" s="364"/>
      <c r="S3" s="1468">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468">
        <f>INDEX(PT_DIFFERENTIATION_NUM_CS,MATCH(C4,PT_DIFFERENTIATION_CS_ID,0))</f>
      </c>
      <c r="T4" s="320" t="s">
        <v>493</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494</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89"/>
      <c r="F5" s="2289"/>
      <c r="G5" s="2289"/>
      <c r="H5" s="2289"/>
      <c r="I5" s="2286">
        <f>S4&amp;".1"</f>
      </c>
      <c r="J5" s="1374"/>
      <c r="K5" s="1374"/>
      <c r="L5" s="1375"/>
      <c r="P5" s="2287">
        <v>1</v>
      </c>
      <c r="Q5" s="1461"/>
      <c r="R5" s="367"/>
      <c r="S5" s="1468">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468">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468">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467"/>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61"/>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469"/>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58"/>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463" t="s">
        <v>501</v>
      </c>
      <c r="W38" s="2292" t="s">
        <v>445</v>
      </c>
      <c r="X38" s="2293"/>
      <c r="Y38" s="2292" t="s">
        <v>446</v>
      </c>
      <c r="Z38" s="2299"/>
      <c r="AA38" s="2293"/>
      <c r="AB38" s="2308"/>
      <c r="AC38" s="1463" t="s">
        <v>501</v>
      </c>
      <c r="AD38" s="2292" t="s">
        <v>445</v>
      </c>
      <c r="AE38" s="2293"/>
      <c r="AF38" s="2292" t="s">
        <v>446</v>
      </c>
      <c r="AG38" s="2299"/>
      <c r="AH38" s="2293"/>
      <c r="AI38" s="2308"/>
      <c r="AJ38" s="2311"/>
      <c r="AK38" s="2157"/>
      <c r="AQ38" s="1166">
        <v>34</v>
      </c>
    </row>
    <row customHeight="1" ht="35.699999999999996">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463" t="s">
        <v>504</v>
      </c>
      <c r="W39" s="1233" t="s">
        <v>505</v>
      </c>
      <c r="X39" s="1233" t="s">
        <v>506</v>
      </c>
      <c r="Y39" s="1466" t="s">
        <v>456</v>
      </c>
      <c r="Z39" s="2300" t="s">
        <v>457</v>
      </c>
      <c r="AA39" s="2301"/>
      <c r="AB39" s="2309"/>
      <c r="AC39" s="1463" t="s">
        <v>504</v>
      </c>
      <c r="AD39" s="1233" t="s">
        <v>505</v>
      </c>
      <c r="AE39" s="1233" t="s">
        <v>506</v>
      </c>
      <c r="AF39" s="1466" t="s">
        <v>456</v>
      </c>
      <c r="AG39" s="2300" t="s">
        <v>457</v>
      </c>
      <c r="AH39" s="2301"/>
      <c r="AI39" s="2309"/>
      <c r="AJ39" s="2312"/>
      <c r="AK39" s="2157"/>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462">
        <f>OFFSET(V40,0,-1)+1</f>
        <v>3</v>
      </c>
      <c r="W40" s="1462">
        <f>OFFSET(W40,0,-1)+1</f>
        <v>4</v>
      </c>
      <c r="X40" s="1462">
        <f>OFFSET(X40,0,-1)+1</f>
        <v>5</v>
      </c>
      <c r="Y40" s="1462">
        <f>OFFSET(Y40,0,-1)+1</f>
        <v>6</v>
      </c>
      <c r="Z40" s="2302">
        <f>OFFSET(Z40,0,-1)+1</f>
        <v>7</v>
      </c>
      <c r="AA40" s="2302"/>
      <c r="AB40" s="1462">
        <f>OFFSET(AB40,0,-2)+1</f>
        <v>8</v>
      </c>
      <c r="AC40" s="1462">
        <f>OFFSET(AC40,0,-1)+1</f>
        <v>9</v>
      </c>
      <c r="AD40" s="1462">
        <f>OFFSET(AD40,0,-1)+1</f>
        <v>10</v>
      </c>
      <c r="AE40" s="1462">
        <f>OFFSET(AE40,0,-1)+1</f>
        <v>11</v>
      </c>
      <c r="AF40" s="1462">
        <f>OFFSET(AF40,0,-1)+1</f>
        <v>12</v>
      </c>
      <c r="AG40" s="2302">
        <f>OFFSET(AG40,0,-1)+1</f>
        <v>13</v>
      </c>
      <c r="AH40" s="2302"/>
      <c r="AI40" s="1462">
        <f>OFFSET(AI40,0,-2)+1</f>
        <v>14</v>
      </c>
      <c r="AJ40" s="1256">
        <f>OFFSET(AJ40,0,-1)</f>
        <v>14</v>
      </c>
      <c r="AK40" s="1462">
        <f>OFFSET(AK40,0,-1)+1</f>
        <v>15</v>
      </c>
      <c r="AL40" s="522"/>
      <c r="AM40" s="522"/>
      <c r="AN40" s="522"/>
      <c r="AO40" s="522"/>
      <c r="AP40" s="522"/>
      <c r="AQ40" s="507">
        <v>0</v>
      </c>
    </row>
    <row customHeight="1" ht="24">
      <c r="A41" s="1374" t="s">
        <v>245</v>
      </c>
      <c r="B41" s="1374"/>
      <c r="C41" s="1374"/>
      <c r="D41" s="1374"/>
      <c r="E41" s="2288">
        <v>1</v>
      </c>
      <c r="F41" s="1374"/>
      <c r="G41" s="1374"/>
      <c r="H41" s="1374"/>
      <c r="I41" s="1374"/>
      <c r="J41" s="1374"/>
      <c r="K41" s="1374"/>
      <c r="L41" s="1375"/>
      <c r="M41" s="1376"/>
      <c r="N41" s="1376"/>
      <c r="O41" s="1376"/>
      <c r="P41" s="372"/>
      <c r="Q41" s="371"/>
      <c r="R41" s="366"/>
      <c r="S41" s="1468">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245</v>
      </c>
      <c r="B42" s="1374" t="s">
        <v>246</v>
      </c>
      <c r="C42" s="1374"/>
      <c r="D42" s="1374"/>
      <c r="E42" s="2289"/>
      <c r="F42" s="2288">
        <v>1</v>
      </c>
      <c r="G42" s="1374"/>
      <c r="H42" s="1374"/>
      <c r="I42" s="1374"/>
      <c r="J42" s="1374"/>
      <c r="K42" s="1374"/>
      <c r="L42" s="1375"/>
      <c r="M42" s="1376"/>
      <c r="N42" s="1376"/>
      <c r="O42" s="1376"/>
      <c r="P42" s="1464"/>
      <c r="Q42" s="363"/>
      <c r="R42" s="364"/>
      <c r="S42" s="1468"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245</v>
      </c>
      <c r="B43" s="1374" t="s">
        <v>246</v>
      </c>
      <c r="C43" s="1374" t="s">
        <v>247</v>
      </c>
      <c r="D43" s="1374"/>
      <c r="E43" s="2289"/>
      <c r="F43" s="2289"/>
      <c r="G43" s="2288">
        <v>1</v>
      </c>
      <c r="H43" s="1374"/>
      <c r="I43" s="1374"/>
      <c r="J43" s="1374"/>
      <c r="K43" s="1374"/>
      <c r="L43" s="1375"/>
      <c r="M43" s="1376"/>
      <c r="N43" s="1376"/>
      <c r="O43" s="1376"/>
      <c r="P43" s="365"/>
      <c r="Q43" s="363"/>
      <c r="R43" s="364"/>
      <c r="S43" s="1468" t="str">
        <f>INDEX(PT_DIFFERENTIATION_NUM_CS,MATCH(C43,PT_DIFFERENTIATION_CS_ID,0))</f>
        <v>..</v>
      </c>
      <c r="T43" s="320" t="s">
        <v>493</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494</v>
      </c>
      <c r="AM43" s="511"/>
      <c r="AN43" s="511" t="str">
        <f>IF(T43="","",T43)</f>
        <v>Наименование централизованной системы холодного водоснабжения</v>
      </c>
      <c r="AO43" s="511"/>
      <c r="AP43" s="511"/>
      <c r="AQ43" s="1166">
        <v>23</v>
      </c>
    </row>
    <row customHeight="1" ht="24">
      <c r="A44" s="1374" t="s">
        <v>245</v>
      </c>
      <c r="B44" s="1374" t="s">
        <v>246</v>
      </c>
      <c r="C44" s="1374" t="s">
        <v>247</v>
      </c>
      <c r="D44" s="1374" t="s">
        <v>508</v>
      </c>
      <c r="E44" s="2289"/>
      <c r="F44" s="2289"/>
      <c r="G44" s="2289"/>
      <c r="H44" s="2289"/>
      <c r="I44" s="2286" t="str">
        <f>S43&amp;".1"</f>
        <v>...1</v>
      </c>
      <c r="J44" s="1374"/>
      <c r="K44" s="1374"/>
      <c r="L44" s="1375"/>
      <c r="P44" s="2287">
        <v>1</v>
      </c>
      <c r="Q44" s="1461"/>
      <c r="R44" s="367"/>
      <c r="S44" s="1468"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245</v>
      </c>
      <c r="B45" s="1374" t="s">
        <v>246</v>
      </c>
      <c r="C45" s="1374" t="s">
        <v>247</v>
      </c>
      <c r="D45" s="1374" t="s">
        <v>508</v>
      </c>
      <c r="E45" s="2289"/>
      <c r="F45" s="2289"/>
      <c r="G45" s="2289"/>
      <c r="H45" s="2289"/>
      <c r="I45" s="2316"/>
      <c r="J45" s="2286" t="str">
        <f>I44&amp;".1"</f>
        <v>...1.1</v>
      </c>
      <c r="K45" s="1374"/>
      <c r="L45" s="1375" t="s">
        <v>420</v>
      </c>
      <c r="P45" s="2287"/>
      <c r="Q45" s="2287">
        <v>1</v>
      </c>
      <c r="R45" s="368"/>
      <c r="S45" s="1468"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245</v>
      </c>
      <c r="B46" s="1374" t="s">
        <v>246</v>
      </c>
      <c r="C46" s="1374" t="s">
        <v>247</v>
      </c>
      <c r="D46" s="1374" t="s">
        <v>508</v>
      </c>
      <c r="E46" s="2289"/>
      <c r="F46" s="2289"/>
      <c r="G46" s="2289"/>
      <c r="H46" s="2289"/>
      <c r="I46" s="2316"/>
      <c r="J46" s="2316"/>
      <c r="K46" s="2286" t="str">
        <f>J45&amp;".1"</f>
        <v>...1.1.1</v>
      </c>
      <c r="L46" s="1375"/>
      <c r="P46" s="2287"/>
      <c r="Q46" s="2287"/>
      <c r="R46" s="368">
        <v>1</v>
      </c>
      <c r="S46" s="1468" t="str">
        <f>$K46</f>
        <v>...1.1.1</v>
      </c>
      <c r="T46" s="1448"/>
      <c r="U46" s="311"/>
      <c r="V46" s="762"/>
      <c r="W46" s="762"/>
      <c r="X46" s="1268"/>
      <c r="Y46" s="2295"/>
      <c r="Z46" s="2137" t="s">
        <v>63</v>
      </c>
      <c r="AA46" s="2295"/>
      <c r="AB46" s="2137" t="s">
        <v>63</v>
      </c>
      <c r="AC46" s="762"/>
      <c r="AD46" s="762"/>
      <c r="AE46" s="1268"/>
      <c r="AF46" s="2295"/>
      <c r="AG46" s="2137" t="s">
        <v>63</v>
      </c>
      <c r="AH46" s="2317"/>
      <c r="AI46" s="2137" t="s">
        <v>63</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245</v>
      </c>
      <c r="B47" s="1374" t="s">
        <v>246</v>
      </c>
      <c r="C47" s="1374" t="s">
        <v>247</v>
      </c>
      <c r="D47" s="1374" t="s">
        <v>508</v>
      </c>
      <c r="E47" s="2289"/>
      <c r="F47" s="2289"/>
      <c r="G47" s="2289"/>
      <c r="H47" s="2289"/>
      <c r="I47" s="2316"/>
      <c r="J47" s="2316"/>
      <c r="K47" s="2286"/>
      <c r="L47" s="1375"/>
      <c r="P47" s="2287"/>
      <c r="Q47" s="2287"/>
      <c r="R47" s="368"/>
      <c r="S47" s="1467"/>
      <c r="T47" s="311"/>
      <c r="U47" s="311"/>
      <c r="V47" s="336"/>
      <c r="W47" s="336"/>
      <c r="X47" s="339" t="str">
        <f>Y46&amp;"-"&amp;AA46</f>
        <v>-</v>
      </c>
      <c r="Y47" s="2296"/>
      <c r="Z47" s="2137"/>
      <c r="AA47" s="2296"/>
      <c r="AB47" s="2137"/>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245</v>
      </c>
      <c r="B48" s="1374" t="s">
        <v>246</v>
      </c>
      <c r="C48" s="1374" t="s">
        <v>247</v>
      </c>
      <c r="D48" s="1374" t="s">
        <v>508</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245</v>
      </c>
      <c r="B49" s="1374" t="s">
        <v>246</v>
      </c>
      <c r="C49" s="1374" t="s">
        <v>247</v>
      </c>
      <c r="D49" s="1374" t="s">
        <v>508</v>
      </c>
      <c r="E49" s="2289"/>
      <c r="F49" s="2289"/>
      <c r="G49" s="2289"/>
      <c r="H49" s="2289"/>
      <c r="I49" s="2286"/>
      <c r="J49" s="1374"/>
      <c r="K49" s="1374"/>
      <c r="L49" s="1375"/>
      <c r="P49" s="2287"/>
      <c r="Q49" s="1461"/>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245</v>
      </c>
      <c r="B50" s="1374" t="s">
        <v>246</v>
      </c>
      <c r="C50" s="1374" t="s">
        <v>247</v>
      </c>
      <c r="D50" s="1374" t="s">
        <v>508</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245</v>
      </c>
      <c r="B51" s="1354" t="s">
        <v>246</v>
      </c>
      <c r="C51" s="1325"/>
      <c r="D51" s="1325"/>
      <c r="E51" s="2289"/>
      <c r="F51" s="2288"/>
      <c r="G51" s="1325"/>
      <c r="H51" s="1325"/>
      <c r="I51" s="1325"/>
      <c r="J51" s="1325"/>
      <c r="K51" s="1325"/>
      <c r="L51" s="1469"/>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245</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240F8-82F9-0818-A12D-88D416EF65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468">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64"/>
      <c r="Q3" s="363"/>
      <c r="R3" s="364"/>
      <c r="S3" s="1468">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468">
        <f>INDEX(PT_DIFFERENTIATION_NUM_CS,MATCH(C4,PT_DIFFERENTIATION_CS_ID,0))</f>
      </c>
      <c r="T4" s="320" t="s">
        <v>493</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494</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89"/>
      <c r="F5" s="2289"/>
      <c r="G5" s="2289"/>
      <c r="H5" s="2289"/>
      <c r="I5" s="2286">
        <f>S4&amp;".1"</f>
      </c>
      <c r="J5" s="1374"/>
      <c r="K5" s="1374"/>
      <c r="L5" s="1375"/>
      <c r="P5" s="2287">
        <v>1</v>
      </c>
      <c r="Q5" s="1461"/>
      <c r="R5" s="367"/>
      <c r="S5" s="1468">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468">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468">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467"/>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61"/>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469"/>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58"/>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463" t="s">
        <v>501</v>
      </c>
      <c r="W38" s="2292" t="s">
        <v>445</v>
      </c>
      <c r="X38" s="2293"/>
      <c r="Y38" s="2292" t="s">
        <v>446</v>
      </c>
      <c r="Z38" s="2299"/>
      <c r="AA38" s="2293"/>
      <c r="AB38" s="2308"/>
      <c r="AC38" s="1463" t="s">
        <v>501</v>
      </c>
      <c r="AD38" s="2292" t="s">
        <v>445</v>
      </c>
      <c r="AE38" s="2293"/>
      <c r="AF38" s="2292" t="s">
        <v>446</v>
      </c>
      <c r="AG38" s="2299"/>
      <c r="AH38" s="2293"/>
      <c r="AI38" s="2308"/>
      <c r="AJ38" s="2311"/>
      <c r="AK38" s="2157"/>
      <c r="AQ38" s="1166">
        <v>34</v>
      </c>
    </row>
    <row customHeight="1" ht="35.699999999999996">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463" t="s">
        <v>504</v>
      </c>
      <c r="W39" s="1233" t="s">
        <v>505</v>
      </c>
      <c r="X39" s="1233" t="s">
        <v>506</v>
      </c>
      <c r="Y39" s="1466" t="s">
        <v>456</v>
      </c>
      <c r="Z39" s="2300" t="s">
        <v>457</v>
      </c>
      <c r="AA39" s="2301"/>
      <c r="AB39" s="2309"/>
      <c r="AC39" s="1463" t="s">
        <v>504</v>
      </c>
      <c r="AD39" s="1233" t="s">
        <v>505</v>
      </c>
      <c r="AE39" s="1233" t="s">
        <v>506</v>
      </c>
      <c r="AF39" s="1466" t="s">
        <v>456</v>
      </c>
      <c r="AG39" s="2300" t="s">
        <v>457</v>
      </c>
      <c r="AH39" s="2301"/>
      <c r="AI39" s="2309"/>
      <c r="AJ39" s="2312"/>
      <c r="AK39" s="2157"/>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462">
        <f>OFFSET(V40,0,-1)+1</f>
        <v>3</v>
      </c>
      <c r="W40" s="1462">
        <f>OFFSET(W40,0,-1)+1</f>
        <v>4</v>
      </c>
      <c r="X40" s="1462">
        <f>OFFSET(X40,0,-1)+1</f>
        <v>5</v>
      </c>
      <c r="Y40" s="1462">
        <f>OFFSET(Y40,0,-1)+1</f>
        <v>6</v>
      </c>
      <c r="Z40" s="2302">
        <f>OFFSET(Z40,0,-1)+1</f>
        <v>7</v>
      </c>
      <c r="AA40" s="2302"/>
      <c r="AB40" s="1462">
        <f>OFFSET(AB40,0,-2)+1</f>
        <v>8</v>
      </c>
      <c r="AC40" s="1462">
        <f>OFFSET(AC40,0,-1)+1</f>
        <v>9</v>
      </c>
      <c r="AD40" s="1462">
        <f>OFFSET(AD40,0,-1)+1</f>
        <v>10</v>
      </c>
      <c r="AE40" s="1462">
        <f>OFFSET(AE40,0,-1)+1</f>
        <v>11</v>
      </c>
      <c r="AF40" s="1462">
        <f>OFFSET(AF40,0,-1)+1</f>
        <v>12</v>
      </c>
      <c r="AG40" s="2302">
        <f>OFFSET(AG40,0,-1)+1</f>
        <v>13</v>
      </c>
      <c r="AH40" s="2302"/>
      <c r="AI40" s="1462">
        <f>OFFSET(AI40,0,-2)+1</f>
        <v>14</v>
      </c>
      <c r="AJ40" s="1256">
        <f>OFFSET(AJ40,0,-1)</f>
        <v>14</v>
      </c>
      <c r="AK40" s="1462">
        <f>OFFSET(AK40,0,-1)+1</f>
        <v>15</v>
      </c>
      <c r="AL40" s="522"/>
      <c r="AM40" s="522"/>
      <c r="AN40" s="522"/>
      <c r="AO40" s="522"/>
      <c r="AP40" s="522"/>
      <c r="AQ40" s="507">
        <v>0</v>
      </c>
    </row>
    <row customHeight="1" ht="24">
      <c r="A41" s="1374" t="s">
        <v>250</v>
      </c>
      <c r="B41" s="1374"/>
      <c r="C41" s="1374"/>
      <c r="D41" s="1374"/>
      <c r="E41" s="2288">
        <v>1</v>
      </c>
      <c r="F41" s="1374"/>
      <c r="G41" s="1374"/>
      <c r="H41" s="1374"/>
      <c r="I41" s="1374"/>
      <c r="J41" s="1374"/>
      <c r="K41" s="1374"/>
      <c r="L41" s="1375"/>
      <c r="M41" s="1376"/>
      <c r="N41" s="1376"/>
      <c r="O41" s="1376"/>
      <c r="P41" s="372"/>
      <c r="Q41" s="371"/>
      <c r="R41" s="366"/>
      <c r="S41" s="1468">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250</v>
      </c>
      <c r="B42" s="1374" t="s">
        <v>251</v>
      </c>
      <c r="C42" s="1374"/>
      <c r="D42" s="1374"/>
      <c r="E42" s="2289"/>
      <c r="F42" s="2288">
        <v>1</v>
      </c>
      <c r="G42" s="1374"/>
      <c r="H42" s="1374"/>
      <c r="I42" s="1374"/>
      <c r="J42" s="1374"/>
      <c r="K42" s="1374"/>
      <c r="L42" s="1375"/>
      <c r="M42" s="1376"/>
      <c r="N42" s="1376"/>
      <c r="O42" s="1376"/>
      <c r="P42" s="1464"/>
      <c r="Q42" s="363"/>
      <c r="R42" s="364"/>
      <c r="S42" s="1468"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250</v>
      </c>
      <c r="B43" s="1374" t="s">
        <v>251</v>
      </c>
      <c r="C43" s="1374" t="s">
        <v>252</v>
      </c>
      <c r="D43" s="1374"/>
      <c r="E43" s="2289"/>
      <c r="F43" s="2289"/>
      <c r="G43" s="2288">
        <v>1</v>
      </c>
      <c r="H43" s="1374"/>
      <c r="I43" s="1374"/>
      <c r="J43" s="1374"/>
      <c r="K43" s="1374"/>
      <c r="L43" s="1375"/>
      <c r="M43" s="1376"/>
      <c r="N43" s="1376"/>
      <c r="O43" s="1376"/>
      <c r="P43" s="365"/>
      <c r="Q43" s="363"/>
      <c r="R43" s="364"/>
      <c r="S43" s="1468" t="str">
        <f>INDEX(PT_DIFFERENTIATION_NUM_CS,MATCH(C43,PT_DIFFERENTIATION_CS_ID,0))</f>
        <v>..</v>
      </c>
      <c r="T43" s="320" t="s">
        <v>493</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494</v>
      </c>
      <c r="AM43" s="511"/>
      <c r="AN43" s="511" t="str">
        <f>IF(T43="","",T43)</f>
        <v>Наименование централизованной системы холодного водоснабжения</v>
      </c>
      <c r="AO43" s="511"/>
      <c r="AP43" s="511"/>
      <c r="AQ43" s="1166">
        <v>23</v>
      </c>
    </row>
    <row customHeight="1" ht="24">
      <c r="A44" s="1374" t="s">
        <v>250</v>
      </c>
      <c r="B44" s="1374" t="s">
        <v>251</v>
      </c>
      <c r="C44" s="1374" t="s">
        <v>252</v>
      </c>
      <c r="D44" s="1374" t="s">
        <v>509</v>
      </c>
      <c r="E44" s="2289"/>
      <c r="F44" s="2289"/>
      <c r="G44" s="2289"/>
      <c r="H44" s="2289"/>
      <c r="I44" s="2286" t="str">
        <f>S43&amp;".1"</f>
        <v>...1</v>
      </c>
      <c r="J44" s="1374"/>
      <c r="K44" s="1374"/>
      <c r="L44" s="1375"/>
      <c r="P44" s="2287">
        <v>1</v>
      </c>
      <c r="Q44" s="1461"/>
      <c r="R44" s="367"/>
      <c r="S44" s="1468"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250</v>
      </c>
      <c r="B45" s="1374" t="s">
        <v>251</v>
      </c>
      <c r="C45" s="1374" t="s">
        <v>252</v>
      </c>
      <c r="D45" s="1374" t="s">
        <v>509</v>
      </c>
      <c r="E45" s="2289"/>
      <c r="F45" s="2289"/>
      <c r="G45" s="2289"/>
      <c r="H45" s="2289"/>
      <c r="I45" s="2316"/>
      <c r="J45" s="2286" t="str">
        <f>I44&amp;".1"</f>
        <v>...1.1</v>
      </c>
      <c r="K45" s="1374"/>
      <c r="L45" s="1375" t="s">
        <v>420</v>
      </c>
      <c r="P45" s="2287"/>
      <c r="Q45" s="2287">
        <v>1</v>
      </c>
      <c r="R45" s="368"/>
      <c r="S45" s="1468"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250</v>
      </c>
      <c r="B46" s="1374" t="s">
        <v>251</v>
      </c>
      <c r="C46" s="1374" t="s">
        <v>252</v>
      </c>
      <c r="D46" s="1374" t="s">
        <v>509</v>
      </c>
      <c r="E46" s="2289"/>
      <c r="F46" s="2289"/>
      <c r="G46" s="2289"/>
      <c r="H46" s="2289"/>
      <c r="I46" s="2316"/>
      <c r="J46" s="2316"/>
      <c r="K46" s="2286" t="str">
        <f>J45&amp;".1"</f>
        <v>...1.1.1</v>
      </c>
      <c r="L46" s="1375"/>
      <c r="P46" s="2287"/>
      <c r="Q46" s="2287"/>
      <c r="R46" s="368">
        <v>1</v>
      </c>
      <c r="S46" s="1468" t="str">
        <f>$K46</f>
        <v>...1.1.1</v>
      </c>
      <c r="T46" s="1448"/>
      <c r="U46" s="311"/>
      <c r="V46" s="762"/>
      <c r="W46" s="762"/>
      <c r="X46" s="1268"/>
      <c r="Y46" s="2295"/>
      <c r="Z46" s="2137" t="s">
        <v>63</v>
      </c>
      <c r="AA46" s="2295"/>
      <c r="AB46" s="2137" t="s">
        <v>63</v>
      </c>
      <c r="AC46" s="762"/>
      <c r="AD46" s="762"/>
      <c r="AE46" s="1268"/>
      <c r="AF46" s="2295"/>
      <c r="AG46" s="2137" t="s">
        <v>63</v>
      </c>
      <c r="AH46" s="2317"/>
      <c r="AI46" s="2137" t="s">
        <v>63</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250</v>
      </c>
      <c r="B47" s="1374" t="s">
        <v>251</v>
      </c>
      <c r="C47" s="1374" t="s">
        <v>252</v>
      </c>
      <c r="D47" s="1374" t="s">
        <v>509</v>
      </c>
      <c r="E47" s="2289"/>
      <c r="F47" s="2289"/>
      <c r="G47" s="2289"/>
      <c r="H47" s="2289"/>
      <c r="I47" s="2316"/>
      <c r="J47" s="2316"/>
      <c r="K47" s="2286"/>
      <c r="L47" s="1375"/>
      <c r="P47" s="2287"/>
      <c r="Q47" s="2287"/>
      <c r="R47" s="368"/>
      <c r="S47" s="1467"/>
      <c r="T47" s="311"/>
      <c r="U47" s="311"/>
      <c r="V47" s="336"/>
      <c r="W47" s="336"/>
      <c r="X47" s="339" t="str">
        <f>Y46&amp;"-"&amp;AA46</f>
        <v>-</v>
      </c>
      <c r="Y47" s="2296"/>
      <c r="Z47" s="2137"/>
      <c r="AA47" s="2296"/>
      <c r="AB47" s="2137"/>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250</v>
      </c>
      <c r="B48" s="1374" t="s">
        <v>251</v>
      </c>
      <c r="C48" s="1374" t="s">
        <v>252</v>
      </c>
      <c r="D48" s="1374" t="s">
        <v>509</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250</v>
      </c>
      <c r="B49" s="1374" t="s">
        <v>251</v>
      </c>
      <c r="C49" s="1374" t="s">
        <v>252</v>
      </c>
      <c r="D49" s="1374" t="s">
        <v>509</v>
      </c>
      <c r="E49" s="2289"/>
      <c r="F49" s="2289"/>
      <c r="G49" s="2289"/>
      <c r="H49" s="2289"/>
      <c r="I49" s="2286"/>
      <c r="J49" s="1374"/>
      <c r="K49" s="1374"/>
      <c r="L49" s="1375"/>
      <c r="P49" s="2287"/>
      <c r="Q49" s="1461"/>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250</v>
      </c>
      <c r="B50" s="1374" t="s">
        <v>251</v>
      </c>
      <c r="C50" s="1374" t="s">
        <v>252</v>
      </c>
      <c r="D50" s="1374" t="s">
        <v>509</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250</v>
      </c>
      <c r="B51" s="1354" t="s">
        <v>251</v>
      </c>
      <c r="C51" s="1325"/>
      <c r="D51" s="1325"/>
      <c r="E51" s="2289"/>
      <c r="F51" s="2288"/>
      <c r="G51" s="1325"/>
      <c r="H51" s="1325"/>
      <c r="I51" s="1325"/>
      <c r="J51" s="1325"/>
      <c r="K51" s="1325"/>
      <c r="L51" s="1469"/>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250</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3DAB8-8B08-A3BD-8D58-DFF6441F183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468">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64"/>
      <c r="Q3" s="363"/>
      <c r="R3" s="364"/>
      <c r="S3" s="1468">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468">
        <f>INDEX(PT_DIFFERENTIATION_NUM_CS,MATCH(C4,PT_DIFFERENTIATION_CS_ID,0))</f>
      </c>
      <c r="T4" s="320" t="s">
        <v>493</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494</v>
      </c>
      <c r="AM4" s="511"/>
      <c r="AN4" s="511" t="str">
        <f>IF(T4="","",T4)</f>
        <v>Наименование централизованной системы холодного водоснабжения</v>
      </c>
      <c r="AO4" s="511"/>
      <c r="AP4" s="511"/>
      <c r="AQ4" s="1166">
        <v>0</v>
      </c>
    </row>
    <row customHeight="1" ht="23.25" hidden="1">
      <c r="A5" s="1374"/>
      <c r="B5" s="1374"/>
      <c r="C5" s="1374"/>
      <c r="D5" s="1374"/>
      <c r="E5" s="2289"/>
      <c r="F5" s="2289"/>
      <c r="G5" s="2289"/>
      <c r="H5" s="2289"/>
      <c r="I5" s="2286">
        <f>S4&amp;".1"</f>
      </c>
      <c r="J5" s="1374"/>
      <c r="K5" s="1374"/>
      <c r="L5" s="1375"/>
      <c r="P5" s="2287">
        <v>1</v>
      </c>
      <c r="Q5" s="1461"/>
      <c r="R5" s="367"/>
      <c r="S5" s="1468">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468">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468">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467"/>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61"/>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469"/>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58"/>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58"/>
      <c r="M19" s="1373"/>
      <c r="N19" s="1373"/>
      <c r="O19" s="1373"/>
      <c r="P19" s="1373"/>
      <c r="Q19" s="1382"/>
      <c r="R19" s="1382"/>
      <c r="S19" s="740"/>
      <c r="AB19" s="1377"/>
      <c r="AI19" s="1377"/>
      <c r="AL19" s="522"/>
      <c r="AM19" s="522"/>
      <c r="AN19" s="522"/>
      <c r="AO19" s="522"/>
      <c r="AP19" s="522"/>
      <c r="AQ19" s="1171">
        <v>0</v>
      </c>
    </row>
    <row s="1377" customFormat="1" customHeight="1" ht="12" hidden="1">
      <c r="L20" s="1458"/>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65"/>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463" t="s">
        <v>501</v>
      </c>
      <c r="W38" s="2292" t="s">
        <v>445</v>
      </c>
      <c r="X38" s="2293"/>
      <c r="Y38" s="2292" t="s">
        <v>446</v>
      </c>
      <c r="Z38" s="2299"/>
      <c r="AA38" s="2293"/>
      <c r="AB38" s="2308"/>
      <c r="AC38" s="1463" t="s">
        <v>501</v>
      </c>
      <c r="AD38" s="2292" t="s">
        <v>445</v>
      </c>
      <c r="AE38" s="2293"/>
      <c r="AF38" s="2292" t="s">
        <v>446</v>
      </c>
      <c r="AG38" s="2299"/>
      <c r="AH38" s="2293"/>
      <c r="AI38" s="2308"/>
      <c r="AJ38" s="2311"/>
      <c r="AK38" s="2157"/>
      <c r="AQ38" s="1166">
        <v>34</v>
      </c>
    </row>
    <row customHeight="1" ht="35.699999999999996">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463" t="s">
        <v>504</v>
      </c>
      <c r="W39" s="1233" t="s">
        <v>505</v>
      </c>
      <c r="X39" s="1233" t="s">
        <v>506</v>
      </c>
      <c r="Y39" s="1466" t="s">
        <v>456</v>
      </c>
      <c r="Z39" s="2300" t="s">
        <v>457</v>
      </c>
      <c r="AA39" s="2301"/>
      <c r="AB39" s="2309"/>
      <c r="AC39" s="1463" t="s">
        <v>504</v>
      </c>
      <c r="AD39" s="1233" t="s">
        <v>505</v>
      </c>
      <c r="AE39" s="1233" t="s">
        <v>506</v>
      </c>
      <c r="AF39" s="1466" t="s">
        <v>456</v>
      </c>
      <c r="AG39" s="2300" t="s">
        <v>457</v>
      </c>
      <c r="AH39" s="2301"/>
      <c r="AI39" s="2309"/>
      <c r="AJ39" s="2312"/>
      <c r="AK39" s="2157"/>
      <c r="AQ39" s="1166">
        <v>34</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462">
        <f>OFFSET(V40,0,-1)+1</f>
        <v>3</v>
      </c>
      <c r="W40" s="1462">
        <f>OFFSET(W40,0,-1)+1</f>
        <v>4</v>
      </c>
      <c r="X40" s="1462">
        <f>OFFSET(X40,0,-1)+1</f>
        <v>5</v>
      </c>
      <c r="Y40" s="1462">
        <f>OFFSET(Y40,0,-1)+1</f>
        <v>6</v>
      </c>
      <c r="Z40" s="2302">
        <f>OFFSET(Z40,0,-1)+1</f>
        <v>7</v>
      </c>
      <c r="AA40" s="2302"/>
      <c r="AB40" s="1462">
        <f>OFFSET(AB40,0,-2)+1</f>
        <v>8</v>
      </c>
      <c r="AC40" s="1462">
        <f>OFFSET(AC40,0,-1)+1</f>
        <v>9</v>
      </c>
      <c r="AD40" s="1462">
        <f>OFFSET(AD40,0,-1)+1</f>
        <v>10</v>
      </c>
      <c r="AE40" s="1462">
        <f>OFFSET(AE40,0,-1)+1</f>
        <v>11</v>
      </c>
      <c r="AF40" s="1462">
        <f>OFFSET(AF40,0,-1)+1</f>
        <v>12</v>
      </c>
      <c r="AG40" s="2302">
        <f>OFFSET(AG40,0,-1)+1</f>
        <v>13</v>
      </c>
      <c r="AH40" s="2302"/>
      <c r="AI40" s="1462">
        <f>OFFSET(AI40,0,-2)+1</f>
        <v>14</v>
      </c>
      <c r="AJ40" s="1256">
        <f>OFFSET(AJ40,0,-1)</f>
        <v>14</v>
      </c>
      <c r="AK40" s="1462">
        <f>OFFSET(AK40,0,-1)+1</f>
        <v>15</v>
      </c>
      <c r="AL40" s="522"/>
      <c r="AM40" s="522"/>
      <c r="AN40" s="522"/>
      <c r="AO40" s="522"/>
      <c r="AP40" s="522"/>
      <c r="AQ40" s="507">
        <v>0</v>
      </c>
    </row>
    <row customHeight="1" ht="24">
      <c r="A41" s="1374" t="s">
        <v>255</v>
      </c>
      <c r="B41" s="1374"/>
      <c r="C41" s="1374"/>
      <c r="D41" s="1374"/>
      <c r="E41" s="2288">
        <v>1</v>
      </c>
      <c r="F41" s="1374"/>
      <c r="G41" s="1374"/>
      <c r="H41" s="1374"/>
      <c r="I41" s="1374"/>
      <c r="J41" s="1374"/>
      <c r="K41" s="1374"/>
      <c r="L41" s="1375"/>
      <c r="M41" s="1376"/>
      <c r="N41" s="1376"/>
      <c r="O41" s="1376"/>
      <c r="P41" s="372"/>
      <c r="Q41" s="371"/>
      <c r="R41" s="366"/>
      <c r="S41" s="1468">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255</v>
      </c>
      <c r="B42" s="1374" t="s">
        <v>256</v>
      </c>
      <c r="C42" s="1374"/>
      <c r="D42" s="1374"/>
      <c r="E42" s="2289"/>
      <c r="F42" s="2288">
        <v>1</v>
      </c>
      <c r="G42" s="1374"/>
      <c r="H42" s="1374"/>
      <c r="I42" s="1374"/>
      <c r="J42" s="1374"/>
      <c r="K42" s="1374"/>
      <c r="L42" s="1375"/>
      <c r="M42" s="1376"/>
      <c r="N42" s="1376"/>
      <c r="O42" s="1376"/>
      <c r="P42" s="1464"/>
      <c r="Q42" s="363"/>
      <c r="R42" s="364"/>
      <c r="S42" s="1468"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255</v>
      </c>
      <c r="B43" s="1374" t="s">
        <v>256</v>
      </c>
      <c r="C43" s="1374" t="s">
        <v>257</v>
      </c>
      <c r="D43" s="1374"/>
      <c r="E43" s="2289"/>
      <c r="F43" s="2289"/>
      <c r="G43" s="2288">
        <v>1</v>
      </c>
      <c r="H43" s="1374"/>
      <c r="I43" s="1374"/>
      <c r="J43" s="1374"/>
      <c r="K43" s="1374"/>
      <c r="L43" s="1375"/>
      <c r="M43" s="1376"/>
      <c r="N43" s="1376"/>
      <c r="O43" s="1376"/>
      <c r="P43" s="365"/>
      <c r="Q43" s="363"/>
      <c r="R43" s="364"/>
      <c r="S43" s="1468" t="str">
        <f>INDEX(PT_DIFFERENTIATION_NUM_CS,MATCH(C43,PT_DIFFERENTIATION_CS_ID,0))</f>
        <v>..</v>
      </c>
      <c r="T43" s="320" t="s">
        <v>493</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494</v>
      </c>
      <c r="AM43" s="511"/>
      <c r="AN43" s="511" t="str">
        <f>IF(T43="","",T43)</f>
        <v>Наименование централизованной системы холодного водоснабжения</v>
      </c>
      <c r="AO43" s="511"/>
      <c r="AP43" s="511"/>
      <c r="AQ43" s="1166">
        <v>23</v>
      </c>
    </row>
    <row customHeight="1" ht="24">
      <c r="A44" s="1374" t="s">
        <v>255</v>
      </c>
      <c r="B44" s="1374" t="s">
        <v>256</v>
      </c>
      <c r="C44" s="1374" t="s">
        <v>257</v>
      </c>
      <c r="D44" s="1374" t="s">
        <v>510</v>
      </c>
      <c r="E44" s="2289"/>
      <c r="F44" s="2289"/>
      <c r="G44" s="2289"/>
      <c r="H44" s="2289"/>
      <c r="I44" s="2286" t="str">
        <f>S43&amp;".1"</f>
        <v>...1</v>
      </c>
      <c r="J44" s="1374"/>
      <c r="K44" s="1374"/>
      <c r="L44" s="1375"/>
      <c r="P44" s="2287">
        <v>1</v>
      </c>
      <c r="Q44" s="1461"/>
      <c r="R44" s="367"/>
      <c r="S44" s="1468"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255</v>
      </c>
      <c r="B45" s="1374" t="s">
        <v>256</v>
      </c>
      <c r="C45" s="1374" t="s">
        <v>257</v>
      </c>
      <c r="D45" s="1374" t="s">
        <v>510</v>
      </c>
      <c r="E45" s="2289"/>
      <c r="F45" s="2289"/>
      <c r="G45" s="2289"/>
      <c r="H45" s="2289"/>
      <c r="I45" s="2316"/>
      <c r="J45" s="2286" t="str">
        <f>I44&amp;".1"</f>
        <v>...1.1</v>
      </c>
      <c r="K45" s="1374"/>
      <c r="L45" s="1375" t="s">
        <v>420</v>
      </c>
      <c r="P45" s="2287"/>
      <c r="Q45" s="2287">
        <v>1</v>
      </c>
      <c r="R45" s="368"/>
      <c r="S45" s="1468"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255</v>
      </c>
      <c r="B46" s="1374" t="s">
        <v>256</v>
      </c>
      <c r="C46" s="1374" t="s">
        <v>257</v>
      </c>
      <c r="D46" s="1374" t="s">
        <v>510</v>
      </c>
      <c r="E46" s="2289"/>
      <c r="F46" s="2289"/>
      <c r="G46" s="2289"/>
      <c r="H46" s="2289"/>
      <c r="I46" s="2316"/>
      <c r="J46" s="2316"/>
      <c r="K46" s="2286" t="str">
        <f>J45&amp;".1"</f>
        <v>...1.1.1</v>
      </c>
      <c r="L46" s="1375"/>
      <c r="P46" s="2287"/>
      <c r="Q46" s="2287"/>
      <c r="R46" s="368">
        <v>1</v>
      </c>
      <c r="S46" s="1468" t="str">
        <f>$K46</f>
        <v>...1.1.1</v>
      </c>
      <c r="T46" s="1448"/>
      <c r="U46" s="311"/>
      <c r="V46" s="762"/>
      <c r="W46" s="762"/>
      <c r="X46" s="1268"/>
      <c r="Y46" s="2295"/>
      <c r="Z46" s="2137" t="s">
        <v>63</v>
      </c>
      <c r="AA46" s="2295"/>
      <c r="AB46" s="2137" t="s">
        <v>63</v>
      </c>
      <c r="AC46" s="762"/>
      <c r="AD46" s="762"/>
      <c r="AE46" s="1268"/>
      <c r="AF46" s="2295"/>
      <c r="AG46" s="2137" t="s">
        <v>63</v>
      </c>
      <c r="AH46" s="2317"/>
      <c r="AI46" s="2137" t="s">
        <v>63</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255</v>
      </c>
      <c r="B47" s="1374" t="s">
        <v>256</v>
      </c>
      <c r="C47" s="1374" t="s">
        <v>257</v>
      </c>
      <c r="D47" s="1374" t="s">
        <v>510</v>
      </c>
      <c r="E47" s="2289"/>
      <c r="F47" s="2289"/>
      <c r="G47" s="2289"/>
      <c r="H47" s="2289"/>
      <c r="I47" s="2316"/>
      <c r="J47" s="2316"/>
      <c r="K47" s="2286"/>
      <c r="L47" s="1375"/>
      <c r="P47" s="2287"/>
      <c r="Q47" s="2287"/>
      <c r="R47" s="368"/>
      <c r="S47" s="1467"/>
      <c r="T47" s="311"/>
      <c r="U47" s="311"/>
      <c r="V47" s="336"/>
      <c r="W47" s="336"/>
      <c r="X47" s="339" t="str">
        <f>Y46&amp;"-"&amp;AA46</f>
        <v>-</v>
      </c>
      <c r="Y47" s="2296"/>
      <c r="Z47" s="2137"/>
      <c r="AA47" s="2296"/>
      <c r="AB47" s="2137"/>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255</v>
      </c>
      <c r="B48" s="1374" t="s">
        <v>256</v>
      </c>
      <c r="C48" s="1374" t="s">
        <v>257</v>
      </c>
      <c r="D48" s="1374" t="s">
        <v>510</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255</v>
      </c>
      <c r="B49" s="1374" t="s">
        <v>256</v>
      </c>
      <c r="C49" s="1374" t="s">
        <v>257</v>
      </c>
      <c r="D49" s="1374" t="s">
        <v>510</v>
      </c>
      <c r="E49" s="2289"/>
      <c r="F49" s="2289"/>
      <c r="G49" s="2289"/>
      <c r="H49" s="2289"/>
      <c r="I49" s="2286"/>
      <c r="J49" s="1374"/>
      <c r="K49" s="1374"/>
      <c r="L49" s="1375"/>
      <c r="P49" s="2287"/>
      <c r="Q49" s="1461"/>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255</v>
      </c>
      <c r="B50" s="1374" t="s">
        <v>256</v>
      </c>
      <c r="C50" s="1374" t="s">
        <v>257</v>
      </c>
      <c r="D50" s="1374" t="s">
        <v>510</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255</v>
      </c>
      <c r="B51" s="1354" t="s">
        <v>256</v>
      </c>
      <c r="C51" s="1325"/>
      <c r="D51" s="1325"/>
      <c r="E51" s="2289"/>
      <c r="F51" s="2288"/>
      <c r="G51" s="1325"/>
      <c r="H51" s="1325"/>
      <c r="I51" s="1325"/>
      <c r="J51" s="1325"/>
      <c r="K51" s="1325"/>
      <c r="L51" s="1469"/>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255</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469"/>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58">
        <v>0</v>
      </c>
      <c r="M58" s="1373">
        <v>0</v>
      </c>
      <c r="N58" s="1373">
        <v>0</v>
      </c>
      <c r="O58" s="1373">
        <v>0</v>
      </c>
      <c r="P58" s="1457">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017E1-EFD8-6841-E83A-229B7F797C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1786" width="3.7109375" hidden="1" customWidth="1"/>
    <col min="17" max="17" style="1382" width="3.7109375" hidden="1" customWidth="1"/>
    <col min="18" max="18" style="355" width="3.00390625" customWidth="1"/>
    <col min="19" max="19" style="2437"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88">
        <v>1</v>
      </c>
      <c r="F2" s="1374"/>
      <c r="G2" s="1374"/>
      <c r="H2" s="1374"/>
      <c r="I2" s="1374"/>
      <c r="J2" s="1374"/>
      <c r="K2" s="1374"/>
      <c r="L2" s="1375"/>
      <c r="M2" s="1376"/>
      <c r="N2" s="1376"/>
      <c r="O2" s="1376"/>
      <c r="P2" s="1420"/>
      <c r="Q2" s="884"/>
      <c r="R2" s="366"/>
      <c r="S2" s="1476">
        <f>INDEX(PT_DIFFERENTIATION_NUM_NTAR,MATCH(A2,PT_DIFFERENTIATION_NTAR_ID,0))</f>
      </c>
      <c r="T2" s="309" t="s">
        <v>139</v>
      </c>
      <c r="U2" s="311"/>
      <c r="V2" s="2273"/>
      <c r="W2" s="2273"/>
      <c r="X2" s="2273"/>
      <c r="Y2" s="2273"/>
      <c r="Z2" s="2273"/>
      <c r="AA2" s="2273"/>
      <c r="AB2" s="2273"/>
      <c r="AC2" s="2274"/>
      <c r="AD2" s="2272">
        <f>INDEX(PT_DIFFERENTIATION_NTAR,MATCH(A2,PT_DIFFERENTIATION_NTAR_ID,0))</f>
      </c>
      <c r="AE2" s="2273"/>
      <c r="AF2" s="2273"/>
      <c r="AG2" s="2273"/>
      <c r="AH2" s="2273"/>
      <c r="AI2" s="2273"/>
      <c r="AJ2" s="2273"/>
      <c r="AK2" s="2273"/>
      <c r="AL2" s="2273"/>
      <c r="AM2" s="2273"/>
      <c r="AN2" s="2273"/>
      <c r="AO2" s="2273"/>
      <c r="AP2" s="2273"/>
      <c r="AQ2" s="2273"/>
      <c r="AR2" s="2273"/>
      <c r="AS2" s="2273"/>
      <c r="AT2" s="2273"/>
      <c r="AU2" s="2273"/>
      <c r="AV2" s="2273"/>
      <c r="AW2" s="2273"/>
      <c r="AX2" s="2273"/>
      <c r="AY2" s="2273"/>
      <c r="AZ2" s="2273"/>
      <c r="BA2" s="2273"/>
      <c r="BB2" s="2274"/>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89"/>
      <c r="F3" s="2288">
        <v>1</v>
      </c>
      <c r="G3" s="1374"/>
      <c r="H3" s="1374"/>
      <c r="I3" s="1374"/>
      <c r="J3" s="1374"/>
      <c r="K3" s="1374"/>
      <c r="L3" s="1375"/>
      <c r="M3" s="1376"/>
      <c r="N3" s="1376"/>
      <c r="O3" s="1376"/>
      <c r="P3" s="1421"/>
      <c r="Q3" s="1422"/>
      <c r="R3" s="364"/>
      <c r="S3" s="1476">
        <f>INDEX(PT_DIFFERENTIATION_NUM_TER,MATCH(B3,PT_DIFFERENTIATION_TER_ID,0))</f>
      </c>
      <c r="T3" s="319" t="s">
        <v>411</v>
      </c>
      <c r="U3" s="311"/>
      <c r="V3" s="2273"/>
      <c r="W3" s="2273"/>
      <c r="X3" s="2273"/>
      <c r="Y3" s="2273"/>
      <c r="Z3" s="2273"/>
      <c r="AA3" s="2273"/>
      <c r="AB3" s="2273"/>
      <c r="AC3" s="2274"/>
      <c r="AD3" s="2272">
        <f>INDEX(PT_DIFFERENTIATION_TER,MATCH(B3,PT_DIFFERENTIATION_TER_ID,0))</f>
      </c>
      <c r="AE3" s="2273"/>
      <c r="AF3" s="2273"/>
      <c r="AG3" s="2273"/>
      <c r="AH3" s="2273"/>
      <c r="AI3" s="2273"/>
      <c r="AJ3" s="2273"/>
      <c r="AK3" s="2273"/>
      <c r="AL3" s="2273"/>
      <c r="AM3" s="2273"/>
      <c r="AN3" s="2273"/>
      <c r="AO3" s="2273"/>
      <c r="AP3" s="2273"/>
      <c r="AQ3" s="2273"/>
      <c r="AR3" s="2273"/>
      <c r="AS3" s="2273"/>
      <c r="AT3" s="2273"/>
      <c r="AU3" s="2273"/>
      <c r="AV3" s="2273"/>
      <c r="AW3" s="2273"/>
      <c r="AX3" s="2273"/>
      <c r="AY3" s="2273"/>
      <c r="AZ3" s="2273"/>
      <c r="BA3" s="2273"/>
      <c r="BB3" s="2274"/>
      <c r="BC3" s="1269" t="s">
        <v>412</v>
      </c>
      <c r="BE3" s="511"/>
      <c r="BF3" s="511" t="str">
        <f>IF(T3="","",T3)</f>
        <v>Территория действия тарифа</v>
      </c>
      <c r="BG3" s="511"/>
      <c r="BH3" s="511"/>
      <c r="BI3" s="1166">
        <v>0</v>
      </c>
    </row>
    <row customHeight="1" ht="42" hidden="1">
      <c r="A4" s="1374"/>
      <c r="B4" s="1374"/>
      <c r="C4" s="1374"/>
      <c r="D4" s="1374"/>
      <c r="E4" s="2289"/>
      <c r="F4" s="2289"/>
      <c r="G4" s="2288">
        <v>1</v>
      </c>
      <c r="H4" s="1374"/>
      <c r="I4" s="1374"/>
      <c r="J4" s="1374"/>
      <c r="K4" s="1374"/>
      <c r="L4" s="1375"/>
      <c r="M4" s="1376"/>
      <c r="N4" s="1376"/>
      <c r="O4" s="1376"/>
      <c r="P4" s="1423"/>
      <c r="Q4" s="1422"/>
      <c r="R4" s="364"/>
      <c r="S4" s="1476">
        <f>INDEX(PT_DIFFERENTIATION_NUM_CS,MATCH(C4,PT_DIFFERENTIATION_CS_ID,0))</f>
      </c>
      <c r="T4" s="320" t="s">
        <v>493</v>
      </c>
      <c r="U4" s="311"/>
      <c r="V4" s="2273"/>
      <c r="W4" s="2273"/>
      <c r="X4" s="2273"/>
      <c r="Y4" s="2273"/>
      <c r="Z4" s="2273"/>
      <c r="AA4" s="2273"/>
      <c r="AB4" s="2273"/>
      <c r="AC4" s="2274"/>
      <c r="AD4" s="2272">
        <f>INDEX(PT_DIFFERENTIATION_CS,MATCH(C4,PT_DIFFERENTIATION_CS_ID,0))</f>
      </c>
      <c r="AE4" s="2273"/>
      <c r="AF4" s="2273"/>
      <c r="AG4" s="2273"/>
      <c r="AH4" s="2273"/>
      <c r="AI4" s="2273"/>
      <c r="AJ4" s="2273"/>
      <c r="AK4" s="2273"/>
      <c r="AL4" s="2273"/>
      <c r="AM4" s="2273"/>
      <c r="AN4" s="2273"/>
      <c r="AO4" s="2273"/>
      <c r="AP4" s="2273"/>
      <c r="AQ4" s="2273"/>
      <c r="AR4" s="2273"/>
      <c r="AS4" s="2273"/>
      <c r="AT4" s="2273"/>
      <c r="AU4" s="2273"/>
      <c r="AV4" s="2273"/>
      <c r="AW4" s="2273"/>
      <c r="AX4" s="2273"/>
      <c r="AY4" s="2273"/>
      <c r="AZ4" s="2273"/>
      <c r="BA4" s="2273"/>
      <c r="BB4" s="2274"/>
      <c r="BC4" s="1269" t="s">
        <v>494</v>
      </c>
      <c r="BE4" s="511"/>
      <c r="BF4" s="511" t="str">
        <f>IF(T4="","",T4)</f>
        <v>Наименование централизованной системы холодного водоснабжения</v>
      </c>
      <c r="BG4" s="511"/>
      <c r="BH4" s="511"/>
      <c r="BI4" s="1166">
        <v>0</v>
      </c>
    </row>
    <row s="1653" customFormat="1" customHeight="1" ht="14.25" hidden="1">
      <c r="A5" s="1354"/>
      <c r="B5" s="1354"/>
      <c r="C5" s="1354"/>
      <c r="D5" s="1354"/>
      <c r="E5" s="2289"/>
      <c r="F5" s="2289"/>
      <c r="G5" s="2289"/>
      <c r="H5" s="2288">
        <v>1</v>
      </c>
      <c r="I5" s="1354"/>
      <c r="J5" s="1354"/>
      <c r="K5" s="1354"/>
      <c r="L5" s="1357"/>
      <c r="M5" s="1326"/>
      <c r="N5" s="1326"/>
      <c r="O5" s="1326"/>
      <c r="P5" s="1508"/>
      <c r="Q5" s="1509"/>
      <c r="R5" s="368"/>
      <c r="S5" s="1053"/>
      <c r="T5" s="1510"/>
      <c r="U5" s="1395"/>
      <c r="V5" s="2327"/>
      <c r="W5" s="2327"/>
      <c r="X5" s="2327"/>
      <c r="Y5" s="2327"/>
      <c r="Z5" s="2327"/>
      <c r="AA5" s="2327"/>
      <c r="AB5" s="2327"/>
      <c r="AC5" s="2328"/>
      <c r="AD5" s="2326"/>
      <c r="AE5" s="2327"/>
      <c r="AF5" s="2327"/>
      <c r="AG5" s="2327"/>
      <c r="AH5" s="2327"/>
      <c r="AI5" s="2327"/>
      <c r="AJ5" s="2327"/>
      <c r="AK5" s="2327"/>
      <c r="AL5" s="2327"/>
      <c r="AM5" s="2327"/>
      <c r="AN5" s="2327"/>
      <c r="AO5" s="2327"/>
      <c r="AP5" s="2327"/>
      <c r="AQ5" s="2327"/>
      <c r="AR5" s="2327"/>
      <c r="AS5" s="2327"/>
      <c r="AT5" s="2327"/>
      <c r="AU5" s="2327"/>
      <c r="AV5" s="2327"/>
      <c r="AW5" s="2327"/>
      <c r="AX5" s="2327"/>
      <c r="AY5" s="2327"/>
      <c r="AZ5" s="2327"/>
      <c r="BA5" s="2327"/>
      <c r="BB5" s="2328"/>
      <c r="BC5" s="1396" t="s">
        <v>416</v>
      </c>
      <c r="BE5" s="511"/>
      <c r="BF5" s="511" t="str">
        <f>IF(T5="","",T5)</f>
        <v/>
      </c>
      <c r="BG5" s="511"/>
      <c r="BH5" s="511"/>
      <c r="BI5" s="522">
        <v>0</v>
      </c>
    </row>
    <row s="1653" customFormat="1" customHeight="1" ht="14.25" hidden="1">
      <c r="A6" s="1354"/>
      <c r="B6" s="1354"/>
      <c r="C6" s="1354"/>
      <c r="D6" s="1354"/>
      <c r="E6" s="2289"/>
      <c r="F6" s="2289"/>
      <c r="G6" s="2289"/>
      <c r="H6" s="2289"/>
      <c r="I6" s="2286" t="str">
        <f>S5&amp;".1"</f>
        <v>.1</v>
      </c>
      <c r="J6" s="1354"/>
      <c r="K6" s="1354"/>
      <c r="L6" s="1357" t="s">
        <v>417</v>
      </c>
      <c r="M6" s="521"/>
      <c r="N6" s="521"/>
      <c r="O6" s="521"/>
      <c r="P6" s="2287">
        <v>1</v>
      </c>
      <c r="Q6" s="1473"/>
      <c r="R6" s="367"/>
      <c r="S6" s="1053"/>
      <c r="T6" s="1394"/>
      <c r="U6" s="1395"/>
      <c r="V6" s="2327"/>
      <c r="W6" s="2327"/>
      <c r="X6" s="2327"/>
      <c r="Y6" s="2327"/>
      <c r="Z6" s="2327"/>
      <c r="AA6" s="2327"/>
      <c r="AB6" s="2327"/>
      <c r="AC6" s="2328"/>
      <c r="AD6" s="2326"/>
      <c r="AE6" s="2327"/>
      <c r="AF6" s="2327"/>
      <c r="AG6" s="2327"/>
      <c r="AH6" s="2327"/>
      <c r="AI6" s="2327"/>
      <c r="AJ6" s="2327"/>
      <c r="AK6" s="2327"/>
      <c r="AL6" s="2327"/>
      <c r="AM6" s="2327"/>
      <c r="AN6" s="2327"/>
      <c r="AO6" s="2327"/>
      <c r="AP6" s="2327"/>
      <c r="AQ6" s="2327"/>
      <c r="AR6" s="2327"/>
      <c r="AS6" s="2327"/>
      <c r="AT6" s="2327"/>
      <c r="AU6" s="2327"/>
      <c r="AV6" s="2327"/>
      <c r="AW6" s="2327"/>
      <c r="AX6" s="2327"/>
      <c r="AY6" s="2327"/>
      <c r="AZ6" s="2327"/>
      <c r="BA6" s="2327"/>
      <c r="BB6" s="2328"/>
      <c r="BC6" s="1396"/>
      <c r="BE6" s="511"/>
      <c r="BF6" s="511" t="str">
        <f>IF(T6="","",T6)</f>
        <v/>
      </c>
      <c r="BG6" s="511"/>
      <c r="BH6" s="511"/>
      <c r="BI6" s="522">
        <v>0</v>
      </c>
    </row>
    <row s="1653" customFormat="1" customHeight="1" ht="14.25" hidden="1">
      <c r="A7" s="1354"/>
      <c r="B7" s="1354"/>
      <c r="C7" s="1354"/>
      <c r="D7" s="1354"/>
      <c r="E7" s="2289"/>
      <c r="F7" s="2289"/>
      <c r="G7" s="2289"/>
      <c r="H7" s="2289"/>
      <c r="I7" s="2316"/>
      <c r="J7" s="2286" t="str">
        <f>S5&amp;".1"</f>
        <v>.1</v>
      </c>
      <c r="K7" s="1354"/>
      <c r="L7" s="1357"/>
      <c r="M7" s="521"/>
      <c r="N7" s="521"/>
      <c r="O7" s="521"/>
      <c r="P7" s="2287"/>
      <c r="Q7" s="2287">
        <v>1</v>
      </c>
      <c r="R7" s="368"/>
      <c r="S7" s="1053"/>
      <c r="T7" s="1410"/>
      <c r="U7" s="1395"/>
      <c r="V7" s="2327"/>
      <c r="W7" s="2327"/>
      <c r="X7" s="2327"/>
      <c r="Y7" s="2327"/>
      <c r="Z7" s="2327"/>
      <c r="AA7" s="2327"/>
      <c r="AB7" s="2327"/>
      <c r="AC7" s="2328"/>
      <c r="AD7" s="2326"/>
      <c r="AE7" s="2327"/>
      <c r="AF7" s="2327"/>
      <c r="AG7" s="2327"/>
      <c r="AH7" s="2327"/>
      <c r="AI7" s="2327"/>
      <c r="AJ7" s="2327"/>
      <c r="AK7" s="2327"/>
      <c r="AL7" s="2327"/>
      <c r="AM7" s="2327"/>
      <c r="AN7" s="2327"/>
      <c r="AO7" s="2327"/>
      <c r="AP7" s="2327"/>
      <c r="AQ7" s="2327"/>
      <c r="AR7" s="2327"/>
      <c r="AS7" s="2327"/>
      <c r="AT7" s="2327"/>
      <c r="AU7" s="2327"/>
      <c r="AV7" s="2327"/>
      <c r="AW7" s="2327"/>
      <c r="AX7" s="2327"/>
      <c r="AY7" s="2327"/>
      <c r="AZ7" s="2327"/>
      <c r="BA7" s="2327"/>
      <c r="BB7" s="2328"/>
      <c r="BC7" s="1396"/>
      <c r="BE7" s="511"/>
      <c r="BF7" s="511" t="str">
        <f>IF(T7="","",T7)</f>
        <v/>
      </c>
      <c r="BG7" s="511"/>
      <c r="BH7" s="511"/>
      <c r="BI7" s="522">
        <v>0</v>
      </c>
    </row>
    <row customHeight="1" ht="11.25" hidden="1">
      <c r="A8" s="1374"/>
      <c r="B8" s="1374"/>
      <c r="C8" s="1374"/>
      <c r="D8" s="1374"/>
      <c r="E8" s="2289"/>
      <c r="F8" s="2289"/>
      <c r="G8" s="2289"/>
      <c r="H8" s="2289"/>
      <c r="I8" s="2316"/>
      <c r="J8" s="2316"/>
      <c r="K8" s="2286">
        <f>S4&amp;".1"</f>
      </c>
      <c r="L8" s="1375"/>
      <c r="P8" s="2287"/>
      <c r="Q8" s="2287"/>
      <c r="R8" s="2377">
        <v>1</v>
      </c>
      <c r="S8" s="2371">
        <f>$K8</f>
      </c>
      <c r="T8" s="2390"/>
      <c r="U8" s="311"/>
      <c r="V8" s="762"/>
      <c r="W8" s="1268"/>
      <c r="X8" s="762"/>
      <c r="Y8" s="1268"/>
      <c r="Z8" s="1744"/>
      <c r="AA8" s="1470" t="s">
        <v>63</v>
      </c>
      <c r="AB8" s="1744"/>
      <c r="AC8" s="1470" t="s">
        <v>63</v>
      </c>
      <c r="AD8" s="2215" t="s">
        <v>63</v>
      </c>
      <c r="AE8" s="2356"/>
      <c r="AF8" s="2235">
        <v>1</v>
      </c>
      <c r="AG8" s="2393"/>
      <c r="AH8" s="2137" t="s">
        <v>63</v>
      </c>
      <c r="AI8" s="2356"/>
      <c r="AJ8" s="2235">
        <v>1</v>
      </c>
      <c r="AK8" s="2357" t="s">
        <v>22</v>
      </c>
      <c r="AL8" s="2137" t="s">
        <v>63</v>
      </c>
      <c r="AM8" s="2222"/>
      <c r="AN8" s="2235">
        <v>1</v>
      </c>
      <c r="AO8" s="2387"/>
      <c r="AP8" s="2388" t="s">
        <v>63</v>
      </c>
      <c r="AQ8" s="322"/>
      <c r="AR8" s="1474">
        <v>1</v>
      </c>
      <c r="AS8" s="1477" t="s">
        <v>22</v>
      </c>
      <c r="AT8" s="762"/>
      <c r="AU8" s="1268"/>
      <c r="AV8" s="762"/>
      <c r="AW8" s="1268"/>
      <c r="AX8" s="1744"/>
      <c r="AY8" s="1470" t="s">
        <v>63</v>
      </c>
      <c r="AZ8" s="1744"/>
      <c r="BA8" s="1470" t="s">
        <v>63</v>
      </c>
      <c r="BB8" s="1359"/>
      <c r="BC8" s="2283" t="s">
        <v>511</v>
      </c>
      <c r="BE8" s="511"/>
      <c r="BF8" s="511" t="str">
        <f>IF(T8="","",T8)</f>
        <v/>
      </c>
      <c r="BG8" s="511"/>
      <c r="BH8" s="511"/>
      <c r="BI8" s="1166">
        <v>0</v>
      </c>
    </row>
    <row customHeight="1" ht="11.25" hidden="1">
      <c r="A9" s="1374"/>
      <c r="B9" s="1374"/>
      <c r="C9" s="1374"/>
      <c r="D9" s="1374"/>
      <c r="E9" s="2289"/>
      <c r="F9" s="2289"/>
      <c r="G9" s="2289"/>
      <c r="H9" s="2289"/>
      <c r="I9" s="2316"/>
      <c r="J9" s="2316"/>
      <c r="K9" s="2286"/>
      <c r="L9" s="1375"/>
      <c r="P9" s="2287"/>
      <c r="Q9" s="2287"/>
      <c r="R9" s="2377"/>
      <c r="S9" s="2372"/>
      <c r="T9" s="2391"/>
      <c r="U9" s="311"/>
      <c r="V9" s="1404"/>
      <c r="W9" s="1507"/>
      <c r="X9" s="1404"/>
      <c r="Y9" s="1507"/>
      <c r="Z9" s="1404"/>
      <c r="AA9" s="1404"/>
      <c r="AB9" s="1404"/>
      <c r="AC9" s="1404"/>
      <c r="AD9" s="2216"/>
      <c r="AE9" s="2356"/>
      <c r="AF9" s="2235"/>
      <c r="AG9" s="2393"/>
      <c r="AH9" s="2137"/>
      <c r="AI9" s="2356"/>
      <c r="AJ9" s="2235"/>
      <c r="AK9" s="2357"/>
      <c r="AL9" s="2137"/>
      <c r="AM9" s="2230"/>
      <c r="AN9" s="2235"/>
      <c r="AO9" s="2387"/>
      <c r="AP9" s="2389"/>
      <c r="AQ9" s="327"/>
      <c r="AR9" s="427"/>
      <c r="AS9" s="427" t="s">
        <v>512</v>
      </c>
      <c r="AT9" s="1404"/>
      <c r="AU9" s="1507"/>
      <c r="AV9" s="1404"/>
      <c r="AW9" s="1507"/>
      <c r="AX9" s="1404"/>
      <c r="AY9" s="1404"/>
      <c r="AZ9" s="1404"/>
      <c r="BA9" s="1404"/>
      <c r="BB9" s="1408"/>
      <c r="BC9" s="2284"/>
      <c r="BE9" s="511"/>
      <c r="BF9" s="511"/>
      <c r="BG9" s="511"/>
      <c r="BH9" s="511"/>
      <c r="BI9" s="1166">
        <v>0</v>
      </c>
    </row>
    <row customHeight="1" ht="11.25" hidden="1">
      <c r="A10" s="1374"/>
      <c r="B10" s="1374"/>
      <c r="C10" s="1374"/>
      <c r="D10" s="1374"/>
      <c r="E10" s="2289"/>
      <c r="F10" s="2289"/>
      <c r="G10" s="2289"/>
      <c r="H10" s="2289"/>
      <c r="I10" s="2316"/>
      <c r="J10" s="2316"/>
      <c r="K10" s="2286"/>
      <c r="L10" s="1375"/>
      <c r="P10" s="2287"/>
      <c r="Q10" s="2287"/>
      <c r="R10" s="2377"/>
      <c r="S10" s="2372"/>
      <c r="T10" s="2391"/>
      <c r="U10" s="311"/>
      <c r="V10" s="1404"/>
      <c r="W10" s="1507"/>
      <c r="X10" s="1404"/>
      <c r="Y10" s="1507"/>
      <c r="Z10" s="1404"/>
      <c r="AA10" s="1404"/>
      <c r="AB10" s="1404"/>
      <c r="AC10" s="1404"/>
      <c r="AD10" s="2216"/>
      <c r="AE10" s="2356"/>
      <c r="AF10" s="2235"/>
      <c r="AG10" s="2393"/>
      <c r="AH10" s="2137"/>
      <c r="AI10" s="2356"/>
      <c r="AJ10" s="2235"/>
      <c r="AK10" s="2357"/>
      <c r="AL10" s="2137"/>
      <c r="AM10" s="327"/>
      <c r="AN10" s="1511"/>
      <c r="AO10" s="1511" t="s">
        <v>513</v>
      </c>
      <c r="AP10" s="427"/>
      <c r="AQ10" s="427"/>
      <c r="AR10" s="427"/>
      <c r="AS10" s="1404"/>
      <c r="AT10" s="1404"/>
      <c r="AU10" s="1507"/>
      <c r="AV10" s="1404"/>
      <c r="AW10" s="1507"/>
      <c r="AX10" s="1404"/>
      <c r="AY10" s="1404"/>
      <c r="AZ10" s="1404"/>
      <c r="BA10" s="1404"/>
      <c r="BB10" s="1408"/>
      <c r="BC10" s="2284"/>
      <c r="BE10" s="511"/>
      <c r="BF10" s="511"/>
      <c r="BG10" s="511"/>
      <c r="BH10" s="511"/>
      <c r="BI10" s="1166">
        <v>0</v>
      </c>
    </row>
    <row customHeight="1" ht="11.25" hidden="1">
      <c r="A11" s="1374"/>
      <c r="B11" s="1374"/>
      <c r="C11" s="1374"/>
      <c r="D11" s="1374"/>
      <c r="E11" s="2289"/>
      <c r="F11" s="2289"/>
      <c r="G11" s="2289"/>
      <c r="H11" s="2289"/>
      <c r="I11" s="2316"/>
      <c r="J11" s="2316"/>
      <c r="K11" s="2286"/>
      <c r="L11" s="1375"/>
      <c r="P11" s="2287"/>
      <c r="Q11" s="2287"/>
      <c r="R11" s="2377"/>
      <c r="S11" s="2372"/>
      <c r="T11" s="2391"/>
      <c r="U11" s="311"/>
      <c r="V11" s="1404"/>
      <c r="W11" s="1507"/>
      <c r="X11" s="1404"/>
      <c r="Y11" s="1507"/>
      <c r="Z11" s="1404"/>
      <c r="AA11" s="1404"/>
      <c r="AB11" s="1404"/>
      <c r="AC11" s="1404"/>
      <c r="AD11" s="2216"/>
      <c r="AE11" s="2356"/>
      <c r="AF11" s="2235"/>
      <c r="AG11" s="2393"/>
      <c r="AH11" s="2137"/>
      <c r="AI11" s="305"/>
      <c r="AJ11" s="426"/>
      <c r="AK11" s="324" t="s">
        <v>514</v>
      </c>
      <c r="AL11" s="1404"/>
      <c r="AM11" s="1404"/>
      <c r="AN11" s="1404"/>
      <c r="AO11" s="1404"/>
      <c r="AP11" s="1404"/>
      <c r="AQ11" s="1404"/>
      <c r="AR11" s="1404"/>
      <c r="AS11" s="1404"/>
      <c r="AT11" s="1404"/>
      <c r="AU11" s="1507"/>
      <c r="AV11" s="1404"/>
      <c r="AW11" s="1507"/>
      <c r="AX11" s="1404"/>
      <c r="AY11" s="1404"/>
      <c r="AZ11" s="1404"/>
      <c r="BA11" s="1404"/>
      <c r="BB11" s="1408"/>
      <c r="BC11" s="2284"/>
      <c r="BE11" s="511"/>
      <c r="BF11" s="511"/>
      <c r="BG11" s="511"/>
      <c r="BH11" s="511"/>
      <c r="BI11" s="1166">
        <v>0</v>
      </c>
    </row>
    <row customHeight="1" ht="11.25" hidden="1">
      <c r="A12" s="1374"/>
      <c r="B12" s="1374"/>
      <c r="C12" s="1374"/>
      <c r="D12" s="1374"/>
      <c r="E12" s="2289"/>
      <c r="F12" s="2289"/>
      <c r="G12" s="2289"/>
      <c r="H12" s="2289"/>
      <c r="I12" s="2316"/>
      <c r="J12" s="2316"/>
      <c r="K12" s="2286"/>
      <c r="L12" s="1375"/>
      <c r="P12" s="2287"/>
      <c r="Q12" s="2287"/>
      <c r="R12" s="2377"/>
      <c r="S12" s="2373"/>
      <c r="T12" s="2392"/>
      <c r="U12" s="311"/>
      <c r="V12" s="1404"/>
      <c r="W12" s="1405" t="str">
        <f>Z8&amp;"-"&amp;AB8</f>
        <v>-</v>
      </c>
      <c r="X12" s="1404"/>
      <c r="Y12" s="1405" t="str">
        <f>AB8&amp;"-"&amp;AD8</f>
        <v>-да</v>
      </c>
      <c r="Z12" s="1404"/>
      <c r="AA12" s="1404"/>
      <c r="AB12" s="1404"/>
      <c r="AC12" s="1404"/>
      <c r="AD12" s="2142"/>
      <c r="AE12" s="323"/>
      <c r="AF12" s="325"/>
      <c r="AG12" s="427" t="s">
        <v>515</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84"/>
      <c r="BE12" s="511"/>
      <c r="BF12" s="511" t="str">
        <f>IF(T12="","",T12)</f>
        <v/>
      </c>
      <c r="BG12" s="511"/>
      <c r="BH12" s="511"/>
      <c r="BI12" s="1166">
        <v>0</v>
      </c>
    </row>
    <row customHeight="1" ht="11.25" hidden="1">
      <c r="A13" s="1374"/>
      <c r="B13" s="1374"/>
      <c r="C13" s="1374"/>
      <c r="D13" s="1374"/>
      <c r="E13" s="2289"/>
      <c r="F13" s="2289"/>
      <c r="G13" s="2289"/>
      <c r="H13" s="2289"/>
      <c r="I13" s="2316"/>
      <c r="J13" s="2286"/>
      <c r="K13" s="1374"/>
      <c r="L13" s="1375"/>
      <c r="P13" s="2287"/>
      <c r="Q13" s="2287"/>
      <c r="R13" s="367"/>
      <c r="S13" s="1289"/>
      <c r="T13" s="298" t="s">
        <v>478</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85"/>
      <c r="BE13" s="511"/>
      <c r="BF13" s="511" t="str">
        <f>IF(T13="","",T13)</f>
        <v>Добавить строку</v>
      </c>
      <c r="BG13" s="511"/>
      <c r="BH13" s="511"/>
      <c r="BI13" s="1166">
        <v>0</v>
      </c>
    </row>
    <row s="1653" customFormat="1" customHeight="1" ht="14.25" hidden="1">
      <c r="A14" s="1354"/>
      <c r="B14" s="1354"/>
      <c r="C14" s="1354"/>
      <c r="D14" s="1354"/>
      <c r="E14" s="2289"/>
      <c r="F14" s="2289"/>
      <c r="G14" s="2289"/>
      <c r="H14" s="2289"/>
      <c r="I14" s="2286"/>
      <c r="J14" s="1354"/>
      <c r="K14" s="1354"/>
      <c r="L14" s="1357"/>
      <c r="M14" s="521"/>
      <c r="N14" s="521"/>
      <c r="O14" s="521"/>
      <c r="P14" s="2287"/>
      <c r="Q14" s="1473"/>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89"/>
      <c r="F15" s="2289"/>
      <c r="G15" s="2289"/>
      <c r="H15" s="2288"/>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89"/>
      <c r="F16" s="2289"/>
      <c r="G16" s="2288"/>
      <c r="H16" s="1325"/>
      <c r="I16" s="1325"/>
      <c r="J16" s="1325"/>
      <c r="K16" s="1325"/>
      <c r="L16" s="147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89"/>
      <c r="F17" s="2288"/>
      <c r="G17" s="1325"/>
      <c r="H17" s="1325"/>
      <c r="I17" s="1325"/>
      <c r="J17" s="1325"/>
      <c r="K17" s="1325"/>
      <c r="L17" s="1475"/>
      <c r="M17" s="1332"/>
      <c r="N17" s="1332"/>
      <c r="P17" s="1327"/>
      <c r="Q17" s="1328"/>
      <c r="R17" s="1327"/>
      <c r="S17" s="1333"/>
      <c r="T17" s="1336" t="s">
        <v>429</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88"/>
      <c r="F18" s="1354"/>
      <c r="G18" s="1354"/>
      <c r="H18" s="1354"/>
      <c r="I18" s="1354"/>
      <c r="J18" s="1354"/>
      <c r="K18" s="1354"/>
      <c r="L18" s="1357"/>
      <c r="M18" s="1332"/>
      <c r="N18" s="1332"/>
      <c r="O18" s="529"/>
      <c r="P18" s="391"/>
      <c r="Q18" s="1355"/>
      <c r="R18" s="391"/>
      <c r="S18" s="1333"/>
      <c r="T18" s="1336" t="s">
        <v>430</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6"/>
      <c r="AY20" s="1471" t="s">
        <v>63</v>
      </c>
      <c r="AZ20" s="1746"/>
      <c r="BA20" s="1471" t="s">
        <v>63</v>
      </c>
      <c r="BI20" s="1166">
        <v>0</v>
      </c>
    </row>
    <row customHeight="1" ht="14.25" hidden="1">
      <c r="BD21" s="507"/>
      <c r="BE21" s="507"/>
      <c r="BF21" s="507"/>
      <c r="BG21" s="507"/>
      <c r="BH21" s="507"/>
      <c r="BI21" s="1166">
        <v>0</v>
      </c>
    </row>
    <row customHeight="1" ht="14.25" hidden="1">
      <c r="O22" s="1378" t="s">
        <v>431</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432</v>
      </c>
      <c r="P24" s="1519"/>
      <c r="Q24" s="1521"/>
      <c r="R24" s="1521"/>
      <c r="AA24" s="1518" t="s">
        <v>434</v>
      </c>
      <c r="AC24" s="1518" t="s">
        <v>435</v>
      </c>
      <c r="AD24" s="1518" t="s">
        <v>479</v>
      </c>
      <c r="AH24" s="1518" t="s">
        <v>479</v>
      </c>
      <c r="AK24" s="1518" t="s">
        <v>516</v>
      </c>
      <c r="AL24" s="1518" t="s">
        <v>479</v>
      </c>
      <c r="AP24" s="1518" t="s">
        <v>479</v>
      </c>
      <c r="AY24" s="1518" t="s">
        <v>434</v>
      </c>
      <c r="BA24" s="1518" t="s">
        <v>435</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7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78"/>
      <c r="U28" s="2278"/>
      <c r="V28" s="2278"/>
      <c r="W28" s="2278"/>
      <c r="X28" s="2278"/>
      <c r="Y28" s="2278"/>
      <c r="Z28" s="2278"/>
      <c r="AA28" s="2278"/>
      <c r="AB28" s="2278"/>
      <c r="AC28" s="2278"/>
      <c r="AD28" s="2278"/>
      <c r="AE28" s="2278"/>
      <c r="AF28" s="2278"/>
      <c r="AG28" s="2278"/>
      <c r="AH28" s="2278"/>
      <c r="AI28" s="2278"/>
      <c r="AJ28" s="2278"/>
      <c r="AK28" s="2278"/>
      <c r="AL28" s="2278"/>
      <c r="AM28" s="2278"/>
      <c r="AN28" s="2278"/>
      <c r="AO28" s="2278"/>
      <c r="AP28" s="2278"/>
      <c r="AQ28" s="2278"/>
      <c r="AR28" s="2278"/>
      <c r="AS28" s="2278"/>
      <c r="AT28" s="2278"/>
      <c r="AU28" s="2278"/>
      <c r="AV28" s="2278"/>
      <c r="AW28" s="2278"/>
      <c r="AX28" s="2278"/>
      <c r="AY28" s="2278"/>
      <c r="AZ28" s="2278"/>
      <c r="BA28" s="1254"/>
      <c r="BI28" s="1166">
        <v>14</v>
      </c>
    </row>
    <row customHeight="1" ht="14.699999999999998">
      <c r="Q29" s="302"/>
      <c r="R29" s="387"/>
      <c r="S29" s="2279" t="str">
        <f>IF(org=0,"Не определено",org)</f>
        <v>ПАО "КГК"</v>
      </c>
      <c r="T29" s="2279"/>
      <c r="U29" s="2279"/>
      <c r="V29" s="2279"/>
      <c r="W29" s="2279"/>
      <c r="X29" s="2279"/>
      <c r="Y29" s="2279"/>
      <c r="Z29" s="2279"/>
      <c r="AA29" s="2279"/>
      <c r="AB29" s="2279"/>
      <c r="AC29" s="2279"/>
      <c r="AD29" s="2279"/>
      <c r="AE29" s="2279"/>
      <c r="AF29" s="2279"/>
      <c r="AG29" s="2279"/>
      <c r="AH29" s="2279"/>
      <c r="AI29" s="2279"/>
      <c r="AJ29" s="2279"/>
      <c r="AK29" s="2279"/>
      <c r="AL29" s="2279"/>
      <c r="AM29" s="2279"/>
      <c r="AN29" s="2279"/>
      <c r="AO29" s="2279"/>
      <c r="AP29" s="2279"/>
      <c r="AQ29" s="2279"/>
      <c r="AR29" s="2279"/>
      <c r="AS29" s="2279"/>
      <c r="AT29" s="2279"/>
      <c r="AU29" s="2279"/>
      <c r="AV29" s="2279"/>
      <c r="AW29" s="2279"/>
      <c r="AX29" s="2279"/>
      <c r="AY29" s="2279"/>
      <c r="AZ29" s="2279"/>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1" customFormat="1" customHeight="1" ht="25.5" hidden="1">
      <c r="A31" s="1379"/>
      <c r="B31" s="1379"/>
      <c r="C31" s="1379"/>
      <c r="D31" s="1379"/>
      <c r="E31" s="1379"/>
      <c r="F31" s="1379"/>
      <c r="G31" s="1379"/>
      <c r="H31" s="1379"/>
      <c r="I31" s="1379"/>
      <c r="J31" s="1379"/>
      <c r="K31" s="1379"/>
      <c r="L31" s="1380"/>
      <c r="M31" s="1379"/>
      <c r="N31" s="1379"/>
      <c r="O31" s="1379"/>
      <c r="P31" s="1379"/>
      <c r="Q31" s="1379"/>
      <c r="S31" s="2280" t="s">
        <v>42</v>
      </c>
      <c r="T31" s="2280"/>
      <c r="U31" s="1383"/>
      <c r="V31" s="2281" t="str">
        <f>IF(TITLE_NAME_OR_PR_CHANGE="",IF(TITLE_NAME_OR_PR="","",TITLE_NAME_OR_PR),TITLE_NAME_OR_PR_CHANGE)</f>
        <v/>
      </c>
      <c r="W31" s="2281"/>
      <c r="X31" s="2281"/>
      <c r="Y31" s="2281"/>
      <c r="Z31" s="2281"/>
      <c r="AA31" s="2281"/>
      <c r="AB31" s="2281"/>
      <c r="AC31" s="337"/>
      <c r="AD31" s="2281" t="str">
        <f>IF(TITLE_NAME_OR_PR_CHANGE="",IF(TITLE_NAME_OR_PR="","",TITLE_NAME_OR_PR),TITLE_NAME_OR_PR_CHANGE)</f>
        <v/>
      </c>
      <c r="AE31" s="2281"/>
      <c r="AF31" s="2281"/>
      <c r="AG31" s="2281"/>
      <c r="AH31" s="2281"/>
      <c r="AI31" s="2281"/>
      <c r="AJ31" s="2281"/>
      <c r="AK31" s="2281"/>
      <c r="AL31" s="2281"/>
      <c r="AM31" s="2281"/>
      <c r="AN31" s="2281"/>
      <c r="AO31" s="2281"/>
      <c r="AP31" s="2281"/>
      <c r="AQ31" s="2281"/>
      <c r="AR31" s="2281"/>
      <c r="AS31" s="2281"/>
      <c r="AT31" s="2281"/>
      <c r="AU31" s="2281"/>
      <c r="AV31" s="2281"/>
      <c r="AW31" s="2281"/>
      <c r="AX31" s="2281"/>
      <c r="AY31" s="2281"/>
      <c r="AZ31" s="2281"/>
      <c r="BA31" s="337"/>
      <c r="BB31" s="337"/>
      <c r="BC31" s="291"/>
      <c r="BD31" s="379"/>
      <c r="BE31" s="379"/>
      <c r="BF31" s="379"/>
      <c r="BG31" s="379"/>
      <c r="BH31" s="379"/>
      <c r="BI31" s="429">
        <v>0</v>
      </c>
    </row>
    <row s="1861" customFormat="1" customHeight="1" ht="18.75" hidden="1">
      <c r="A32" s="1379"/>
      <c r="B32" s="1379"/>
      <c r="C32" s="1379"/>
      <c r="D32" s="1379"/>
      <c r="E32" s="1379"/>
      <c r="F32" s="1379"/>
      <c r="G32" s="1379"/>
      <c r="H32" s="1379"/>
      <c r="I32" s="1379"/>
      <c r="J32" s="1379"/>
      <c r="K32" s="1379"/>
      <c r="L32" s="1380"/>
      <c r="M32" s="1379"/>
      <c r="N32" s="1379"/>
      <c r="O32" s="1379"/>
      <c r="P32" s="1379"/>
      <c r="Q32" s="1379"/>
      <c r="S32" s="2280" t="s">
        <v>517</v>
      </c>
      <c r="T32" s="2280"/>
      <c r="U32" s="1383"/>
      <c r="V32" s="2294" t="str">
        <f>IF(TITLE_DATE_PR_CHANGE="",IF(TITLE_DATE_PR="","",TITLE_DATE_PR),TITLE_DATE_PR_CHANGE)</f>
        <v/>
      </c>
      <c r="W32" s="2294"/>
      <c r="X32" s="2294"/>
      <c r="Y32" s="2294"/>
      <c r="Z32" s="2294"/>
      <c r="AA32" s="2294"/>
      <c r="AB32" s="2294"/>
      <c r="AC32" s="337"/>
      <c r="AD32" s="2294" t="str">
        <f>IF(TITLE_DATE_PR_CHANGE="",IF(TITLE_DATE_PR="","",TITLE_DATE_PR),TITLE_DATE_PR_CHANGE)</f>
        <v/>
      </c>
      <c r="AE32" s="2294"/>
      <c r="AF32" s="2294"/>
      <c r="AG32" s="2294"/>
      <c r="AH32" s="2294"/>
      <c r="AI32" s="2294"/>
      <c r="AJ32" s="2294"/>
      <c r="AK32" s="2294"/>
      <c r="AL32" s="2294"/>
      <c r="AM32" s="2294"/>
      <c r="AN32" s="2294"/>
      <c r="AO32" s="2294"/>
      <c r="AP32" s="2294"/>
      <c r="AQ32" s="2294"/>
      <c r="AR32" s="2294"/>
      <c r="AS32" s="2294"/>
      <c r="AT32" s="2294"/>
      <c r="AU32" s="2294"/>
      <c r="AV32" s="2294"/>
      <c r="AW32" s="2294"/>
      <c r="AX32" s="2294"/>
      <c r="AY32" s="2294"/>
      <c r="AZ32" s="2294"/>
      <c r="BA32" s="337"/>
      <c r="BB32" s="337"/>
      <c r="BC32" s="291"/>
      <c r="BD32" s="379"/>
      <c r="BE32" s="379"/>
      <c r="BF32" s="379"/>
      <c r="BG32" s="379"/>
      <c r="BH32" s="379"/>
      <c r="BI32" s="429">
        <v>0</v>
      </c>
    </row>
    <row s="1861" customFormat="1" customHeight="1" ht="18.75" hidden="1">
      <c r="A33" s="1379"/>
      <c r="B33" s="1379"/>
      <c r="C33" s="1379"/>
      <c r="D33" s="1379"/>
      <c r="E33" s="1379"/>
      <c r="F33" s="1379"/>
      <c r="G33" s="1379"/>
      <c r="H33" s="1379"/>
      <c r="I33" s="1379"/>
      <c r="J33" s="1379"/>
      <c r="K33" s="1379"/>
      <c r="L33" s="1380"/>
      <c r="M33" s="1379"/>
      <c r="N33" s="1379"/>
      <c r="O33" s="1379"/>
      <c r="P33" s="1379"/>
      <c r="Q33" s="1379"/>
      <c r="S33" s="2280" t="s">
        <v>518</v>
      </c>
      <c r="T33" s="2280"/>
      <c r="U33" s="1383"/>
      <c r="V33" s="2281" t="str">
        <f>IF(TITLE_NUMBER_PR_CHANGE="",IF(TITLE_NUMBER_PR="","",TITLE_NUMBER_PR),TITLE_NUMBER_PR_CHANGE)</f>
        <v/>
      </c>
      <c r="W33" s="2281"/>
      <c r="X33" s="2281"/>
      <c r="Y33" s="2281"/>
      <c r="Z33" s="2281"/>
      <c r="AA33" s="2281"/>
      <c r="AB33" s="2281"/>
      <c r="AC33" s="337"/>
      <c r="AD33" s="2281" t="str">
        <f>IF(TITLE_NUMBER_PR_CHANGE="",IF(TITLE_NUMBER_PR="","",TITLE_NUMBER_PR),TITLE_NUMBER_PR_CHANGE)</f>
        <v/>
      </c>
      <c r="AE33" s="2281"/>
      <c r="AF33" s="2281"/>
      <c r="AG33" s="2281"/>
      <c r="AH33" s="2281"/>
      <c r="AI33" s="2281"/>
      <c r="AJ33" s="2281"/>
      <c r="AK33" s="2281"/>
      <c r="AL33" s="2281"/>
      <c r="AM33" s="2281"/>
      <c r="AN33" s="2281"/>
      <c r="AO33" s="2281"/>
      <c r="AP33" s="2281"/>
      <c r="AQ33" s="2281"/>
      <c r="AR33" s="2281"/>
      <c r="AS33" s="2281"/>
      <c r="AT33" s="2281"/>
      <c r="AU33" s="2281"/>
      <c r="AV33" s="2281"/>
      <c r="AW33" s="2281"/>
      <c r="AX33" s="2281"/>
      <c r="AY33" s="2281"/>
      <c r="AZ33" s="2281"/>
      <c r="BA33" s="337"/>
      <c r="BB33" s="337"/>
      <c r="BC33" s="291"/>
      <c r="BD33" s="379"/>
      <c r="BE33" s="379"/>
      <c r="BF33" s="379"/>
      <c r="BG33" s="379"/>
      <c r="BH33" s="379"/>
      <c r="BI33" s="429">
        <v>0</v>
      </c>
    </row>
    <row s="1861" customFormat="1" customHeight="1" ht="18.75" hidden="1">
      <c r="A34" s="1379"/>
      <c r="B34" s="1379"/>
      <c r="C34" s="1379"/>
      <c r="D34" s="1379"/>
      <c r="E34" s="1379"/>
      <c r="F34" s="1379"/>
      <c r="G34" s="1379"/>
      <c r="H34" s="1379"/>
      <c r="I34" s="1379"/>
      <c r="J34" s="1379"/>
      <c r="K34" s="1379"/>
      <c r="L34" s="1380"/>
      <c r="M34" s="1379"/>
      <c r="N34" s="1379"/>
      <c r="O34" s="1379"/>
      <c r="P34" s="1379"/>
      <c r="Q34" s="1379"/>
      <c r="S34" s="2280" t="s">
        <v>43</v>
      </c>
      <c r="T34" s="2280"/>
      <c r="U34" s="1383"/>
      <c r="V34" s="2281" t="str">
        <f>IF(TITLE_IST_PUB_CHANGE="",IF(TITLE_IST_PUB="","",TITLE_IST_PUB),TITLE_IST_PUB_CHANGE)</f>
        <v/>
      </c>
      <c r="W34" s="2281"/>
      <c r="X34" s="2281"/>
      <c r="Y34" s="2281"/>
      <c r="Z34" s="2281"/>
      <c r="AA34" s="2281"/>
      <c r="AB34" s="2281"/>
      <c r="AC34" s="337"/>
      <c r="AD34" s="2281" t="str">
        <f>IF(TITLE_IST_PUB_CHANGE="",IF(TITLE_IST_PUB="","",TITLE_IST_PUB),TITLE_IST_PUB_CHANGE)</f>
        <v/>
      </c>
      <c r="AE34" s="2281"/>
      <c r="AF34" s="2281"/>
      <c r="AG34" s="2281"/>
      <c r="AH34" s="2281"/>
      <c r="AI34" s="2281"/>
      <c r="AJ34" s="2281"/>
      <c r="AK34" s="2281"/>
      <c r="AL34" s="2281"/>
      <c r="AM34" s="2281"/>
      <c r="AN34" s="2281"/>
      <c r="AO34" s="2281"/>
      <c r="AP34" s="2281"/>
      <c r="AQ34" s="2281"/>
      <c r="AR34" s="2281"/>
      <c r="AS34" s="2281"/>
      <c r="AT34" s="2281"/>
      <c r="AU34" s="2281"/>
      <c r="AV34" s="2281"/>
      <c r="AW34" s="2281"/>
      <c r="AX34" s="2281"/>
      <c r="AY34" s="2281"/>
      <c r="AZ34" s="2281"/>
      <c r="BA34" s="337"/>
      <c r="BB34" s="337"/>
      <c r="BC34" s="291"/>
      <c r="BD34" s="379"/>
      <c r="BE34" s="379"/>
      <c r="BF34" s="379"/>
      <c r="BG34" s="379"/>
      <c r="BH34" s="379"/>
      <c r="BI34" s="429">
        <v>0</v>
      </c>
    </row>
    <row customHeight="1" ht="14.25" hidden="1">
      <c r="Q35" s="302"/>
      <c r="R35" s="387"/>
      <c r="S35" s="1286"/>
      <c r="T35" s="374"/>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1" customFormat="1" customHeight="1" ht="18.75" hidden="1">
      <c r="A36" s="1379"/>
      <c r="B36" s="1379"/>
      <c r="C36" s="1379"/>
      <c r="D36" s="1379"/>
      <c r="E36" s="1379"/>
      <c r="F36" s="1379"/>
      <c r="G36" s="1379"/>
      <c r="H36" s="1379"/>
      <c r="I36" s="1379"/>
      <c r="J36" s="1379"/>
      <c r="K36" s="1379"/>
      <c r="L36" s="1380"/>
      <c r="M36" s="1379"/>
      <c r="N36" s="1379"/>
      <c r="O36" s="1379"/>
      <c r="P36" s="1379"/>
      <c r="Q36" s="1379"/>
      <c r="S36" s="2280" t="s">
        <v>517</v>
      </c>
      <c r="T36" s="2280"/>
      <c r="U36" s="1383"/>
      <c r="V36" s="2294" t="str">
        <f>IF(TITLE_DATE_PR_CHANGE="",IF(TITLE_DATE_PR="","",TITLE_DATE_PR),TITLE_DATE_PR_CHANGE)</f>
        <v/>
      </c>
      <c r="W36" s="2294"/>
      <c r="X36" s="2294"/>
      <c r="Y36" s="2294"/>
      <c r="Z36" s="2294"/>
      <c r="AA36" s="2294"/>
      <c r="AB36" s="2294"/>
      <c r="AC36" s="337"/>
      <c r="AD36" s="2294" t="str">
        <f>IF(TITLE_DATE_PR_CHANGE="",IF(TITLE_DATE_PR="","",TITLE_DATE_PR),TITLE_DATE_PR_CHANGE)</f>
        <v/>
      </c>
      <c r="AE36" s="2294"/>
      <c r="AF36" s="2294"/>
      <c r="AG36" s="2294"/>
      <c r="AH36" s="2294"/>
      <c r="AI36" s="2294"/>
      <c r="AJ36" s="2294"/>
      <c r="AK36" s="2294"/>
      <c r="AL36" s="2294"/>
      <c r="AM36" s="2294"/>
      <c r="AN36" s="2294"/>
      <c r="AO36" s="2294"/>
      <c r="AP36" s="2294"/>
      <c r="AQ36" s="2294"/>
      <c r="AR36" s="2294"/>
      <c r="AS36" s="2294"/>
      <c r="AT36" s="2294"/>
      <c r="AU36" s="2294"/>
      <c r="AV36" s="2294"/>
      <c r="AW36" s="2294"/>
      <c r="AX36" s="2294"/>
      <c r="AY36" s="2294"/>
      <c r="AZ36" s="2294"/>
      <c r="BA36" s="337"/>
      <c r="BB36" s="337"/>
      <c r="BC36" s="291"/>
      <c r="BD36" s="379"/>
      <c r="BE36" s="379"/>
      <c r="BF36" s="379"/>
      <c r="BG36" s="379"/>
      <c r="BH36" s="379"/>
      <c r="BI36" s="429">
        <v>0</v>
      </c>
    </row>
    <row s="1861" customFormat="1" customHeight="1" ht="18.75" hidden="1">
      <c r="A37" s="1379"/>
      <c r="B37" s="1379"/>
      <c r="C37" s="1379"/>
      <c r="D37" s="1379"/>
      <c r="E37" s="1379"/>
      <c r="F37" s="1379"/>
      <c r="G37" s="1379"/>
      <c r="H37" s="1379"/>
      <c r="I37" s="1379"/>
      <c r="J37" s="1379"/>
      <c r="K37" s="1379"/>
      <c r="L37" s="1380"/>
      <c r="M37" s="1379"/>
      <c r="N37" s="1379"/>
      <c r="O37" s="1379"/>
      <c r="P37" s="1379"/>
      <c r="Q37" s="1379"/>
      <c r="S37" s="2280" t="s">
        <v>518</v>
      </c>
      <c r="T37" s="2280"/>
      <c r="U37" s="1383"/>
      <c r="V37" s="2281" t="str">
        <f>IF(TITLE_NUMBER_PR_CHANGE="",IF(TITLE_NUMBER_PR="","",TITLE_NUMBER_PR),TITLE_NUMBER_PR_CHANGE)</f>
        <v/>
      </c>
      <c r="W37" s="2281"/>
      <c r="X37" s="2281"/>
      <c r="Y37" s="2281"/>
      <c r="Z37" s="2281"/>
      <c r="AA37" s="2281"/>
      <c r="AB37" s="2281"/>
      <c r="AC37" s="337"/>
      <c r="AD37" s="2281" t="str">
        <f>IF(TITLE_NUMBER_PR_CHANGE="",IF(TITLE_NUMBER_PR="","",TITLE_NUMBER_PR),TITLE_NUMBER_PR_CHANGE)</f>
        <v/>
      </c>
      <c r="AE37" s="2281"/>
      <c r="AF37" s="2281"/>
      <c r="AG37" s="2281"/>
      <c r="AH37" s="2281"/>
      <c r="AI37" s="2281"/>
      <c r="AJ37" s="2281"/>
      <c r="AK37" s="2281"/>
      <c r="AL37" s="2281"/>
      <c r="AM37" s="2281"/>
      <c r="AN37" s="2281"/>
      <c r="AO37" s="2281"/>
      <c r="AP37" s="2281"/>
      <c r="AQ37" s="2281"/>
      <c r="AR37" s="2281"/>
      <c r="AS37" s="2281"/>
      <c r="AT37" s="2281"/>
      <c r="AU37" s="2281"/>
      <c r="AV37" s="2281"/>
      <c r="AW37" s="2281"/>
      <c r="AX37" s="2281"/>
      <c r="AY37" s="2281"/>
      <c r="AZ37" s="2281"/>
      <c r="BA37" s="337"/>
      <c r="BB37" s="337"/>
      <c r="BC37" s="291"/>
      <c r="BD37" s="379"/>
      <c r="BE37" s="379"/>
      <c r="BF37" s="379"/>
      <c r="BG37" s="379"/>
      <c r="BH37" s="379"/>
      <c r="BI37" s="429">
        <v>0</v>
      </c>
    </row>
    <row s="1861"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65"/>
      <c r="V38" s="337"/>
      <c r="W38" s="337"/>
      <c r="X38" s="337"/>
      <c r="Y38" s="337"/>
      <c r="Z38" s="337"/>
      <c r="AA38" s="337"/>
      <c r="AB38" s="337"/>
      <c r="AC38" s="289" t="s">
        <v>437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437</v>
      </c>
      <c r="BD38" s="379"/>
      <c r="BE38" s="379"/>
      <c r="BF38" s="379"/>
      <c r="BG38" s="379"/>
      <c r="BH38" s="379"/>
      <c r="BI38" s="429">
        <v>0</v>
      </c>
    </row>
    <row customHeight="1" ht="14.699999999999998">
      <c r="Q39" s="302"/>
      <c r="R39" s="387"/>
      <c r="S39" s="1286"/>
      <c r="T39" s="374"/>
      <c r="U39" s="1255"/>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1166">
        <v>14</v>
      </c>
    </row>
    <row customHeight="1" ht="14.699999999999998">
      <c r="Q40" s="302"/>
      <c r="R40" s="387"/>
      <c r="S40" s="2157" t="s">
        <v>314</v>
      </c>
      <c r="T40" s="2157"/>
      <c r="U40" s="2157"/>
      <c r="V40" s="2157"/>
      <c r="W40" s="2157"/>
      <c r="X40" s="2157"/>
      <c r="Y40" s="2157"/>
      <c r="Z40" s="2157"/>
      <c r="AA40" s="2157"/>
      <c r="AB40" s="2157"/>
      <c r="AC40" s="2157"/>
      <c r="AD40" s="2157"/>
      <c r="AE40" s="2157"/>
      <c r="AF40" s="2157"/>
      <c r="AG40" s="2157"/>
      <c r="AH40" s="2157"/>
      <c r="AI40" s="2157"/>
      <c r="AJ40" s="2157"/>
      <c r="AK40" s="2157"/>
      <c r="AL40" s="2157"/>
      <c r="AM40" s="2157"/>
      <c r="AN40" s="2157"/>
      <c r="AO40" s="2157"/>
      <c r="AP40" s="2157"/>
      <c r="AQ40" s="2157"/>
      <c r="AR40" s="2157"/>
      <c r="AS40" s="2157"/>
      <c r="AT40" s="2157"/>
      <c r="AU40" s="2157"/>
      <c r="AV40" s="2157"/>
      <c r="AW40" s="2157"/>
      <c r="AX40" s="2157"/>
      <c r="AY40" s="2157"/>
      <c r="AZ40" s="2157"/>
      <c r="BA40" s="2157"/>
      <c r="BB40" s="2157"/>
      <c r="BC40" s="2157" t="s">
        <v>315</v>
      </c>
      <c r="BI40" s="1166">
        <v>14</v>
      </c>
    </row>
    <row customHeight="1" ht="14.699999999999998">
      <c r="Q41" s="302"/>
      <c r="R41" s="387"/>
      <c r="S41" s="2303" t="s">
        <v>89</v>
      </c>
      <c r="T41" s="2239" t="s">
        <v>519</v>
      </c>
      <c r="U41" s="312"/>
      <c r="V41" s="2304" t="s">
        <v>439</v>
      </c>
      <c r="W41" s="2305"/>
      <c r="X41" s="2305"/>
      <c r="Y41" s="2305"/>
      <c r="Z41" s="2305"/>
      <c r="AA41" s="2305"/>
      <c r="AB41" s="2306"/>
      <c r="AC41" s="2307" t="s">
        <v>440</v>
      </c>
      <c r="AD41" s="2358" t="s">
        <v>520</v>
      </c>
      <c r="AE41" s="2321"/>
      <c r="AF41" s="2321"/>
      <c r="AG41" s="2359"/>
      <c r="AH41" s="2358" t="s">
        <v>521</v>
      </c>
      <c r="AI41" s="2321"/>
      <c r="AJ41" s="2321"/>
      <c r="AK41" s="2359"/>
      <c r="AL41" s="2358" t="s">
        <v>522</v>
      </c>
      <c r="AM41" s="2321"/>
      <c r="AN41" s="2321"/>
      <c r="AO41" s="2359"/>
      <c r="AP41" s="2358" t="s">
        <v>523</v>
      </c>
      <c r="AQ41" s="2321"/>
      <c r="AR41" s="2321"/>
      <c r="AS41" s="2359"/>
      <c r="AT41" s="2304" t="s">
        <v>439</v>
      </c>
      <c r="AU41" s="2305"/>
      <c r="AV41" s="2305"/>
      <c r="AW41" s="2305"/>
      <c r="AX41" s="2305"/>
      <c r="AY41" s="2305"/>
      <c r="AZ41" s="2306"/>
      <c r="BA41" s="2307" t="s">
        <v>440</v>
      </c>
      <c r="BB41" s="2310" t="s">
        <v>442</v>
      </c>
      <c r="BC41" s="2157"/>
      <c r="BI41" s="1166">
        <v>14</v>
      </c>
    </row>
    <row customHeight="1" ht="35.699999999999996">
      <c r="Q42" s="302"/>
      <c r="R42" s="387"/>
      <c r="S42" s="2303"/>
      <c r="T42" s="2239"/>
      <c r="U42" s="1042"/>
      <c r="V42" s="2222" t="s">
        <v>524</v>
      </c>
      <c r="W42" s="2223"/>
      <c r="X42" s="2222" t="s">
        <v>525</v>
      </c>
      <c r="Y42" s="2223"/>
      <c r="Z42" s="2324" t="s">
        <v>526</v>
      </c>
      <c r="AA42" s="2343"/>
      <c r="AB42" s="2344"/>
      <c r="AC42" s="2308"/>
      <c r="AD42" s="2360"/>
      <c r="AE42" s="2361"/>
      <c r="AF42" s="2361"/>
      <c r="AG42" s="2362"/>
      <c r="AH42" s="2360"/>
      <c r="AI42" s="2361"/>
      <c r="AJ42" s="2361"/>
      <c r="AK42" s="2362"/>
      <c r="AL42" s="2360"/>
      <c r="AM42" s="2361"/>
      <c r="AN42" s="2361"/>
      <c r="AO42" s="2362"/>
      <c r="AP42" s="2360"/>
      <c r="AQ42" s="2361"/>
      <c r="AR42" s="2361"/>
      <c r="AS42" s="2362"/>
      <c r="AT42" s="2222" t="s">
        <v>524</v>
      </c>
      <c r="AU42" s="2223"/>
      <c r="AV42" s="2222" t="s">
        <v>525</v>
      </c>
      <c r="AW42" s="2223"/>
      <c r="AX42" s="2324" t="s">
        <v>526</v>
      </c>
      <c r="AY42" s="2343"/>
      <c r="AZ42" s="2344"/>
      <c r="BA42" s="2308"/>
      <c r="BB42" s="2311"/>
      <c r="BC42" s="2157"/>
      <c r="BI42" s="1166">
        <v>34</v>
      </c>
    </row>
    <row customHeight="1" ht="14.699999999999998">
      <c r="Q43" s="302"/>
      <c r="R43" s="387"/>
      <c r="S43" s="2303"/>
      <c r="T43" s="2239"/>
      <c r="U43" s="1042"/>
      <c r="V43" s="2230"/>
      <c r="W43" s="2231"/>
      <c r="X43" s="2230"/>
      <c r="Y43" s="2231"/>
      <c r="Z43" s="2325"/>
      <c r="AA43" s="2345"/>
      <c r="AB43" s="2346"/>
      <c r="AC43" s="2308"/>
      <c r="AD43" s="2360"/>
      <c r="AE43" s="2361"/>
      <c r="AF43" s="2361"/>
      <c r="AG43" s="2362"/>
      <c r="AH43" s="2360"/>
      <c r="AI43" s="2361"/>
      <c r="AJ43" s="2361"/>
      <c r="AK43" s="2362"/>
      <c r="AL43" s="2360"/>
      <c r="AM43" s="2361"/>
      <c r="AN43" s="2361"/>
      <c r="AO43" s="2362"/>
      <c r="AP43" s="2360"/>
      <c r="AQ43" s="2361"/>
      <c r="AR43" s="2361"/>
      <c r="AS43" s="2362"/>
      <c r="AT43" s="2230"/>
      <c r="AU43" s="2231"/>
      <c r="AV43" s="2230"/>
      <c r="AW43" s="2231"/>
      <c r="AX43" s="2325"/>
      <c r="AY43" s="2345"/>
      <c r="AZ43" s="2346"/>
      <c r="BA43" s="2308"/>
      <c r="BB43" s="2311"/>
      <c r="BC43" s="2157"/>
      <c r="BI43" s="1166">
        <v>14</v>
      </c>
    </row>
    <row customHeight="1" ht="14.699999999999998">
      <c r="A44" s="1381"/>
      <c r="B44" s="1381" t="s">
        <v>151</v>
      </c>
      <c r="C44" s="1381" t="s">
        <v>152</v>
      </c>
      <c r="D44" s="1381" t="s">
        <v>153</v>
      </c>
      <c r="E44" s="1375" t="s">
        <v>447</v>
      </c>
      <c r="F44" s="1375" t="s">
        <v>448</v>
      </c>
      <c r="G44" s="1375" t="s">
        <v>449</v>
      </c>
      <c r="H44" s="1375" t="s">
        <v>450</v>
      </c>
      <c r="I44" s="1375" t="s">
        <v>451</v>
      </c>
      <c r="J44" s="1375" t="s">
        <v>452</v>
      </c>
      <c r="K44" s="1375" t="s">
        <v>453</v>
      </c>
      <c r="L44" s="1375" t="s">
        <v>432</v>
      </c>
      <c r="Q44" s="302"/>
      <c r="R44" s="387"/>
      <c r="S44" s="2303"/>
      <c r="T44" s="2239"/>
      <c r="U44" s="313"/>
      <c r="V44" s="1459" t="s">
        <v>488</v>
      </c>
      <c r="W44" s="1459" t="s">
        <v>489</v>
      </c>
      <c r="X44" s="1459" t="s">
        <v>488</v>
      </c>
      <c r="Y44" s="1459" t="s">
        <v>489</v>
      </c>
      <c r="Z44" s="1466" t="s">
        <v>456</v>
      </c>
      <c r="AA44" s="2300" t="s">
        <v>457</v>
      </c>
      <c r="AB44" s="2301"/>
      <c r="AC44" s="2309"/>
      <c r="AD44" s="2363"/>
      <c r="AE44" s="2364"/>
      <c r="AF44" s="2364"/>
      <c r="AG44" s="2365"/>
      <c r="AH44" s="2363"/>
      <c r="AI44" s="2364"/>
      <c r="AJ44" s="2364"/>
      <c r="AK44" s="2365"/>
      <c r="AL44" s="2363"/>
      <c r="AM44" s="2364"/>
      <c r="AN44" s="2364"/>
      <c r="AO44" s="2365"/>
      <c r="AP44" s="2363"/>
      <c r="AQ44" s="2364"/>
      <c r="AR44" s="2364"/>
      <c r="AS44" s="2365"/>
      <c r="AT44" s="1459" t="s">
        <v>488</v>
      </c>
      <c r="AU44" s="1459" t="s">
        <v>489</v>
      </c>
      <c r="AV44" s="1459" t="s">
        <v>488</v>
      </c>
      <c r="AW44" s="1459" t="s">
        <v>489</v>
      </c>
      <c r="AX44" s="1466" t="s">
        <v>456</v>
      </c>
      <c r="AY44" s="2300" t="s">
        <v>457</v>
      </c>
      <c r="AZ44" s="2301"/>
      <c r="BA44" s="2309"/>
      <c r="BB44" s="2312"/>
      <c r="BC44" s="2157"/>
      <c r="BI44" s="1166">
        <v>14</v>
      </c>
    </row>
    <row s="1652" customFormat="1" customHeight="1" ht="11.25" hidden="1">
      <c r="A45" s="1381"/>
      <c r="B45" s="1381"/>
      <c r="C45" s="1381"/>
      <c r="D45" s="1381"/>
      <c r="E45" s="1381"/>
      <c r="F45" s="1381"/>
      <c r="G45" s="1381"/>
      <c r="H45" s="1381"/>
      <c r="I45" s="1381"/>
      <c r="J45" s="1381"/>
      <c r="K45" s="1381"/>
      <c r="L45" s="1375"/>
      <c r="M45" s="1373"/>
      <c r="N45" s="1373"/>
      <c r="O45" s="1373"/>
      <c r="P45" s="521"/>
      <c r="Q45" s="1265"/>
      <c r="R45" s="1265">
        <v>1</v>
      </c>
      <c r="S45" s="1288" t="s">
        <v>120</v>
      </c>
      <c r="T45" s="1266" t="s">
        <v>104</v>
      </c>
      <c r="U45" s="1256" t="str">
        <f>OFFSET(U45,0,-1)</f>
        <v>2</v>
      </c>
      <c r="V45" s="1462">
        <f>OFFSET(V45,0,-1)+1</f>
        <v>3</v>
      </c>
      <c r="W45" s="1462">
        <f>OFFSET(W45,0,-1)+1</f>
        <v>4</v>
      </c>
      <c r="X45" s="1462">
        <f>OFFSET(X45,0,-1)+1</f>
        <v>5</v>
      </c>
      <c r="Y45" s="1462">
        <f>OFFSET(Y45,0,-1)+1</f>
        <v>6</v>
      </c>
      <c r="Z45" s="1462">
        <f>OFFSET(Z45,0,-1)+1</f>
        <v>7</v>
      </c>
      <c r="AA45" s="2302">
        <f>OFFSET(AA45,0,-1)+1</f>
        <v>8</v>
      </c>
      <c r="AB45" s="2302"/>
      <c r="AC45" s="1462">
        <f>OFFSET(AC45,0,-2)+1</f>
        <v>9</v>
      </c>
      <c r="AD45" s="1462">
        <f>OFFSET(AD45,0,-1)+1</f>
        <v>10</v>
      </c>
      <c r="AE45" s="1462"/>
      <c r="AF45" s="1462"/>
      <c r="AG45" s="1462"/>
      <c r="AH45" s="1462"/>
      <c r="AI45" s="1462"/>
      <c r="AJ45" s="1462"/>
      <c r="AK45" s="1462"/>
      <c r="AL45" s="1462"/>
      <c r="AM45" s="1462"/>
      <c r="AN45" s="1462"/>
      <c r="AO45" s="1462"/>
      <c r="AP45" s="1462"/>
      <c r="AQ45" s="1462"/>
      <c r="AR45" s="1462"/>
      <c r="AS45" s="1462"/>
      <c r="AT45" s="1462"/>
      <c r="AU45" s="1462"/>
      <c r="AV45" s="1462"/>
      <c r="AW45" s="1462">
        <f>OFFSET(AW45,0,-1)+1</f>
        <v>1</v>
      </c>
      <c r="AX45" s="1462">
        <f>OFFSET(AX45,0,-1)+1</f>
        <v>2</v>
      </c>
      <c r="AY45" s="2302">
        <f>OFFSET(AY45,0,-1)+1</f>
        <v>3</v>
      </c>
      <c r="AZ45" s="2302"/>
      <c r="BA45" s="1462">
        <f>OFFSET(BA45,0,-2)+1</f>
        <v>4</v>
      </c>
      <c r="BB45" s="1256">
        <f>OFFSET(BB45,0,-1)</f>
        <v>4</v>
      </c>
      <c r="BC45" s="1462">
        <f>OFFSET(BC45,0,-1)+1</f>
        <v>5</v>
      </c>
      <c r="BD45" s="522"/>
      <c r="BE45" s="522"/>
      <c r="BF45" s="522"/>
      <c r="BG45" s="522"/>
      <c r="BH45" s="522"/>
      <c r="BI45" s="507">
        <v>0</v>
      </c>
    </row>
    <row customHeight="1" ht="22.049999999999997">
      <c r="A46" s="1374" t="s">
        <v>260</v>
      </c>
      <c r="B46" s="1374"/>
      <c r="C46" s="1374"/>
      <c r="D46" s="1374"/>
      <c r="E46" s="2288">
        <v>1</v>
      </c>
      <c r="F46" s="1374"/>
      <c r="G46" s="1374"/>
      <c r="H46" s="1374"/>
      <c r="I46" s="1374"/>
      <c r="J46" s="1374"/>
      <c r="K46" s="1374"/>
      <c r="L46" s="1375"/>
      <c r="M46" s="1376"/>
      <c r="N46" s="1376"/>
      <c r="O46" s="1376"/>
      <c r="P46" s="1420"/>
      <c r="Q46" s="884"/>
      <c r="R46" s="366"/>
      <c r="S46" s="1468">
        <f>INDEX(PT_DIFFERENTIATION_NUM_NTAR,MATCH(A46,PT_DIFFERENTIATION_NTAR_ID,0))</f>
        <v>0</v>
      </c>
      <c r="T46" s="309" t="s">
        <v>139</v>
      </c>
      <c r="U46" s="311"/>
      <c r="V46" s="2273"/>
      <c r="W46" s="2273"/>
      <c r="X46" s="2273"/>
      <c r="Y46" s="2273"/>
      <c r="Z46" s="2273"/>
      <c r="AA46" s="2273"/>
      <c r="AB46" s="2273"/>
      <c r="AC46" s="2274"/>
      <c r="AD46" s="2272" t="str">
        <f>INDEX(PT_DIFFERENTIATION_NTAR,MATCH(A46,PT_DIFFERENTIATION_NTAR_ID,0))</f>
        <v/>
      </c>
      <c r="AE46" s="2273"/>
      <c r="AF46" s="2273"/>
      <c r="AG46" s="2273"/>
      <c r="AH46" s="2273"/>
      <c r="AI46" s="2273"/>
      <c r="AJ46" s="2273"/>
      <c r="AK46" s="2273"/>
      <c r="AL46" s="2273"/>
      <c r="AM46" s="2273"/>
      <c r="AN46" s="2273"/>
      <c r="AO46" s="2273"/>
      <c r="AP46" s="2273"/>
      <c r="AQ46" s="2273"/>
      <c r="AR46" s="2273"/>
      <c r="AS46" s="2273"/>
      <c r="AT46" s="2273"/>
      <c r="AU46" s="2273"/>
      <c r="AV46" s="2273"/>
      <c r="AW46" s="2273"/>
      <c r="AX46" s="2273"/>
      <c r="AY46" s="2273"/>
      <c r="AZ46" s="2273"/>
      <c r="BA46" s="2273"/>
      <c r="BB46" s="2274"/>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260</v>
      </c>
      <c r="B47" s="1374" t="s">
        <v>261</v>
      </c>
      <c r="C47" s="1374"/>
      <c r="D47" s="1374"/>
      <c r="E47" s="2289"/>
      <c r="F47" s="2288">
        <v>1</v>
      </c>
      <c r="G47" s="1374"/>
      <c r="H47" s="1374"/>
      <c r="I47" s="1374"/>
      <c r="J47" s="1374"/>
      <c r="K47" s="1374"/>
      <c r="L47" s="1375"/>
      <c r="M47" s="1376"/>
      <c r="N47" s="1376"/>
      <c r="O47" s="1376"/>
      <c r="P47" s="1421"/>
      <c r="Q47" s="1422"/>
      <c r="R47" s="364"/>
      <c r="S47" s="1468" t="str">
        <f>INDEX(PT_DIFFERENTIATION_NUM_TER,MATCH(B47,PT_DIFFERENTIATION_TER_ID,0))</f>
        <v>.</v>
      </c>
      <c r="T47" s="319" t="s">
        <v>411</v>
      </c>
      <c r="U47" s="311"/>
      <c r="V47" s="2273"/>
      <c r="W47" s="2273"/>
      <c r="X47" s="2273"/>
      <c r="Y47" s="2273"/>
      <c r="Z47" s="2273"/>
      <c r="AA47" s="2273"/>
      <c r="AB47" s="2273"/>
      <c r="AC47" s="2274"/>
      <c r="AD47" s="2272" t="str">
        <f>INDEX(PT_DIFFERENTIATION_TER,MATCH(B47,PT_DIFFERENTIATION_TER_ID,0))</f>
        <v/>
      </c>
      <c r="AE47" s="2273"/>
      <c r="AF47" s="2273"/>
      <c r="AG47" s="2273"/>
      <c r="AH47" s="2273"/>
      <c r="AI47" s="2273"/>
      <c r="AJ47" s="2273"/>
      <c r="AK47" s="2273"/>
      <c r="AL47" s="2273"/>
      <c r="AM47" s="2273"/>
      <c r="AN47" s="2273"/>
      <c r="AO47" s="2273"/>
      <c r="AP47" s="2273"/>
      <c r="AQ47" s="2273"/>
      <c r="AR47" s="2273"/>
      <c r="AS47" s="2273"/>
      <c r="AT47" s="2273"/>
      <c r="AU47" s="2273"/>
      <c r="AV47" s="2273"/>
      <c r="AW47" s="2273"/>
      <c r="AX47" s="2273"/>
      <c r="AY47" s="2273"/>
      <c r="AZ47" s="2273"/>
      <c r="BA47" s="2273"/>
      <c r="BB47" s="2274"/>
      <c r="BC47" s="1269" t="s">
        <v>412</v>
      </c>
      <c r="BE47" s="511"/>
      <c r="BF47" s="511" t="str">
        <f>IF(T47="","",T47)</f>
        <v>Территория действия тарифа</v>
      </c>
      <c r="BG47" s="511"/>
      <c r="BH47" s="511"/>
      <c r="BI47" s="1166">
        <v>21</v>
      </c>
    </row>
    <row customHeight="1" ht="43.050000000000004">
      <c r="A48" s="1374" t="s">
        <v>260</v>
      </c>
      <c r="B48" s="1374" t="s">
        <v>261</v>
      </c>
      <c r="C48" s="1374" t="s">
        <v>262</v>
      </c>
      <c r="D48" s="1374"/>
      <c r="E48" s="2289"/>
      <c r="F48" s="2289"/>
      <c r="G48" s="2288">
        <v>1</v>
      </c>
      <c r="H48" s="1374"/>
      <c r="I48" s="1374"/>
      <c r="J48" s="1374"/>
      <c r="K48" s="1374"/>
      <c r="L48" s="1375"/>
      <c r="M48" s="1376"/>
      <c r="N48" s="1376"/>
      <c r="O48" s="1376"/>
      <c r="P48" s="1423"/>
      <c r="Q48" s="1422"/>
      <c r="R48" s="364"/>
      <c r="S48" s="1468" t="str">
        <f>INDEX(PT_DIFFERENTIATION_NUM_CS,MATCH(C48,PT_DIFFERENTIATION_CS_ID,0))</f>
        <v>..</v>
      </c>
      <c r="T48" s="320" t="s">
        <v>493</v>
      </c>
      <c r="U48" s="311"/>
      <c r="V48" s="2273"/>
      <c r="W48" s="2273"/>
      <c r="X48" s="2273"/>
      <c r="Y48" s="2273"/>
      <c r="Z48" s="2273"/>
      <c r="AA48" s="2273"/>
      <c r="AB48" s="2273"/>
      <c r="AC48" s="2274"/>
      <c r="AD48" s="2272" t="str">
        <f>INDEX(PT_DIFFERENTIATION_CS,MATCH(C48,PT_DIFFERENTIATION_CS_ID,0))</f>
        <v/>
      </c>
      <c r="AE48" s="2273"/>
      <c r="AF48" s="2273"/>
      <c r="AG48" s="2273"/>
      <c r="AH48" s="2273"/>
      <c r="AI48" s="2273"/>
      <c r="AJ48" s="2273"/>
      <c r="AK48" s="2273"/>
      <c r="AL48" s="2273"/>
      <c r="AM48" s="2273"/>
      <c r="AN48" s="2273"/>
      <c r="AO48" s="2273"/>
      <c r="AP48" s="2273"/>
      <c r="AQ48" s="2273"/>
      <c r="AR48" s="2273"/>
      <c r="AS48" s="2273"/>
      <c r="AT48" s="2273"/>
      <c r="AU48" s="2273"/>
      <c r="AV48" s="2273"/>
      <c r="AW48" s="2273"/>
      <c r="AX48" s="2273"/>
      <c r="AY48" s="2273"/>
      <c r="AZ48" s="2273"/>
      <c r="BA48" s="2273"/>
      <c r="BB48" s="2274"/>
      <c r="BC48" s="1269" t="s">
        <v>494</v>
      </c>
      <c r="BE48" s="511"/>
      <c r="BF48" s="511" t="str">
        <f>IF(T48="","",T48)</f>
        <v>Наименование централизованной системы холодного водоснабжения</v>
      </c>
      <c r="BG48" s="511"/>
      <c r="BH48" s="511"/>
      <c r="BI48" s="1166">
        <v>41</v>
      </c>
    </row>
    <row s="1653" customFormat="1" customHeight="1" ht="0">
      <c r="A49" s="1354" t="s">
        <v>260</v>
      </c>
      <c r="B49" s="1354" t="s">
        <v>261</v>
      </c>
      <c r="C49" s="1354" t="s">
        <v>262</v>
      </c>
      <c r="D49" s="1354" t="s">
        <v>527</v>
      </c>
      <c r="E49" s="2289"/>
      <c r="F49" s="2289"/>
      <c r="G49" s="2289"/>
      <c r="H49" s="2288">
        <v>1</v>
      </c>
      <c r="I49" s="1354"/>
      <c r="J49" s="1354"/>
      <c r="K49" s="1354"/>
      <c r="L49" s="1357"/>
      <c r="M49" s="1326"/>
      <c r="N49" s="1326"/>
      <c r="O49" s="1326"/>
      <c r="P49" s="1508"/>
      <c r="Q49" s="1509"/>
      <c r="R49" s="368"/>
      <c r="S49" s="1053"/>
      <c r="T49" s="1510"/>
      <c r="U49" s="1395"/>
      <c r="V49" s="2327"/>
      <c r="W49" s="2327"/>
      <c r="X49" s="2327"/>
      <c r="Y49" s="2327"/>
      <c r="Z49" s="2327"/>
      <c r="AA49" s="2327"/>
      <c r="AB49" s="2327"/>
      <c r="AC49" s="2328"/>
      <c r="AD49" s="2326"/>
      <c r="AE49" s="2327"/>
      <c r="AF49" s="2327"/>
      <c r="AG49" s="2327"/>
      <c r="AH49" s="2327"/>
      <c r="AI49" s="2327"/>
      <c r="AJ49" s="2327"/>
      <c r="AK49" s="2327"/>
      <c r="AL49" s="2327"/>
      <c r="AM49" s="2327"/>
      <c r="AN49" s="2327"/>
      <c r="AO49" s="2327"/>
      <c r="AP49" s="2327"/>
      <c r="AQ49" s="2327"/>
      <c r="AR49" s="2327"/>
      <c r="AS49" s="2327"/>
      <c r="AT49" s="2327"/>
      <c r="AU49" s="2327"/>
      <c r="AV49" s="2327"/>
      <c r="AW49" s="2327"/>
      <c r="AX49" s="2327"/>
      <c r="AY49" s="2327"/>
      <c r="AZ49" s="2327"/>
      <c r="BA49" s="2327"/>
      <c r="BB49" s="2328"/>
      <c r="BC49" s="1396" t="s">
        <v>416</v>
      </c>
      <c r="BE49" s="511"/>
      <c r="BF49" s="511" t="str">
        <f>IF(T49="","",T49)</f>
        <v/>
      </c>
      <c r="BG49" s="511"/>
      <c r="BH49" s="511"/>
      <c r="BI49" s="522">
        <v>0</v>
      </c>
    </row>
    <row s="1653" customFormat="1" customHeight="1" ht="0">
      <c r="A50" s="1354" t="s">
        <v>260</v>
      </c>
      <c r="B50" s="1354" t="s">
        <v>261</v>
      </c>
      <c r="C50" s="1354" t="s">
        <v>262</v>
      </c>
      <c r="D50" s="1354" t="s">
        <v>527</v>
      </c>
      <c r="E50" s="2289"/>
      <c r="F50" s="2289"/>
      <c r="G50" s="2289"/>
      <c r="H50" s="2289"/>
      <c r="I50" s="2286" t="str">
        <f>S49&amp;".1"</f>
        <v>.1</v>
      </c>
      <c r="J50" s="1354"/>
      <c r="K50" s="1354"/>
      <c r="L50" s="1357" t="s">
        <v>417</v>
      </c>
      <c r="M50" s="521"/>
      <c r="N50" s="521"/>
      <c r="O50" s="521"/>
      <c r="P50" s="2287">
        <v>1</v>
      </c>
      <c r="Q50" s="1473"/>
      <c r="R50" s="367"/>
      <c r="S50" s="1053"/>
      <c r="T50" s="1394"/>
      <c r="U50" s="1395"/>
      <c r="V50" s="2327"/>
      <c r="W50" s="2327"/>
      <c r="X50" s="2327"/>
      <c r="Y50" s="2327"/>
      <c r="Z50" s="2327"/>
      <c r="AA50" s="2327"/>
      <c r="AB50" s="2327"/>
      <c r="AC50" s="2328"/>
      <c r="AD50" s="2326"/>
      <c r="AE50" s="2327"/>
      <c r="AF50" s="2327"/>
      <c r="AG50" s="2327"/>
      <c r="AH50" s="2327"/>
      <c r="AI50" s="2327"/>
      <c r="AJ50" s="2327"/>
      <c r="AK50" s="2327"/>
      <c r="AL50" s="2327"/>
      <c r="AM50" s="2327"/>
      <c r="AN50" s="2327"/>
      <c r="AO50" s="2327"/>
      <c r="AP50" s="2327"/>
      <c r="AQ50" s="2327"/>
      <c r="AR50" s="2327"/>
      <c r="AS50" s="2327"/>
      <c r="AT50" s="2327"/>
      <c r="AU50" s="2327"/>
      <c r="AV50" s="2327"/>
      <c r="AW50" s="2327"/>
      <c r="AX50" s="2327"/>
      <c r="AY50" s="2327"/>
      <c r="AZ50" s="2327"/>
      <c r="BA50" s="2327"/>
      <c r="BB50" s="2328"/>
      <c r="BC50" s="1396"/>
      <c r="BE50" s="511"/>
      <c r="BF50" s="511" t="str">
        <f>IF(T50="","",T50)</f>
        <v/>
      </c>
      <c r="BG50" s="511"/>
      <c r="BH50" s="511"/>
      <c r="BI50" s="522">
        <v>0</v>
      </c>
    </row>
    <row s="1653" customFormat="1" customHeight="1" ht="0">
      <c r="A51" s="1354" t="s">
        <v>260</v>
      </c>
      <c r="B51" s="1354" t="s">
        <v>261</v>
      </c>
      <c r="C51" s="1354" t="s">
        <v>262</v>
      </c>
      <c r="D51" s="1354" t="s">
        <v>527</v>
      </c>
      <c r="E51" s="2289"/>
      <c r="F51" s="2289"/>
      <c r="G51" s="2289"/>
      <c r="H51" s="2289"/>
      <c r="I51" s="2316"/>
      <c r="J51" s="2286" t="str">
        <f>S49&amp;".1"</f>
        <v>.1</v>
      </c>
      <c r="K51" s="1354"/>
      <c r="L51" s="1357"/>
      <c r="M51" s="521"/>
      <c r="N51" s="521"/>
      <c r="O51" s="521"/>
      <c r="P51" s="2287"/>
      <c r="Q51" s="2287">
        <v>1</v>
      </c>
      <c r="R51" s="368"/>
      <c r="S51" s="1053"/>
      <c r="T51" s="1410"/>
      <c r="U51" s="1395"/>
      <c r="V51" s="2327"/>
      <c r="W51" s="2327"/>
      <c r="X51" s="2327"/>
      <c r="Y51" s="2327"/>
      <c r="Z51" s="2327"/>
      <c r="AA51" s="2327"/>
      <c r="AB51" s="2327"/>
      <c r="AC51" s="2328"/>
      <c r="AD51" s="2326"/>
      <c r="AE51" s="2327"/>
      <c r="AF51" s="2327"/>
      <c r="AG51" s="2327"/>
      <c r="AH51" s="2327"/>
      <c r="AI51" s="2327"/>
      <c r="AJ51" s="2327"/>
      <c r="AK51" s="2327"/>
      <c r="AL51" s="2327"/>
      <c r="AM51" s="2327"/>
      <c r="AN51" s="2394"/>
      <c r="AO51" s="2394"/>
      <c r="AP51" s="2327"/>
      <c r="AQ51" s="2327"/>
      <c r="AR51" s="2327"/>
      <c r="AS51" s="2327"/>
      <c r="AT51" s="2327"/>
      <c r="AU51" s="2327"/>
      <c r="AV51" s="2327"/>
      <c r="AW51" s="2327"/>
      <c r="AX51" s="2327"/>
      <c r="AY51" s="2327"/>
      <c r="AZ51" s="2327"/>
      <c r="BA51" s="2327"/>
      <c r="BB51" s="2328"/>
      <c r="BC51" s="1396"/>
      <c r="BE51" s="511"/>
      <c r="BF51" s="511" t="str">
        <f>IF(T51="","",T51)</f>
        <v/>
      </c>
      <c r="BG51" s="511"/>
      <c r="BH51" s="511"/>
      <c r="BI51" s="522">
        <v>0</v>
      </c>
    </row>
    <row customHeight="1" ht="11.549999999999999">
      <c r="A52" s="1374" t="s">
        <v>260</v>
      </c>
      <c r="B52" s="1374" t="s">
        <v>261</v>
      </c>
      <c r="C52" s="1374" t="s">
        <v>262</v>
      </c>
      <c r="D52" s="1374" t="s">
        <v>527</v>
      </c>
      <c r="E52" s="2289"/>
      <c r="F52" s="2289"/>
      <c r="G52" s="2289"/>
      <c r="H52" s="2289"/>
      <c r="I52" s="2316"/>
      <c r="J52" s="2316"/>
      <c r="K52" s="2286" t="str">
        <f>S48&amp;".1"</f>
        <v>...1</v>
      </c>
      <c r="L52" s="1375"/>
      <c r="P52" s="2287"/>
      <c r="Q52" s="2287"/>
      <c r="R52" s="368">
        <v>1</v>
      </c>
      <c r="S52" s="2371" t="str">
        <f>$K52</f>
        <v>...1</v>
      </c>
      <c r="T52" s="2390"/>
      <c r="U52" s="311"/>
      <c r="V52" s="762"/>
      <c r="W52" s="1268"/>
      <c r="X52" s="762"/>
      <c r="Y52" s="1268"/>
      <c r="Z52" s="1744"/>
      <c r="AA52" s="1470" t="s">
        <v>63</v>
      </c>
      <c r="AB52" s="1744"/>
      <c r="AC52" s="1470" t="s">
        <v>63</v>
      </c>
      <c r="AD52" s="2215" t="s">
        <v>63</v>
      </c>
      <c r="AE52" s="2356"/>
      <c r="AF52" s="2235">
        <v>1</v>
      </c>
      <c r="AG52" s="2393"/>
      <c r="AH52" s="2137" t="s">
        <v>63</v>
      </c>
      <c r="AI52" s="2356"/>
      <c r="AJ52" s="2235">
        <v>1</v>
      </c>
      <c r="AK52" s="2357" t="s">
        <v>22</v>
      </c>
      <c r="AL52" s="2137" t="s">
        <v>63</v>
      </c>
      <c r="AM52" s="2222"/>
      <c r="AN52" s="2235">
        <v>1</v>
      </c>
      <c r="AO52" s="2387"/>
      <c r="AP52" s="2388" t="s">
        <v>63</v>
      </c>
      <c r="AQ52" s="322"/>
      <c r="AR52" s="1474">
        <v>1</v>
      </c>
      <c r="AS52" s="1477" t="s">
        <v>22</v>
      </c>
      <c r="AT52" s="762"/>
      <c r="AU52" s="1268"/>
      <c r="AV52" s="762"/>
      <c r="AW52" s="1268"/>
      <c r="AX52" s="1744"/>
      <c r="AY52" s="1470" t="s">
        <v>63</v>
      </c>
      <c r="AZ52" s="1744"/>
      <c r="BA52" s="1470" t="s">
        <v>63</v>
      </c>
      <c r="BB52" s="1359"/>
      <c r="BC52" s="2283" t="s">
        <v>511</v>
      </c>
      <c r="BE52" s="511"/>
      <c r="BF52" s="511" t="str">
        <f>IF(T52="","",T52)</f>
        <v/>
      </c>
      <c r="BG52" s="511"/>
      <c r="BH52" s="511"/>
      <c r="BI52" s="1166">
        <v>11</v>
      </c>
    </row>
    <row customHeight="1" ht="11.549999999999999">
      <c r="A53" s="1374"/>
      <c r="B53" s="1374"/>
      <c r="C53" s="1374"/>
      <c r="D53" s="1374"/>
      <c r="E53" s="2289"/>
      <c r="F53" s="2289"/>
      <c r="G53" s="2289"/>
      <c r="H53" s="2289"/>
      <c r="I53" s="2316"/>
      <c r="J53" s="2316"/>
      <c r="K53" s="2286"/>
      <c r="L53" s="1375"/>
      <c r="P53" s="2287"/>
      <c r="Q53" s="2287"/>
      <c r="R53" s="368"/>
      <c r="S53" s="2372"/>
      <c r="T53" s="2391"/>
      <c r="U53" s="311"/>
      <c r="V53" s="1404"/>
      <c r="W53" s="1507"/>
      <c r="X53" s="1404"/>
      <c r="Y53" s="1507"/>
      <c r="Z53" s="1404"/>
      <c r="AA53" s="1404"/>
      <c r="AB53" s="1404"/>
      <c r="AC53" s="1404"/>
      <c r="AD53" s="2216"/>
      <c r="AE53" s="2356"/>
      <c r="AF53" s="2235"/>
      <c r="AG53" s="2393"/>
      <c r="AH53" s="2137"/>
      <c r="AI53" s="2356"/>
      <c r="AJ53" s="2235"/>
      <c r="AK53" s="2357"/>
      <c r="AL53" s="2137"/>
      <c r="AM53" s="2230"/>
      <c r="AN53" s="2235"/>
      <c r="AO53" s="2387"/>
      <c r="AP53" s="2389"/>
      <c r="AQ53" s="327"/>
      <c r="AR53" s="427"/>
      <c r="AS53" s="427" t="s">
        <v>512</v>
      </c>
      <c r="AT53" s="1404"/>
      <c r="AU53" s="1507"/>
      <c r="AV53" s="1404"/>
      <c r="AW53" s="1507"/>
      <c r="AX53" s="1404"/>
      <c r="AY53" s="1404"/>
      <c r="AZ53" s="1404"/>
      <c r="BA53" s="1404"/>
      <c r="BB53" s="1408"/>
      <c r="BC53" s="2284"/>
      <c r="BE53" s="511"/>
      <c r="BF53" s="511"/>
      <c r="BG53" s="511"/>
      <c r="BH53" s="511"/>
      <c r="BI53" s="1166">
        <v>11</v>
      </c>
    </row>
    <row customHeight="1" ht="11.549999999999999">
      <c r="A54" s="1374" t="s">
        <v>260</v>
      </c>
      <c r="B54" s="1374"/>
      <c r="C54" s="1374"/>
      <c r="D54" s="1374"/>
      <c r="E54" s="2289"/>
      <c r="F54" s="2289"/>
      <c r="G54" s="2289"/>
      <c r="H54" s="2289"/>
      <c r="I54" s="2316"/>
      <c r="J54" s="2316"/>
      <c r="K54" s="2286"/>
      <c r="L54" s="1375"/>
      <c r="P54" s="2287"/>
      <c r="Q54" s="2287"/>
      <c r="R54" s="368"/>
      <c r="S54" s="2372"/>
      <c r="T54" s="2391"/>
      <c r="U54" s="311"/>
      <c r="V54" s="1404"/>
      <c r="W54" s="1507"/>
      <c r="X54" s="1404"/>
      <c r="Y54" s="1507"/>
      <c r="Z54" s="1404"/>
      <c r="AA54" s="1404"/>
      <c r="AB54" s="1404"/>
      <c r="AC54" s="1404"/>
      <c r="AD54" s="2216"/>
      <c r="AE54" s="2356"/>
      <c r="AF54" s="2235"/>
      <c r="AG54" s="2393"/>
      <c r="AH54" s="2137"/>
      <c r="AI54" s="2356"/>
      <c r="AJ54" s="2235"/>
      <c r="AK54" s="2357"/>
      <c r="AL54" s="2137"/>
      <c r="AM54" s="327"/>
      <c r="AN54" s="1511"/>
      <c r="AO54" s="1511" t="s">
        <v>513</v>
      </c>
      <c r="AP54" s="427"/>
      <c r="AQ54" s="427"/>
      <c r="AR54" s="427"/>
      <c r="AS54" s="1404"/>
      <c r="AT54" s="1404"/>
      <c r="AU54" s="1507"/>
      <c r="AV54" s="1404"/>
      <c r="AW54" s="1507"/>
      <c r="AX54" s="1404"/>
      <c r="AY54" s="1404"/>
      <c r="AZ54" s="1404"/>
      <c r="BA54" s="1404"/>
      <c r="BB54" s="1408"/>
      <c r="BC54" s="2284"/>
      <c r="BE54" s="511"/>
      <c r="BF54" s="511"/>
      <c r="BG54" s="511"/>
      <c r="BH54" s="511"/>
      <c r="BI54" s="1166">
        <v>11</v>
      </c>
    </row>
    <row customHeight="1" ht="11.549999999999999">
      <c r="A55" s="1374" t="s">
        <v>260</v>
      </c>
      <c r="B55" s="1374"/>
      <c r="C55" s="1374"/>
      <c r="D55" s="1374"/>
      <c r="E55" s="2289"/>
      <c r="F55" s="2289"/>
      <c r="G55" s="2289"/>
      <c r="H55" s="2289"/>
      <c r="I55" s="2316"/>
      <c r="J55" s="2316"/>
      <c r="K55" s="2286"/>
      <c r="L55" s="1375"/>
      <c r="P55" s="2287"/>
      <c r="Q55" s="2287"/>
      <c r="R55" s="368"/>
      <c r="S55" s="2372"/>
      <c r="T55" s="2391"/>
      <c r="U55" s="311"/>
      <c r="V55" s="1404"/>
      <c r="W55" s="1507"/>
      <c r="X55" s="1404"/>
      <c r="Y55" s="1507"/>
      <c r="Z55" s="1404"/>
      <c r="AA55" s="1404"/>
      <c r="AB55" s="1404"/>
      <c r="AC55" s="1404"/>
      <c r="AD55" s="2216"/>
      <c r="AE55" s="2356"/>
      <c r="AF55" s="2235"/>
      <c r="AG55" s="2393"/>
      <c r="AH55" s="2137"/>
      <c r="AI55" s="305"/>
      <c r="AJ55" s="426"/>
      <c r="AK55" s="324" t="s">
        <v>514</v>
      </c>
      <c r="AL55" s="1404"/>
      <c r="AM55" s="1404"/>
      <c r="AN55" s="1404"/>
      <c r="AO55" s="1404"/>
      <c r="AP55" s="1404"/>
      <c r="AQ55" s="1404"/>
      <c r="AR55" s="1404"/>
      <c r="AS55" s="1404"/>
      <c r="AT55" s="1404"/>
      <c r="AU55" s="1507"/>
      <c r="AV55" s="1404"/>
      <c r="AW55" s="1507"/>
      <c r="AX55" s="1404"/>
      <c r="AY55" s="1404"/>
      <c r="AZ55" s="1404"/>
      <c r="BA55" s="1404"/>
      <c r="BB55" s="1408"/>
      <c r="BC55" s="2284"/>
      <c r="BE55" s="511"/>
      <c r="BF55" s="511"/>
      <c r="BG55" s="511"/>
      <c r="BH55" s="511"/>
      <c r="BI55" s="1166">
        <v>11</v>
      </c>
    </row>
    <row customHeight="1" ht="11.549999999999999">
      <c r="A56" s="1374" t="s">
        <v>260</v>
      </c>
      <c r="B56" s="1374" t="s">
        <v>261</v>
      </c>
      <c r="C56" s="1374" t="s">
        <v>262</v>
      </c>
      <c r="D56" s="1374" t="s">
        <v>527</v>
      </c>
      <c r="E56" s="2289"/>
      <c r="F56" s="2289"/>
      <c r="G56" s="2289"/>
      <c r="H56" s="2289"/>
      <c r="I56" s="2316"/>
      <c r="J56" s="2316"/>
      <c r="K56" s="2286"/>
      <c r="L56" s="1375"/>
      <c r="P56" s="2287"/>
      <c r="Q56" s="2287"/>
      <c r="R56" s="368"/>
      <c r="S56" s="2373"/>
      <c r="T56" s="2392"/>
      <c r="U56" s="311"/>
      <c r="V56" s="1404"/>
      <c r="W56" s="1405" t="str">
        <f>Z52&amp;"-"&amp;AB52</f>
        <v>-</v>
      </c>
      <c r="X56" s="1404"/>
      <c r="Y56" s="1405" t="str">
        <f>AB52&amp;"-"&amp;AD52</f>
        <v>-да</v>
      </c>
      <c r="Z56" s="1404"/>
      <c r="AA56" s="1404"/>
      <c r="AB56" s="1404"/>
      <c r="AC56" s="1404"/>
      <c r="AD56" s="2142"/>
      <c r="AE56" s="323"/>
      <c r="AF56" s="325"/>
      <c r="AG56" s="427" t="s">
        <v>515</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84"/>
      <c r="BE56" s="511"/>
      <c r="BF56" s="511" t="str">
        <f>IF(T56="","",T56)</f>
        <v/>
      </c>
      <c r="BG56" s="511"/>
      <c r="BH56" s="511"/>
      <c r="BI56" s="1166">
        <v>11</v>
      </c>
    </row>
    <row customHeight="1" ht="11.549999999999999">
      <c r="A57" s="1374" t="s">
        <v>260</v>
      </c>
      <c r="B57" s="1374" t="s">
        <v>261</v>
      </c>
      <c r="C57" s="1374" t="s">
        <v>262</v>
      </c>
      <c r="D57" s="1374" t="s">
        <v>527</v>
      </c>
      <c r="E57" s="2289"/>
      <c r="F57" s="2289"/>
      <c r="G57" s="2289"/>
      <c r="H57" s="2289"/>
      <c r="I57" s="2316"/>
      <c r="J57" s="2286"/>
      <c r="K57" s="1374"/>
      <c r="L57" s="1375"/>
      <c r="P57" s="2287"/>
      <c r="Q57" s="2287"/>
      <c r="R57" s="367"/>
      <c r="S57" s="1289"/>
      <c r="T57" s="298" t="s">
        <v>478</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85"/>
      <c r="BE57" s="511"/>
      <c r="BF57" s="511" t="str">
        <f>IF(T57="","",T57)</f>
        <v>Добавить строку</v>
      </c>
      <c r="BG57" s="511"/>
      <c r="BH57" s="511"/>
      <c r="BI57" s="1166">
        <v>11</v>
      </c>
    </row>
    <row s="1653" customFormat="1" customHeight="1" ht="0">
      <c r="A58" s="1354" t="s">
        <v>260</v>
      </c>
      <c r="B58" s="1354" t="s">
        <v>261</v>
      </c>
      <c r="C58" s="1354" t="s">
        <v>262</v>
      </c>
      <c r="D58" s="1354" t="s">
        <v>527</v>
      </c>
      <c r="E58" s="2289"/>
      <c r="F58" s="2289"/>
      <c r="G58" s="2289"/>
      <c r="H58" s="2289"/>
      <c r="I58" s="2286"/>
      <c r="J58" s="1354"/>
      <c r="K58" s="1354"/>
      <c r="L58" s="1357"/>
      <c r="M58" s="521"/>
      <c r="N58" s="521"/>
      <c r="O58" s="521"/>
      <c r="P58" s="2287"/>
      <c r="Q58" s="1473"/>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260</v>
      </c>
      <c r="B59" s="1354" t="s">
        <v>261</v>
      </c>
      <c r="C59" s="1354" t="s">
        <v>262</v>
      </c>
      <c r="D59" s="1354" t="s">
        <v>527</v>
      </c>
      <c r="E59" s="2289"/>
      <c r="F59" s="2289"/>
      <c r="G59" s="2289"/>
      <c r="H59" s="2288"/>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260</v>
      </c>
      <c r="B60" s="1354" t="s">
        <v>261</v>
      </c>
      <c r="C60" s="1354" t="s">
        <v>262</v>
      </c>
      <c r="D60" s="1325"/>
      <c r="E60" s="2289"/>
      <c r="F60" s="2289"/>
      <c r="G60" s="2288"/>
      <c r="H60" s="1325"/>
      <c r="I60" s="1325"/>
      <c r="J60" s="1325"/>
      <c r="K60" s="1325"/>
      <c r="L60" s="147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260</v>
      </c>
      <c r="B61" s="1354" t="s">
        <v>261</v>
      </c>
      <c r="C61" s="1325"/>
      <c r="D61" s="1325"/>
      <c r="E61" s="2289"/>
      <c r="F61" s="2288"/>
      <c r="G61" s="1325"/>
      <c r="H61" s="1325"/>
      <c r="I61" s="1325"/>
      <c r="J61" s="1325"/>
      <c r="K61" s="1325"/>
      <c r="L61" s="1475"/>
      <c r="M61" s="1332"/>
      <c r="N61" s="1332"/>
      <c r="P61" s="1327"/>
      <c r="Q61" s="1328"/>
      <c r="R61" s="1327"/>
      <c r="S61" s="1333"/>
      <c r="T61" s="1336" t="s">
        <v>429</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260</v>
      </c>
      <c r="B62" s="1354"/>
      <c r="C62" s="1354"/>
      <c r="D62" s="1354"/>
      <c r="E62" s="2288"/>
      <c r="F62" s="1354"/>
      <c r="G62" s="1354"/>
      <c r="H62" s="1354"/>
      <c r="I62" s="1354"/>
      <c r="J62" s="1354"/>
      <c r="K62" s="1354"/>
      <c r="L62" s="1357"/>
      <c r="M62" s="1332"/>
      <c r="N62" s="1332"/>
      <c r="O62" s="529"/>
      <c r="P62" s="391"/>
      <c r="Q62" s="1355"/>
      <c r="R62" s="391"/>
      <c r="S62" s="1333"/>
      <c r="T62" s="1336" t="s">
        <v>430</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475"/>
      <c r="M63" s="1332"/>
      <c r="N63" s="1332"/>
      <c r="P63" s="1327"/>
      <c r="Q63" s="1328"/>
      <c r="R63" s="1327"/>
      <c r="S63" s="1333"/>
      <c r="T63" s="1336" t="s">
        <v>458</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9.95">
      <c r="O65" s="548"/>
      <c r="S65" s="1264"/>
      <c r="T65" s="2315"/>
      <c r="U65" s="2315"/>
      <c r="V65" s="2315"/>
      <c r="W65" s="2315"/>
      <c r="X65" s="2315"/>
      <c r="Y65" s="2315"/>
      <c r="Z65" s="2315"/>
      <c r="AA65" s="2315"/>
      <c r="AB65" s="2315"/>
      <c r="AC65" s="2315"/>
      <c r="AD65" s="2315"/>
      <c r="AE65" s="2315"/>
      <c r="AF65" s="2315"/>
      <c r="AG65" s="2315"/>
      <c r="AH65" s="2315"/>
      <c r="AI65" s="2315"/>
      <c r="AJ65" s="2315"/>
      <c r="AK65" s="2315"/>
      <c r="AL65" s="2315"/>
      <c r="AM65" s="2315"/>
      <c r="AN65" s="2315"/>
      <c r="AO65" s="2315"/>
      <c r="AP65" s="2315"/>
      <c r="AQ65" s="2315"/>
      <c r="AR65" s="2315"/>
      <c r="AS65" s="2315"/>
      <c r="AT65" s="2315"/>
      <c r="AU65" s="2315"/>
      <c r="AV65" s="2315"/>
      <c r="AW65" s="2315"/>
      <c r="AX65" s="2315"/>
      <c r="AY65" s="2315"/>
      <c r="AZ65" s="2315"/>
      <c r="BA65" s="2315"/>
      <c r="BB65" s="2315"/>
      <c r="BC65" s="2315"/>
      <c r="BI65" s="1166">
        <v>19</v>
      </c>
    </row>
    <row customHeight="1" ht="14.699999999999998">
      <c r="O66" s="548"/>
      <c r="T66" s="1460"/>
      <c r="U66" s="1460"/>
      <c r="V66" s="1460"/>
      <c r="W66" s="1460"/>
      <c r="X66" s="1460"/>
      <c r="Y66" s="1460"/>
      <c r="Z66" s="1460"/>
      <c r="AA66" s="1460"/>
      <c r="AB66" s="1460"/>
      <c r="AC66" s="1460"/>
      <c r="AD66" s="1460"/>
      <c r="AE66" s="1460"/>
      <c r="AF66" s="1460"/>
      <c r="AG66" s="1460"/>
      <c r="AH66" s="1460"/>
      <c r="AI66" s="1460"/>
      <c r="AJ66" s="1460"/>
      <c r="AK66" s="1460"/>
      <c r="AL66" s="1460"/>
      <c r="AM66" s="1460"/>
      <c r="AN66" s="1460"/>
      <c r="AO66" s="1460"/>
      <c r="AP66" s="1460"/>
      <c r="AQ66" s="1460"/>
      <c r="AR66" s="1460"/>
      <c r="AS66" s="1460"/>
      <c r="AT66" s="1460"/>
      <c r="AU66" s="1460"/>
      <c r="AV66" s="1460"/>
      <c r="AW66" s="1460"/>
      <c r="AX66" s="1460"/>
      <c r="AY66" s="1460"/>
      <c r="AZ66" s="1460"/>
      <c r="BA66" s="1460"/>
      <c r="BB66" s="1460"/>
      <c r="BC66" s="1460"/>
      <c r="BI66" s="1166">
        <v>14</v>
      </c>
    </row>
    <row customHeight="1" ht="19.95">
      <c r="O67" s="548"/>
      <c r="S67" s="1264"/>
      <c r="T67" s="2315"/>
      <c r="U67" s="2315"/>
      <c r="V67" s="2315"/>
      <c r="W67" s="2315"/>
      <c r="X67" s="2315"/>
      <c r="Y67" s="2315"/>
      <c r="Z67" s="2315"/>
      <c r="AA67" s="2315"/>
      <c r="AB67" s="2315"/>
      <c r="AC67" s="2315"/>
      <c r="AD67" s="2315"/>
      <c r="AE67" s="2315"/>
      <c r="AF67" s="2315"/>
      <c r="AG67" s="2315"/>
      <c r="AH67" s="2315"/>
      <c r="AI67" s="2315"/>
      <c r="AJ67" s="2315"/>
      <c r="AK67" s="2315"/>
      <c r="AL67" s="2315"/>
      <c r="AM67" s="2315"/>
      <c r="AN67" s="2315"/>
      <c r="AO67" s="2315"/>
      <c r="AP67" s="2315"/>
      <c r="AQ67" s="2315"/>
      <c r="AR67" s="2315"/>
      <c r="AS67" s="2315"/>
      <c r="AT67" s="2315"/>
      <c r="AU67" s="2315"/>
      <c r="AV67" s="2315"/>
      <c r="AW67" s="2315"/>
      <c r="AX67" s="2315"/>
      <c r="AY67" s="2315"/>
      <c r="AZ67" s="2315"/>
      <c r="BA67" s="2315"/>
      <c r="BB67" s="2315"/>
      <c r="BC67" s="2315"/>
      <c r="BI67" s="1166">
        <v>19</v>
      </c>
    </row>
    <row customHeight="1" ht="14.699999999999998">
      <c r="O68" s="548"/>
      <c r="BI68" s="1166">
        <v>14</v>
      </c>
    </row>
    <row customHeight="1" ht="14.25" hidden="1">
      <c r="A69" s="1171" t="s">
        <v>83</v>
      </c>
      <c r="B69" s="1171">
        <v>0</v>
      </c>
      <c r="C69" s="1171">
        <v>0</v>
      </c>
      <c r="D69" s="1171">
        <v>0</v>
      </c>
      <c r="E69" s="1171">
        <v>0</v>
      </c>
      <c r="F69" s="1171">
        <v>0</v>
      </c>
      <c r="G69" s="1171">
        <v>0</v>
      </c>
      <c r="H69" s="1171">
        <v>0</v>
      </c>
      <c r="I69" s="1171">
        <v>0</v>
      </c>
      <c r="J69" s="1171">
        <v>0</v>
      </c>
      <c r="K69" s="1171">
        <v>0</v>
      </c>
      <c r="L69" s="1472">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1843B-7326-9A08-DF69-E9E0EAE5508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504">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98"/>
      <c r="Q3" s="363"/>
      <c r="R3" s="364"/>
      <c r="S3" s="1504">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504">
        <f>INDEX(PT_DIFFERENTIATION_NUM_CS,MATCH(C4,PT_DIFFERENTIATION_CS_ID,0))</f>
      </c>
      <c r="T4" s="320" t="s">
        <v>528</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529</v>
      </c>
      <c r="AM4" s="511"/>
      <c r="AN4" s="511" t="str">
        <f>IF(T4="","",T4)</f>
        <v>Наименование централизованной системы водоотведения</v>
      </c>
      <c r="AO4" s="511"/>
      <c r="AP4" s="511"/>
      <c r="AQ4" s="1166">
        <v>0</v>
      </c>
    </row>
    <row customHeight="1" ht="23.25" hidden="1">
      <c r="A5" s="1374"/>
      <c r="B5" s="1374"/>
      <c r="C5" s="1374"/>
      <c r="D5" s="1374"/>
      <c r="E5" s="2289"/>
      <c r="F5" s="2289"/>
      <c r="G5" s="2289"/>
      <c r="H5" s="2289"/>
      <c r="I5" s="2286">
        <f>S4&amp;".1"</f>
      </c>
      <c r="J5" s="1374"/>
      <c r="K5" s="1374"/>
      <c r="L5" s="1375"/>
      <c r="P5" s="2287">
        <v>1</v>
      </c>
      <c r="Q5" s="1492"/>
      <c r="R5" s="367"/>
      <c r="S5" s="1504">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504">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504">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501"/>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92"/>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505"/>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89"/>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89"/>
      <c r="M19" s="1373"/>
      <c r="N19" s="1373"/>
      <c r="O19" s="1373"/>
      <c r="P19" s="1373"/>
      <c r="Q19" s="1382"/>
      <c r="R19" s="1382"/>
      <c r="S19" s="740"/>
      <c r="AB19" s="1377"/>
      <c r="AI19" s="1377"/>
      <c r="AL19" s="522"/>
      <c r="AM19" s="522"/>
      <c r="AN19" s="522"/>
      <c r="AO19" s="522"/>
      <c r="AP19" s="522"/>
      <c r="AQ19" s="1171">
        <v>0</v>
      </c>
    </row>
    <row s="1377" customFormat="1" customHeight="1" ht="12" hidden="1">
      <c r="L20" s="1489"/>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494" t="s">
        <v>501</v>
      </c>
      <c r="W38" s="2292" t="s">
        <v>445</v>
      </c>
      <c r="X38" s="2293"/>
      <c r="Y38" s="2292" t="s">
        <v>446</v>
      </c>
      <c r="Z38" s="2299"/>
      <c r="AA38" s="2293"/>
      <c r="AB38" s="2308"/>
      <c r="AC38" s="1494" t="s">
        <v>501</v>
      </c>
      <c r="AD38" s="2292" t="s">
        <v>445</v>
      </c>
      <c r="AE38" s="2293"/>
      <c r="AF38" s="2292" t="s">
        <v>446</v>
      </c>
      <c r="AG38" s="2299"/>
      <c r="AH38" s="2293"/>
      <c r="AI38" s="2308"/>
      <c r="AJ38" s="2311"/>
      <c r="AK38" s="2157"/>
      <c r="AQ38" s="1166">
        <v>34</v>
      </c>
    </row>
    <row customHeight="1" ht="90.3">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494" t="s">
        <v>530</v>
      </c>
      <c r="W39" s="1233" t="s">
        <v>531</v>
      </c>
      <c r="X39" s="1233" t="s">
        <v>506</v>
      </c>
      <c r="Y39" s="1500" t="s">
        <v>456</v>
      </c>
      <c r="Z39" s="2300" t="s">
        <v>457</v>
      </c>
      <c r="AA39" s="2301"/>
      <c r="AB39" s="2309"/>
      <c r="AC39" s="1494" t="s">
        <v>530</v>
      </c>
      <c r="AD39" s="1233" t="s">
        <v>531</v>
      </c>
      <c r="AE39" s="1233" t="s">
        <v>506</v>
      </c>
      <c r="AF39" s="1500" t="s">
        <v>456</v>
      </c>
      <c r="AG39" s="2300" t="s">
        <v>457</v>
      </c>
      <c r="AH39" s="2301"/>
      <c r="AI39" s="2309"/>
      <c r="AJ39" s="2312"/>
      <c r="AK39" s="2157"/>
      <c r="AQ39" s="1166">
        <v>86</v>
      </c>
    </row>
    <row s="1652" customFormat="1" customHeight="1" ht="11.25" hidden="1">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493">
        <f>OFFSET(V40,0,-1)+1</f>
        <v>3</v>
      </c>
      <c r="W40" s="1493">
        <f>OFFSET(W40,0,-1)+1</f>
        <v>4</v>
      </c>
      <c r="X40" s="1493">
        <f>OFFSET(X40,0,-1)+1</f>
        <v>5</v>
      </c>
      <c r="Y40" s="1493">
        <f>OFFSET(Y40,0,-1)+1</f>
        <v>6</v>
      </c>
      <c r="Z40" s="2302">
        <f>OFFSET(Z40,0,-1)+1</f>
        <v>7</v>
      </c>
      <c r="AA40" s="2302"/>
      <c r="AB40" s="1493">
        <f>OFFSET(AB40,0,-2)+1</f>
        <v>8</v>
      </c>
      <c r="AC40" s="1493">
        <f>OFFSET(AC40,0,-1)+1</f>
        <v>9</v>
      </c>
      <c r="AD40" s="1493">
        <f>OFFSET(AD40,0,-1)+1</f>
        <v>10</v>
      </c>
      <c r="AE40" s="1493">
        <f>OFFSET(AE40,0,-1)+1</f>
        <v>11</v>
      </c>
      <c r="AF40" s="1493">
        <f>OFFSET(AF40,0,-1)+1</f>
        <v>12</v>
      </c>
      <c r="AG40" s="2302">
        <f>OFFSET(AG40,0,-1)+1</f>
        <v>13</v>
      </c>
      <c r="AH40" s="2302"/>
      <c r="AI40" s="1493">
        <f>OFFSET(AI40,0,-2)+1</f>
        <v>14</v>
      </c>
      <c r="AJ40" s="1256">
        <f>OFFSET(AJ40,0,-1)</f>
        <v>14</v>
      </c>
      <c r="AK40" s="1493">
        <f>OFFSET(AK40,0,-1)+1</f>
        <v>15</v>
      </c>
      <c r="AL40" s="522"/>
      <c r="AM40" s="522"/>
      <c r="AN40" s="522"/>
      <c r="AO40" s="522"/>
      <c r="AP40" s="522"/>
      <c r="AQ40" s="507">
        <v>0</v>
      </c>
    </row>
    <row customHeight="1" ht="24">
      <c r="A41" s="1374" t="s">
        <v>280</v>
      </c>
      <c r="B41" s="1374"/>
      <c r="C41" s="1374"/>
      <c r="D41" s="1374"/>
      <c r="E41" s="2288">
        <v>1</v>
      </c>
      <c r="F41" s="1374"/>
      <c r="G41" s="1374"/>
      <c r="H41" s="1374"/>
      <c r="I41" s="1374"/>
      <c r="J41" s="1374"/>
      <c r="K41" s="1374"/>
      <c r="L41" s="1375"/>
      <c r="M41" s="1376"/>
      <c r="N41" s="1376"/>
      <c r="O41" s="1376"/>
      <c r="P41" s="372"/>
      <c r="Q41" s="371"/>
      <c r="R41" s="366"/>
      <c r="S41" s="1504">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280</v>
      </c>
      <c r="B42" s="1374" t="s">
        <v>281</v>
      </c>
      <c r="C42" s="1374"/>
      <c r="D42" s="1374"/>
      <c r="E42" s="2289"/>
      <c r="F42" s="2288">
        <v>1</v>
      </c>
      <c r="G42" s="1374"/>
      <c r="H42" s="1374"/>
      <c r="I42" s="1374"/>
      <c r="J42" s="1374"/>
      <c r="K42" s="1374"/>
      <c r="L42" s="1375"/>
      <c r="M42" s="1376"/>
      <c r="N42" s="1376"/>
      <c r="O42" s="1376"/>
      <c r="P42" s="1498"/>
      <c r="Q42" s="363"/>
      <c r="R42" s="364"/>
      <c r="S42" s="1504"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280</v>
      </c>
      <c r="B43" s="1374" t="s">
        <v>281</v>
      </c>
      <c r="C43" s="1374" t="s">
        <v>282</v>
      </c>
      <c r="D43" s="1374"/>
      <c r="E43" s="2289"/>
      <c r="F43" s="2289"/>
      <c r="G43" s="2288">
        <v>1</v>
      </c>
      <c r="H43" s="1374"/>
      <c r="I43" s="1374"/>
      <c r="J43" s="1374"/>
      <c r="K43" s="1374"/>
      <c r="L43" s="1375"/>
      <c r="M43" s="1376"/>
      <c r="N43" s="1376"/>
      <c r="O43" s="1376"/>
      <c r="P43" s="365"/>
      <c r="Q43" s="363"/>
      <c r="R43" s="364"/>
      <c r="S43" s="1504" t="str">
        <f>INDEX(PT_DIFFERENTIATION_NUM_CS,MATCH(C43,PT_DIFFERENTIATION_CS_ID,0))</f>
        <v>..</v>
      </c>
      <c r="T43" s="320" t="s">
        <v>528</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529</v>
      </c>
      <c r="AM43" s="511"/>
      <c r="AN43" s="511" t="str">
        <f>IF(T43="","",T43)</f>
        <v>Наименование централизованной системы водоотведения</v>
      </c>
      <c r="AO43" s="511"/>
      <c r="AP43" s="511"/>
      <c r="AQ43" s="1166">
        <v>23</v>
      </c>
    </row>
    <row customHeight="1" ht="24">
      <c r="A44" s="1374" t="s">
        <v>280</v>
      </c>
      <c r="B44" s="1374" t="s">
        <v>281</v>
      </c>
      <c r="C44" s="1374" t="s">
        <v>282</v>
      </c>
      <c r="D44" s="1374" t="s">
        <v>532</v>
      </c>
      <c r="E44" s="2289"/>
      <c r="F44" s="2289"/>
      <c r="G44" s="2289"/>
      <c r="H44" s="2289"/>
      <c r="I44" s="2286" t="str">
        <f>S43&amp;".1"</f>
        <v>...1</v>
      </c>
      <c r="J44" s="1374"/>
      <c r="K44" s="1374"/>
      <c r="L44" s="1375"/>
      <c r="P44" s="2287">
        <v>1</v>
      </c>
      <c r="Q44" s="1492"/>
      <c r="R44" s="367"/>
      <c r="S44" s="1504"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280</v>
      </c>
      <c r="B45" s="1374" t="s">
        <v>281</v>
      </c>
      <c r="C45" s="1374" t="s">
        <v>282</v>
      </c>
      <c r="D45" s="1374" t="s">
        <v>532</v>
      </c>
      <c r="E45" s="2289"/>
      <c r="F45" s="2289"/>
      <c r="G45" s="2289"/>
      <c r="H45" s="2289"/>
      <c r="I45" s="2316"/>
      <c r="J45" s="2286" t="str">
        <f>I44&amp;".1"</f>
        <v>...1.1</v>
      </c>
      <c r="K45" s="1374"/>
      <c r="L45" s="1375" t="s">
        <v>420</v>
      </c>
      <c r="P45" s="2287"/>
      <c r="Q45" s="2287">
        <v>1</v>
      </c>
      <c r="R45" s="368"/>
      <c r="S45" s="1504"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280</v>
      </c>
      <c r="B46" s="1374" t="s">
        <v>281</v>
      </c>
      <c r="C46" s="1374" t="s">
        <v>282</v>
      </c>
      <c r="D46" s="1374" t="s">
        <v>532</v>
      </c>
      <c r="E46" s="2289"/>
      <c r="F46" s="2289"/>
      <c r="G46" s="2289"/>
      <c r="H46" s="2289"/>
      <c r="I46" s="2316"/>
      <c r="J46" s="2316"/>
      <c r="K46" s="2286" t="str">
        <f>J45&amp;".1"</f>
        <v>...1.1.1</v>
      </c>
      <c r="L46" s="1375"/>
      <c r="P46" s="2287"/>
      <c r="Q46" s="2287"/>
      <c r="R46" s="368">
        <v>1</v>
      </c>
      <c r="S46" s="1504" t="str">
        <f>$K46</f>
        <v>...1.1.1</v>
      </c>
      <c r="T46" s="1448"/>
      <c r="U46" s="311"/>
      <c r="V46" s="1371"/>
      <c r="W46" s="1371"/>
      <c r="X46" s="1372"/>
      <c r="Y46" s="2297"/>
      <c r="Z46" s="2298" t="s">
        <v>63</v>
      </c>
      <c r="AA46" s="2297"/>
      <c r="AB46" s="2298" t="s">
        <v>63</v>
      </c>
      <c r="AC46" s="762"/>
      <c r="AD46" s="762"/>
      <c r="AE46" s="1268"/>
      <c r="AF46" s="2295"/>
      <c r="AG46" s="2137" t="s">
        <v>63</v>
      </c>
      <c r="AH46" s="2317"/>
      <c r="AI46" s="2137" t="s">
        <v>19</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280</v>
      </c>
      <c r="B47" s="1374" t="s">
        <v>281</v>
      </c>
      <c r="C47" s="1374" t="s">
        <v>282</v>
      </c>
      <c r="D47" s="1374" t="s">
        <v>532</v>
      </c>
      <c r="E47" s="2289"/>
      <c r="F47" s="2289"/>
      <c r="G47" s="2289"/>
      <c r="H47" s="2289"/>
      <c r="I47" s="2316"/>
      <c r="J47" s="2316"/>
      <c r="K47" s="2286"/>
      <c r="L47" s="1375"/>
      <c r="P47" s="2287"/>
      <c r="Q47" s="2287"/>
      <c r="R47" s="368"/>
      <c r="S47" s="1501"/>
      <c r="T47" s="311"/>
      <c r="U47" s="311"/>
      <c r="V47" s="1371"/>
      <c r="W47" s="1371"/>
      <c r="X47" s="339" t="str">
        <f>Y46&amp;"-"&amp;AA46</f>
        <v>-</v>
      </c>
      <c r="Y47" s="2298"/>
      <c r="Z47" s="2298"/>
      <c r="AA47" s="2298"/>
      <c r="AB47" s="2298"/>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280</v>
      </c>
      <c r="B48" s="1374" t="s">
        <v>281</v>
      </c>
      <c r="C48" s="1374" t="s">
        <v>282</v>
      </c>
      <c r="D48" s="1374" t="s">
        <v>532</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280</v>
      </c>
      <c r="B49" s="1374" t="s">
        <v>281</v>
      </c>
      <c r="C49" s="1374" t="s">
        <v>282</v>
      </c>
      <c r="D49" s="1374" t="s">
        <v>532</v>
      </c>
      <c r="E49" s="2289"/>
      <c r="F49" s="2289"/>
      <c r="G49" s="2289"/>
      <c r="H49" s="2289"/>
      <c r="I49" s="2286"/>
      <c r="J49" s="1374"/>
      <c r="K49" s="1374"/>
      <c r="L49" s="1375"/>
      <c r="P49" s="2287"/>
      <c r="Q49" s="1492"/>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280</v>
      </c>
      <c r="B50" s="1374" t="s">
        <v>281</v>
      </c>
      <c r="C50" s="1374" t="s">
        <v>282</v>
      </c>
      <c r="D50" s="1374" t="s">
        <v>532</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280</v>
      </c>
      <c r="B51" s="1354" t="s">
        <v>281</v>
      </c>
      <c r="C51" s="1325"/>
      <c r="D51" s="1325"/>
      <c r="E51" s="2289"/>
      <c r="F51" s="2288"/>
      <c r="G51" s="1325"/>
      <c r="H51" s="1325"/>
      <c r="I51" s="1325"/>
      <c r="J51" s="1325"/>
      <c r="K51" s="1325"/>
      <c r="L51" s="1505"/>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280</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505"/>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89">
        <v>0</v>
      </c>
      <c r="M58" s="1373">
        <v>0</v>
      </c>
      <c r="N58" s="1373">
        <v>0</v>
      </c>
      <c r="O58" s="1373">
        <v>0</v>
      </c>
      <c r="P58" s="1484">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383B8-865F-29FC-1E98-8CC5F4977C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4" style="1646" width="24.7109375" hidden="1" customWidth="1"/>
    <col min="25" max="25" style="1646" width="11.7109375" hidden="1" customWidth="1"/>
    <col min="26" max="26" style="1646" width="3.7109375" hidden="1" customWidth="1"/>
    <col min="27" max="27" style="1646" width="11.7109375" hidden="1" customWidth="1"/>
    <col min="28" max="28" style="1646" width="8.57421875" hidden="1" customWidth="1"/>
    <col min="29" max="29" style="1646" width="24.7109375" customWidth="1"/>
    <col min="30" max="31" style="1646" width="24.00390625" customWidth="1"/>
    <col min="32" max="32" style="1646" width="11.00390625" customWidth="1"/>
    <col min="33" max="33" style="1646" width="3.7109375" customWidth="1"/>
    <col min="34" max="34" style="1646" width="11.00390625" customWidth="1"/>
    <col min="35" max="35" style="1646" width="8.57421875" hidden="1" customWidth="1"/>
    <col min="36" max="36" style="1646" width="4.00390625" customWidth="1"/>
    <col min="37" max="37" style="1646" width="115.00390625" customWidth="1"/>
    <col min="38" max="42" style="1653" width="10.00390625" customWidth="1"/>
    <col min="43" max="43" style="1646" width="10.57421875" hidden="1"/>
  </cols>
  <sheetData>
    <row customHeight="1" ht="22.5" hidden="1">
      <c r="X1" s="338"/>
      <c r="Y1" s="338"/>
      <c r="AE1" s="338"/>
      <c r="AF1" s="338"/>
      <c r="AQ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504">
        <f>INDEX(PT_DIFFERENTIATION_NUM_NTAR,MATCH(A2,PT_DIFFERENTIATION_NTAR_ID,0))</f>
      </c>
      <c r="T2" s="309" t="s">
        <v>139</v>
      </c>
      <c r="U2" s="311"/>
      <c r="V2" s="2272"/>
      <c r="W2" s="2273"/>
      <c r="X2" s="2273"/>
      <c r="Y2" s="2273"/>
      <c r="Z2" s="2273"/>
      <c r="AA2" s="2273"/>
      <c r="AB2" s="2274"/>
      <c r="AC2" s="2272">
        <f>INDEX(PT_DIFFERENTIATION_NTAR,MATCH(A2,PT_DIFFERENTIATION_NTAR_ID,0))</f>
      </c>
      <c r="AD2" s="2273"/>
      <c r="AE2" s="2273"/>
      <c r="AF2" s="2273"/>
      <c r="AG2" s="2273"/>
      <c r="AH2" s="2273"/>
      <c r="AI2" s="2273"/>
      <c r="AJ2" s="2274"/>
      <c r="AK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1"/>
      <c r="AN2" s="511" t="str">
        <f>IF(T2="","",T2)</f>
        <v>Наименование тарифа</v>
      </c>
      <c r="AO2" s="511"/>
      <c r="AP2" s="511"/>
      <c r="AQ2" s="1166">
        <v>0</v>
      </c>
    </row>
    <row customHeight="1" ht="23.25" hidden="1">
      <c r="A3" s="1374"/>
      <c r="B3" s="1374"/>
      <c r="C3" s="1374"/>
      <c r="D3" s="1374"/>
      <c r="E3" s="2289"/>
      <c r="F3" s="2288">
        <v>1</v>
      </c>
      <c r="G3" s="1374"/>
      <c r="H3" s="1374"/>
      <c r="I3" s="1374"/>
      <c r="J3" s="1374"/>
      <c r="K3" s="1374"/>
      <c r="L3" s="1375"/>
      <c r="M3" s="1376"/>
      <c r="N3" s="1376"/>
      <c r="O3" s="1376"/>
      <c r="P3" s="1498"/>
      <c r="Q3" s="363"/>
      <c r="R3" s="364"/>
      <c r="S3" s="1504">
        <f>INDEX(PT_DIFFERENTIATION_NUM_TER,MATCH(B3,PT_DIFFERENTIATION_TER_ID,0))</f>
      </c>
      <c r="T3" s="319" t="s">
        <v>411</v>
      </c>
      <c r="U3" s="311"/>
      <c r="V3" s="2272"/>
      <c r="W3" s="2273"/>
      <c r="X3" s="2273"/>
      <c r="Y3" s="2273"/>
      <c r="Z3" s="2273"/>
      <c r="AA3" s="2273"/>
      <c r="AB3" s="2274"/>
      <c r="AC3" s="2272">
        <f>INDEX(PT_DIFFERENTIATION_TER,MATCH(B3,PT_DIFFERENTIATION_TER_ID,0))</f>
      </c>
      <c r="AD3" s="2273"/>
      <c r="AE3" s="2273"/>
      <c r="AF3" s="2273"/>
      <c r="AG3" s="2273"/>
      <c r="AH3" s="2273"/>
      <c r="AI3" s="2273"/>
      <c r="AJ3" s="2274"/>
      <c r="AK3" s="1269" t="s">
        <v>412</v>
      </c>
      <c r="AM3" s="511"/>
      <c r="AN3" s="511" t="str">
        <f>IF(T3="","",T3)</f>
        <v>Территория действия тарифа</v>
      </c>
      <c r="AO3" s="511"/>
      <c r="AP3" s="511"/>
      <c r="AQ3" s="1166">
        <v>0</v>
      </c>
    </row>
    <row customHeight="1" ht="23.25" hidden="1">
      <c r="A4" s="1374"/>
      <c r="B4" s="1374"/>
      <c r="C4" s="1374"/>
      <c r="D4" s="1374"/>
      <c r="E4" s="2289"/>
      <c r="F4" s="2289"/>
      <c r="G4" s="2288">
        <v>1</v>
      </c>
      <c r="H4" s="1374"/>
      <c r="I4" s="1374"/>
      <c r="J4" s="1374"/>
      <c r="K4" s="1374"/>
      <c r="L4" s="1375"/>
      <c r="M4" s="1376"/>
      <c r="N4" s="1376"/>
      <c r="O4" s="1376"/>
      <c r="P4" s="365"/>
      <c r="Q4" s="363"/>
      <c r="R4" s="364"/>
      <c r="S4" s="1504">
        <f>INDEX(PT_DIFFERENTIATION_NUM_CS,MATCH(C4,PT_DIFFERENTIATION_CS_ID,0))</f>
      </c>
      <c r="T4" s="320" t="s">
        <v>528</v>
      </c>
      <c r="U4" s="311"/>
      <c r="V4" s="2272"/>
      <c r="W4" s="2273"/>
      <c r="X4" s="2273"/>
      <c r="Y4" s="2273"/>
      <c r="Z4" s="2273"/>
      <c r="AA4" s="2273"/>
      <c r="AB4" s="2274"/>
      <c r="AC4" s="2272">
        <f>INDEX(PT_DIFFERENTIATION_CS,MATCH(C4,PT_DIFFERENTIATION_CS_ID,0))</f>
      </c>
      <c r="AD4" s="2273"/>
      <c r="AE4" s="2273"/>
      <c r="AF4" s="2273"/>
      <c r="AG4" s="2273"/>
      <c r="AH4" s="2273"/>
      <c r="AI4" s="2273"/>
      <c r="AJ4" s="2274"/>
      <c r="AK4" s="1269" t="s">
        <v>529</v>
      </c>
      <c r="AM4" s="511"/>
      <c r="AN4" s="511" t="str">
        <f>IF(T4="","",T4)</f>
        <v>Наименование централизованной системы водоотведения</v>
      </c>
      <c r="AO4" s="511"/>
      <c r="AP4" s="511"/>
      <c r="AQ4" s="1166">
        <v>0</v>
      </c>
    </row>
    <row customHeight="1" ht="23.25" hidden="1">
      <c r="A5" s="1374"/>
      <c r="B5" s="1374"/>
      <c r="C5" s="1374"/>
      <c r="D5" s="1374"/>
      <c r="E5" s="2289"/>
      <c r="F5" s="2289"/>
      <c r="G5" s="2289"/>
      <c r="H5" s="2289"/>
      <c r="I5" s="2286">
        <f>S4&amp;".1"</f>
      </c>
      <c r="J5" s="1374"/>
      <c r="K5" s="1374"/>
      <c r="L5" s="1375"/>
      <c r="P5" s="2287">
        <v>1</v>
      </c>
      <c r="Q5" s="1492"/>
      <c r="R5" s="367"/>
      <c r="S5" s="1504">
        <f>$I5</f>
      </c>
      <c r="T5" s="296" t="s">
        <v>495</v>
      </c>
      <c r="U5" s="311"/>
      <c r="V5" s="2380"/>
      <c r="W5" s="2381"/>
      <c r="X5" s="2381"/>
      <c r="Y5" s="2381"/>
      <c r="Z5" s="2381"/>
      <c r="AA5" s="2381"/>
      <c r="AB5" s="2382"/>
      <c r="AC5" s="2383"/>
      <c r="AD5" s="2384"/>
      <c r="AE5" s="2384"/>
      <c r="AF5" s="2384"/>
      <c r="AG5" s="2384"/>
      <c r="AH5" s="2384"/>
      <c r="AI5" s="2384"/>
      <c r="AJ5" s="2385"/>
      <c r="AK5" s="1269" t="s">
        <v>496</v>
      </c>
      <c r="AM5" s="511"/>
      <c r="AN5" s="511" t="str">
        <f>IF(T5="","",T5)</f>
        <v>Наименование признака дифференциации</v>
      </c>
      <c r="AO5" s="511"/>
      <c r="AP5" s="511"/>
      <c r="AQ5" s="1166">
        <v>0</v>
      </c>
    </row>
    <row customHeight="1" ht="23.25" hidden="1">
      <c r="A6" s="1374"/>
      <c r="B6" s="1374"/>
      <c r="C6" s="1374"/>
      <c r="D6" s="1374"/>
      <c r="E6" s="2289"/>
      <c r="F6" s="2289"/>
      <c r="G6" s="2289"/>
      <c r="H6" s="2289"/>
      <c r="I6" s="2316"/>
      <c r="J6" s="2286">
        <f>I5&amp;".1"</f>
      </c>
      <c r="K6" s="1374"/>
      <c r="L6" s="1375" t="s">
        <v>420</v>
      </c>
      <c r="P6" s="2287"/>
      <c r="Q6" s="2287">
        <v>1</v>
      </c>
      <c r="R6" s="368"/>
      <c r="S6" s="1504">
        <f>$J6</f>
      </c>
      <c r="T6" s="297" t="s">
        <v>421</v>
      </c>
      <c r="U6" s="311"/>
      <c r="V6" s="2275"/>
      <c r="W6" s="2276"/>
      <c r="X6" s="2276"/>
      <c r="Y6" s="2276"/>
      <c r="Z6" s="2276"/>
      <c r="AA6" s="2276"/>
      <c r="AB6" s="2277"/>
      <c r="AC6" s="2275"/>
      <c r="AD6" s="2276"/>
      <c r="AE6" s="2276"/>
      <c r="AF6" s="2276"/>
      <c r="AG6" s="2276"/>
      <c r="AH6" s="2276"/>
      <c r="AI6" s="2276"/>
      <c r="AJ6" s="2277"/>
      <c r="AK6" s="1318" t="s">
        <v>497</v>
      </c>
      <c r="AM6" s="511"/>
      <c r="AN6" s="511" t="str">
        <f>IF(T6="","",T6)</f>
        <v>Группа потребителей</v>
      </c>
      <c r="AO6" s="511"/>
      <c r="AP6" s="511"/>
      <c r="AQ6" s="1166">
        <v>0</v>
      </c>
    </row>
    <row customHeight="1" ht="23.25" hidden="1">
      <c r="A7" s="1374"/>
      <c r="B7" s="1374"/>
      <c r="C7" s="1374"/>
      <c r="D7" s="1374"/>
      <c r="E7" s="2289"/>
      <c r="F7" s="2289"/>
      <c r="G7" s="2289"/>
      <c r="H7" s="2289"/>
      <c r="I7" s="2316"/>
      <c r="J7" s="2316"/>
      <c r="K7" s="2286">
        <f>J6&amp;".1"</f>
      </c>
      <c r="L7" s="1375"/>
      <c r="P7" s="2287"/>
      <c r="Q7" s="2287"/>
      <c r="R7" s="368">
        <v>1</v>
      </c>
      <c r="S7" s="1504">
        <f>$K7</f>
      </c>
      <c r="T7" s="1448"/>
      <c r="U7" s="311"/>
      <c r="V7" s="762"/>
      <c r="W7" s="762"/>
      <c r="X7" s="1268"/>
      <c r="Y7" s="2295"/>
      <c r="Z7" s="2137" t="s">
        <v>63</v>
      </c>
      <c r="AA7" s="2295"/>
      <c r="AB7" s="2137" t="s">
        <v>63</v>
      </c>
      <c r="AC7" s="762"/>
      <c r="AD7" s="762"/>
      <c r="AE7" s="1268"/>
      <c r="AF7" s="2295"/>
      <c r="AG7" s="2137" t="s">
        <v>63</v>
      </c>
      <c r="AH7" s="2317"/>
      <c r="AI7" s="2137" t="s">
        <v>63</v>
      </c>
      <c r="AJ7" s="1449"/>
      <c r="AK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2">
        <f>STRCHECKDATE(V8:AJ8)</f>
      </c>
      <c r="AM7" s="511"/>
      <c r="AN7" s="511" t="str">
        <f>IF(T7="","",T7)</f>
        <v/>
      </c>
      <c r="AO7" s="511"/>
      <c r="AP7" s="511"/>
      <c r="AQ7" s="1166">
        <v>0</v>
      </c>
    </row>
    <row customHeight="1" ht="14.25" hidden="1">
      <c r="A8" s="1374"/>
      <c r="B8" s="1374"/>
      <c r="C8" s="1374"/>
      <c r="D8" s="1374"/>
      <c r="E8" s="2289"/>
      <c r="F8" s="2289"/>
      <c r="G8" s="2289"/>
      <c r="H8" s="2289"/>
      <c r="I8" s="2316"/>
      <c r="J8" s="2316"/>
      <c r="K8" s="2286"/>
      <c r="L8" s="1375"/>
      <c r="P8" s="2287"/>
      <c r="Q8" s="2287"/>
      <c r="R8" s="368"/>
      <c r="S8" s="1501"/>
      <c r="T8" s="311"/>
      <c r="U8" s="311"/>
      <c r="V8" s="336"/>
      <c r="W8" s="336"/>
      <c r="X8" s="339" t="str">
        <f>Y7&amp;"-"&amp;AA7</f>
        <v>-</v>
      </c>
      <c r="Y8" s="2296"/>
      <c r="Z8" s="2137"/>
      <c r="AA8" s="2296"/>
      <c r="AB8" s="2137"/>
      <c r="AC8" s="336"/>
      <c r="AD8" s="336"/>
      <c r="AE8" s="339" t="str">
        <f>AF7&amp;"-"&amp;AH7</f>
        <v>-</v>
      </c>
      <c r="AF8" s="2296"/>
      <c r="AG8" s="2137"/>
      <c r="AH8" s="2318"/>
      <c r="AI8" s="2137"/>
      <c r="AJ8" s="1450"/>
      <c r="AK8" s="2379"/>
      <c r="AM8" s="511"/>
      <c r="AN8" s="511" t="str">
        <f>IF(T8="","",T8)</f>
        <v/>
      </c>
      <c r="AO8" s="511"/>
      <c r="AP8" s="511"/>
      <c r="AQ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378"/>
      <c r="X9" s="378"/>
      <c r="Y9" s="378"/>
      <c r="Z9" s="378"/>
      <c r="AA9" s="378"/>
      <c r="AB9" s="378"/>
      <c r="AC9" s="378"/>
      <c r="AD9" s="378"/>
      <c r="AE9" s="378"/>
      <c r="AF9" s="378"/>
      <c r="AG9" s="378"/>
      <c r="AH9" s="378"/>
      <c r="AI9" s="378"/>
      <c r="AJ9" s="378"/>
      <c r="AK9" s="1269" t="s">
        <v>499</v>
      </c>
      <c r="AM9" s="511"/>
      <c r="AN9" s="511" t="str">
        <f>IF(T9="","",T9)</f>
        <v>Добавить значение признака дифференциации</v>
      </c>
      <c r="AO9" s="511"/>
      <c r="AP9" s="511"/>
      <c r="AQ9" s="1166">
        <v>0</v>
      </c>
    </row>
    <row customHeight="1" ht="21" hidden="1">
      <c r="A10" s="1374"/>
      <c r="B10" s="1374"/>
      <c r="C10" s="1374"/>
      <c r="D10" s="1374"/>
      <c r="E10" s="2289"/>
      <c r="F10" s="2289"/>
      <c r="G10" s="2289"/>
      <c r="H10" s="2289"/>
      <c r="I10" s="2286"/>
      <c r="J10" s="1374"/>
      <c r="K10" s="1374"/>
      <c r="L10" s="1375"/>
      <c r="P10" s="2287"/>
      <c r="Q10" s="1492"/>
      <c r="R10" s="367"/>
      <c r="S10" s="1289"/>
      <c r="T10" s="376" t="s">
        <v>426</v>
      </c>
      <c r="U10" s="378"/>
      <c r="V10" s="378"/>
      <c r="W10" s="378"/>
      <c r="X10" s="378"/>
      <c r="Y10" s="378"/>
      <c r="Z10" s="378"/>
      <c r="AA10" s="378"/>
      <c r="AB10" s="377"/>
      <c r="AC10" s="378"/>
      <c r="AD10" s="378"/>
      <c r="AE10" s="378"/>
      <c r="AF10" s="378"/>
      <c r="AG10" s="378"/>
      <c r="AH10" s="378"/>
      <c r="AI10" s="377"/>
      <c r="AJ10" s="378"/>
      <c r="AK10" s="1451"/>
      <c r="AM10" s="511"/>
      <c r="AN10" s="511" t="str">
        <f>IF(T10="","",T10)</f>
        <v>Добавить группу потребителей</v>
      </c>
      <c r="AO10" s="511"/>
      <c r="AP10" s="511"/>
      <c r="AQ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378"/>
      <c r="X11" s="378"/>
      <c r="Y11" s="378"/>
      <c r="Z11" s="378"/>
      <c r="AA11" s="378"/>
      <c r="AB11" s="377"/>
      <c r="AC11" s="378"/>
      <c r="AD11" s="378"/>
      <c r="AE11" s="378"/>
      <c r="AF11" s="378"/>
      <c r="AG11" s="378"/>
      <c r="AH11" s="378"/>
      <c r="AI11" s="377"/>
      <c r="AJ11" s="378"/>
      <c r="AK11" s="314"/>
      <c r="AM11" s="511"/>
      <c r="AN11" s="511" t="str">
        <f>IF(T11="","",T11)</f>
        <v>Добавить наименование признака дифференциации</v>
      </c>
      <c r="AO11" s="511"/>
      <c r="AP11" s="511"/>
      <c r="AQ11" s="1166">
        <v>0</v>
      </c>
    </row>
    <row s="1653" customFormat="1" customHeight="1" ht="14.25" hidden="1">
      <c r="A12" s="1354"/>
      <c r="B12" s="1354"/>
      <c r="C12" s="1325"/>
      <c r="D12" s="1325"/>
      <c r="E12" s="2289"/>
      <c r="F12" s="2288"/>
      <c r="G12" s="1325"/>
      <c r="H12" s="1325"/>
      <c r="I12" s="1325"/>
      <c r="J12" s="1325"/>
      <c r="K12" s="1325"/>
      <c r="L12" s="1505"/>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M12" s="800"/>
      <c r="AN12" s="800" t="str">
        <f>IF(T12="","",T12)</f>
        <v>Добавить централизованную систему для дифференциации</v>
      </c>
      <c r="AO12" s="800"/>
      <c r="AP12" s="800"/>
      <c r="AQ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M13" s="511"/>
      <c r="AN13" s="511" t="str">
        <f>IF(T13="","",T13)</f>
        <v>Добавить территорию для дифференциации</v>
      </c>
      <c r="AO13" s="511"/>
      <c r="AP13" s="511"/>
      <c r="AQ13" s="522">
        <v>0</v>
      </c>
    </row>
    <row customHeight="1" ht="14.25" hidden="1">
      <c r="AB14" s="338"/>
      <c r="AI14" s="338"/>
      <c r="AQ14" s="1166">
        <v>0</v>
      </c>
    </row>
    <row customHeight="1" ht="14.25" hidden="1">
      <c r="AC15" s="1371"/>
      <c r="AD15" s="1371"/>
      <c r="AE15" s="1372"/>
      <c r="AF15" s="2297"/>
      <c r="AG15" s="2298" t="s">
        <v>63</v>
      </c>
      <c r="AH15" s="2297"/>
      <c r="AI15" s="2298" t="s">
        <v>63</v>
      </c>
      <c r="AQ15" s="1166">
        <v>0</v>
      </c>
    </row>
    <row customHeight="1" ht="14.25" hidden="1">
      <c r="AC16" s="1371"/>
      <c r="AD16" s="1371"/>
      <c r="AE16" s="339" t="str">
        <f>AF15&amp;"-"&amp;AH15</f>
        <v>-</v>
      </c>
      <c r="AF16" s="2298"/>
      <c r="AG16" s="2298"/>
      <c r="AH16" s="2298"/>
      <c r="AI16" s="2298"/>
      <c r="AQ16" s="1166">
        <v>0</v>
      </c>
    </row>
    <row customHeight="1" ht="14.25" hidden="1">
      <c r="AI17" s="338"/>
      <c r="AQ17" s="1166">
        <v>0</v>
      </c>
    </row>
    <row s="1377" customFormat="1" customHeight="1" ht="22.5" hidden="1">
      <c r="L18" s="1489"/>
      <c r="M18" s="1373"/>
      <c r="N18" s="1373"/>
      <c r="O18" s="1378" t="s">
        <v>431</v>
      </c>
      <c r="P18" s="1373"/>
      <c r="Q18" s="1382"/>
      <c r="R18" s="1382"/>
      <c r="S18" s="740"/>
      <c r="Y18" s="1378"/>
      <c r="AA18" s="1378"/>
      <c r="AB18" s="1377"/>
      <c r="AF18" s="1378"/>
      <c r="AH18" s="1378"/>
      <c r="AI18" s="1377"/>
      <c r="AL18" s="522"/>
      <c r="AM18" s="522"/>
      <c r="AN18" s="522"/>
      <c r="AO18" s="522"/>
      <c r="AP18" s="522"/>
      <c r="AQ18" s="1171">
        <v>0</v>
      </c>
    </row>
    <row s="1377" customFormat="1" customHeight="1" ht="14.25" hidden="1">
      <c r="L19" s="1489"/>
      <c r="M19" s="1373"/>
      <c r="N19" s="1373"/>
      <c r="O19" s="1373"/>
      <c r="P19" s="1373"/>
      <c r="Q19" s="1382"/>
      <c r="R19" s="1382"/>
      <c r="S19" s="740"/>
      <c r="AB19" s="1377"/>
      <c r="AI19" s="1377"/>
      <c r="AL19" s="522"/>
      <c r="AM19" s="522"/>
      <c r="AN19" s="522"/>
      <c r="AO19" s="522"/>
      <c r="AP19" s="522"/>
      <c r="AQ19" s="1171">
        <v>0</v>
      </c>
    </row>
    <row s="1377" customFormat="1" customHeight="1" ht="12" hidden="1">
      <c r="L20" s="1489"/>
      <c r="M20" s="1373"/>
      <c r="N20" s="1373"/>
      <c r="O20" s="1375" t="s">
        <v>432</v>
      </c>
      <c r="P20" s="1373"/>
      <c r="Q20" s="1453"/>
      <c r="R20" s="1453"/>
      <c r="S20" s="740"/>
      <c r="T20" s="1171" t="s">
        <v>433</v>
      </c>
      <c r="Z20" s="197" t="s">
        <v>434</v>
      </c>
      <c r="AB20" s="197" t="s">
        <v>435</v>
      </c>
      <c r="AC20" s="1171" t="s">
        <v>433</v>
      </c>
      <c r="AG20" s="197" t="s">
        <v>436</v>
      </c>
      <c r="AI20" s="197" t="s">
        <v>435</v>
      </c>
      <c r="AQ20" s="1171">
        <v>0</v>
      </c>
    </row>
    <row customHeight="1" ht="14.25" hidden="1">
      <c r="O21" s="1375"/>
      <c r="AQ21" s="1166">
        <v>0</v>
      </c>
    </row>
    <row customHeight="1" ht="14.25" hidden="1">
      <c r="O22" s="1375"/>
      <c r="AQ22" s="1166">
        <v>0</v>
      </c>
    </row>
    <row customHeight="1" ht="14.699999999999998">
      <c r="Q23" s="387"/>
      <c r="R23" s="387"/>
      <c r="S23" s="1286"/>
      <c r="T23" s="374"/>
      <c r="U23" s="374"/>
      <c r="V23" s="520"/>
      <c r="W23" s="520"/>
      <c r="X23" s="520"/>
      <c r="Y23" s="520"/>
      <c r="Z23" s="520"/>
      <c r="AA23" s="520"/>
      <c r="AB23" s="520"/>
      <c r="AC23" s="520"/>
      <c r="AD23" s="520"/>
      <c r="AE23" s="520"/>
      <c r="AF23" s="520"/>
      <c r="AG23" s="520"/>
      <c r="AH23" s="520"/>
      <c r="AI23" s="520"/>
      <c r="AQ23" s="1166">
        <v>14</v>
      </c>
    </row>
    <row customHeight="1" ht="14.699999999999998">
      <c r="Q24" s="387"/>
      <c r="R24" s="387"/>
      <c r="S24" s="227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8"/>
      <c r="U24" s="2278"/>
      <c r="V24" s="2278"/>
      <c r="W24" s="2278"/>
      <c r="X24" s="2278"/>
      <c r="Y24" s="2278"/>
      <c r="Z24" s="2278"/>
      <c r="AA24" s="2278"/>
      <c r="AB24" s="2278"/>
      <c r="AC24" s="2278"/>
      <c r="AD24" s="2278"/>
      <c r="AE24" s="2278"/>
      <c r="AF24" s="2278"/>
      <c r="AG24" s="2278"/>
      <c r="AH24" s="2278"/>
      <c r="AI24" s="1254"/>
      <c r="AQ24" s="1166">
        <v>14</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1254"/>
      <c r="AQ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520"/>
      <c r="AQ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337"/>
      <c r="AC27" s="2281" t="str">
        <f>IF(TITLE_NAME_OR_PR_CHANGE="",IF(TITLE_NAME_OR_PR="","",TITLE_NAME_OR_PR),TITLE_NAME_OR_PR_CHANGE)</f>
        <v/>
      </c>
      <c r="AD27" s="2281"/>
      <c r="AE27" s="2281"/>
      <c r="AF27" s="2281"/>
      <c r="AG27" s="2281"/>
      <c r="AH27" s="2281"/>
      <c r="AI27" s="337"/>
      <c r="AJ27" s="337"/>
      <c r="AK27" s="291"/>
      <c r="AL27" s="379"/>
      <c r="AM27" s="379"/>
      <c r="AN27" s="379"/>
      <c r="AO27" s="379"/>
      <c r="AP27" s="379"/>
      <c r="AQ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337"/>
      <c r="AC28" s="2294" t="str">
        <f>IF(TITLE_DATE_PR_CHANGE="",IF(TITLE_DATE_PR="","",TITLE_DATE_PR),TITLE_DATE_PR_CHANGE)</f>
        <v/>
      </c>
      <c r="AD28" s="2294"/>
      <c r="AE28" s="2294"/>
      <c r="AF28" s="2294"/>
      <c r="AG28" s="2294"/>
      <c r="AH28" s="2294"/>
      <c r="AI28" s="337"/>
      <c r="AJ28" s="337"/>
      <c r="AK28" s="291"/>
      <c r="AL28" s="379"/>
      <c r="AM28" s="379"/>
      <c r="AN28" s="379"/>
      <c r="AO28" s="379"/>
      <c r="AP28" s="379"/>
      <c r="AQ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337"/>
      <c r="AC29" s="2281" t="str">
        <f>IF(TITLE_NUMBER_PR_CHANGE="",IF(TITLE_NUMBER_PR="","",TITLE_NUMBER_PR),TITLE_NUMBER_PR_CHANGE)</f>
        <v/>
      </c>
      <c r="AD29" s="2281"/>
      <c r="AE29" s="2281"/>
      <c r="AF29" s="2281"/>
      <c r="AG29" s="2281"/>
      <c r="AH29" s="2281"/>
      <c r="AI29" s="337"/>
      <c r="AJ29" s="337"/>
      <c r="AK29" s="291"/>
      <c r="AL29" s="379"/>
      <c r="AM29" s="379"/>
      <c r="AN29" s="379"/>
      <c r="AO29" s="379"/>
      <c r="AP29" s="379"/>
      <c r="AQ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337"/>
      <c r="AC30" s="2281" t="str">
        <f>IF(TITLE_IST_PUB_CHANGE="",IF(TITLE_IST_PUB="","",TITLE_IST_PUB),TITLE_IST_PUB_CHANGE)</f>
        <v/>
      </c>
      <c r="AD30" s="2281"/>
      <c r="AE30" s="2281"/>
      <c r="AF30" s="2281"/>
      <c r="AG30" s="2281"/>
      <c r="AH30" s="2281"/>
      <c r="AI30" s="337"/>
      <c r="AJ30" s="337"/>
      <c r="AK30" s="291"/>
      <c r="AL30" s="379"/>
      <c r="AM30" s="379"/>
      <c r="AN30" s="379"/>
      <c r="AO30" s="379"/>
      <c r="AP30" s="379"/>
      <c r="AQ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520"/>
      <c r="AQ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337"/>
      <c r="AC32" s="2294" t="str">
        <f>IF(TITLE_DATE_PR_CHANGE="",IF(TITLE_DATE_PR="","",TITLE_DATE_PR),TITLE_DATE_PR_CHANGE)</f>
        <v/>
      </c>
      <c r="AD32" s="2294"/>
      <c r="AE32" s="2294"/>
      <c r="AF32" s="2294"/>
      <c r="AG32" s="2294"/>
      <c r="AH32" s="2294"/>
      <c r="AI32" s="337"/>
      <c r="AJ32" s="337"/>
      <c r="AK32" s="291"/>
      <c r="AL32" s="379"/>
      <c r="AM32" s="379"/>
      <c r="AN32" s="379"/>
      <c r="AO32" s="379"/>
      <c r="AP32" s="379"/>
      <c r="AQ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337"/>
      <c r="AC33" s="2281" t="str">
        <f>IF(TITLE_NUMBER_PR_CHANGE="",IF(TITLE_NUMBER_PR="","",TITLE_NUMBER_PR),TITLE_NUMBER_PR_CHANGE)</f>
        <v/>
      </c>
      <c r="AD33" s="2281"/>
      <c r="AE33" s="2281"/>
      <c r="AF33" s="2281"/>
      <c r="AG33" s="2281"/>
      <c r="AH33" s="2281"/>
      <c r="AI33" s="337"/>
      <c r="AJ33" s="337"/>
      <c r="AK33" s="291"/>
      <c r="AL33" s="379"/>
      <c r="AM33" s="379"/>
      <c r="AN33" s="379"/>
      <c r="AO33" s="379"/>
      <c r="AP33" s="379"/>
      <c r="AQ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337"/>
      <c r="X34" s="337"/>
      <c r="Y34" s="337"/>
      <c r="Z34" s="337"/>
      <c r="AA34" s="337"/>
      <c r="AB34" s="289" t="s">
        <v>437</v>
      </c>
      <c r="AC34" s="337"/>
      <c r="AD34" s="337"/>
      <c r="AE34" s="337"/>
      <c r="AF34" s="337"/>
      <c r="AG34" s="337"/>
      <c r="AH34" s="337"/>
      <c r="AI34" s="289" t="s">
        <v>437</v>
      </c>
      <c r="AL34" s="379"/>
      <c r="AM34" s="379"/>
      <c r="AN34" s="379"/>
      <c r="AO34" s="379"/>
      <c r="AP34" s="379"/>
      <c r="AQ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Q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t="s">
        <v>315</v>
      </c>
      <c r="AQ36" s="1166">
        <v>14</v>
      </c>
    </row>
    <row customHeight="1" ht="14.699999999999998">
      <c r="Q37" s="387"/>
      <c r="R37" s="387"/>
      <c r="S37" s="2303" t="s">
        <v>89</v>
      </c>
      <c r="T37" s="2239" t="s">
        <v>438</v>
      </c>
      <c r="U37" s="312"/>
      <c r="V37" s="2304" t="s">
        <v>439</v>
      </c>
      <c r="W37" s="2305"/>
      <c r="X37" s="2305"/>
      <c r="Y37" s="2305"/>
      <c r="Z37" s="2305"/>
      <c r="AA37" s="2306"/>
      <c r="AB37" s="2307" t="s">
        <v>440</v>
      </c>
      <c r="AC37" s="2304" t="s">
        <v>439</v>
      </c>
      <c r="AD37" s="2305"/>
      <c r="AE37" s="2305"/>
      <c r="AF37" s="2305"/>
      <c r="AG37" s="2305"/>
      <c r="AH37" s="2306"/>
      <c r="AI37" s="2307" t="s">
        <v>441</v>
      </c>
      <c r="AJ37" s="2310" t="s">
        <v>442</v>
      </c>
      <c r="AK37" s="2157"/>
      <c r="AQ37" s="1166">
        <v>14</v>
      </c>
    </row>
    <row customHeight="1" ht="35.699999999999996">
      <c r="Q38" s="387"/>
      <c r="R38" s="387"/>
      <c r="S38" s="2303"/>
      <c r="T38" s="2239"/>
      <c r="U38" s="1042"/>
      <c r="V38" s="1494" t="s">
        <v>501</v>
      </c>
      <c r="W38" s="2292" t="s">
        <v>445</v>
      </c>
      <c r="X38" s="2293"/>
      <c r="Y38" s="2292" t="s">
        <v>446</v>
      </c>
      <c r="Z38" s="2299"/>
      <c r="AA38" s="2293"/>
      <c r="AB38" s="2308"/>
      <c r="AC38" s="1494" t="s">
        <v>501</v>
      </c>
      <c r="AD38" s="2292" t="s">
        <v>445</v>
      </c>
      <c r="AE38" s="2293"/>
      <c r="AF38" s="2292" t="s">
        <v>446</v>
      </c>
      <c r="AG38" s="2299"/>
      <c r="AH38" s="2293"/>
      <c r="AI38" s="2308"/>
      <c r="AJ38" s="2311"/>
      <c r="AK38" s="2157"/>
      <c r="AQ38" s="1166">
        <v>34</v>
      </c>
    </row>
    <row customHeight="1" ht="90.3">
      <c r="A39" s="1381"/>
      <c r="B39" s="1381" t="s">
        <v>151</v>
      </c>
      <c r="C39" s="1381" t="s">
        <v>152</v>
      </c>
      <c r="D39" s="1381" t="s">
        <v>153</v>
      </c>
      <c r="E39" s="1375" t="s">
        <v>447</v>
      </c>
      <c r="F39" s="1375" t="s">
        <v>448</v>
      </c>
      <c r="G39" s="1375" t="s">
        <v>449</v>
      </c>
      <c r="H39" s="1375"/>
      <c r="I39" s="1375" t="s">
        <v>502</v>
      </c>
      <c r="J39" s="1375" t="s">
        <v>452</v>
      </c>
      <c r="K39" s="1375" t="s">
        <v>503</v>
      </c>
      <c r="L39" s="1375" t="s">
        <v>432</v>
      </c>
      <c r="Q39" s="387"/>
      <c r="R39" s="387"/>
      <c r="S39" s="2303"/>
      <c r="T39" s="2239"/>
      <c r="U39" s="313"/>
      <c r="V39" s="1494" t="s">
        <v>530</v>
      </c>
      <c r="W39" s="1233" t="s">
        <v>531</v>
      </c>
      <c r="X39" s="1233" t="s">
        <v>506</v>
      </c>
      <c r="Y39" s="1500" t="s">
        <v>456</v>
      </c>
      <c r="Z39" s="2300" t="s">
        <v>457</v>
      </c>
      <c r="AA39" s="2301"/>
      <c r="AB39" s="2309"/>
      <c r="AC39" s="1494" t="s">
        <v>530</v>
      </c>
      <c r="AD39" s="1233" t="s">
        <v>531</v>
      </c>
      <c r="AE39" s="1233" t="s">
        <v>506</v>
      </c>
      <c r="AF39" s="1500" t="s">
        <v>456</v>
      </c>
      <c r="AG39" s="2300" t="s">
        <v>457</v>
      </c>
      <c r="AH39" s="2301"/>
      <c r="AI39" s="2309"/>
      <c r="AJ39" s="2312"/>
      <c r="AK39" s="2157"/>
      <c r="AQ39" s="1166">
        <v>86</v>
      </c>
    </row>
    <row s="1652" customFormat="1" customHeight="1" ht="0">
      <c r="A40" s="1381"/>
      <c r="B40" s="1381"/>
      <c r="C40" s="1381"/>
      <c r="D40" s="1381"/>
      <c r="E40" s="1381"/>
      <c r="F40" s="1381"/>
      <c r="G40" s="1381"/>
      <c r="H40" s="1381"/>
      <c r="I40" s="1381"/>
      <c r="J40" s="1381"/>
      <c r="K40" s="1381"/>
      <c r="L40" s="1375"/>
      <c r="M40" s="1373"/>
      <c r="N40" s="1373"/>
      <c r="O40" s="1373"/>
      <c r="P40" s="1257"/>
      <c r="Q40" s="1258"/>
      <c r="R40" s="1265">
        <v>1</v>
      </c>
      <c r="S40" s="1288" t="s">
        <v>120</v>
      </c>
      <c r="T40" s="1266" t="s">
        <v>104</v>
      </c>
      <c r="U40" s="1256" t="str">
        <f>OFFSET(U40,0,-1)</f>
        <v>2</v>
      </c>
      <c r="V40" s="1493">
        <f>OFFSET(V40,0,-1)+1</f>
        <v>3</v>
      </c>
      <c r="W40" s="1493">
        <f>OFFSET(W40,0,-1)+1</f>
        <v>4</v>
      </c>
      <c r="X40" s="1493">
        <f>OFFSET(X40,0,-1)+1</f>
        <v>5</v>
      </c>
      <c r="Y40" s="1493">
        <f>OFFSET(Y40,0,-1)+1</f>
        <v>6</v>
      </c>
      <c r="Z40" s="2302">
        <f>OFFSET(Z40,0,-1)+1</f>
        <v>7</v>
      </c>
      <c r="AA40" s="2302"/>
      <c r="AB40" s="1493">
        <f>OFFSET(AB40,0,-2)+1</f>
        <v>8</v>
      </c>
      <c r="AC40" s="1493">
        <f>OFFSET(AC40,0,-1)+1</f>
        <v>9</v>
      </c>
      <c r="AD40" s="1493">
        <f>OFFSET(AD40,0,-1)+1</f>
        <v>10</v>
      </c>
      <c r="AE40" s="1493">
        <f>OFFSET(AE40,0,-1)+1</f>
        <v>11</v>
      </c>
      <c r="AF40" s="1493">
        <f>OFFSET(AF40,0,-1)+1</f>
        <v>12</v>
      </c>
      <c r="AG40" s="2302">
        <f>OFFSET(AG40,0,-1)+1</f>
        <v>13</v>
      </c>
      <c r="AH40" s="2302"/>
      <c r="AI40" s="1493">
        <f>OFFSET(AI40,0,-2)+1</f>
        <v>14</v>
      </c>
      <c r="AJ40" s="1256">
        <f>OFFSET(AJ40,0,-1)</f>
        <v>14</v>
      </c>
      <c r="AK40" s="1493">
        <f>OFFSET(AK40,0,-1)+1</f>
        <v>15</v>
      </c>
      <c r="AL40" s="522"/>
      <c r="AM40" s="522"/>
      <c r="AN40" s="522"/>
      <c r="AO40" s="522"/>
      <c r="AP40" s="522"/>
      <c r="AQ40" s="507">
        <v>0</v>
      </c>
    </row>
    <row customHeight="1" ht="24">
      <c r="A41" s="1374" t="s">
        <v>285</v>
      </c>
      <c r="B41" s="1374"/>
      <c r="C41" s="1374"/>
      <c r="D41" s="1374"/>
      <c r="E41" s="2288">
        <v>1</v>
      </c>
      <c r="F41" s="1374"/>
      <c r="G41" s="1374"/>
      <c r="H41" s="1374"/>
      <c r="I41" s="1374"/>
      <c r="J41" s="1374"/>
      <c r="K41" s="1374"/>
      <c r="L41" s="1375"/>
      <c r="M41" s="1376"/>
      <c r="N41" s="1376"/>
      <c r="O41" s="1376"/>
      <c r="P41" s="372"/>
      <c r="Q41" s="371"/>
      <c r="R41" s="366"/>
      <c r="S41" s="1504">
        <f>INDEX(PT_DIFFERENTIATION_NUM_NTAR,MATCH(A41,PT_DIFFERENTIATION_NTAR_ID,0))</f>
        <v>0</v>
      </c>
      <c r="T41" s="309" t="s">
        <v>139</v>
      </c>
      <c r="U41" s="311"/>
      <c r="V41" s="2272"/>
      <c r="W41" s="2273"/>
      <c r="X41" s="2273"/>
      <c r="Y41" s="2273"/>
      <c r="Z41" s="2273"/>
      <c r="AA41" s="2273"/>
      <c r="AB41" s="2274"/>
      <c r="AC41" s="2272" t="str">
        <f>INDEX(PT_DIFFERENTIATION_NTAR,MATCH(A41,PT_DIFFERENTIATION_NTAR_ID,0))</f>
        <v/>
      </c>
      <c r="AD41" s="2273"/>
      <c r="AE41" s="2273"/>
      <c r="AF41" s="2273"/>
      <c r="AG41" s="2273"/>
      <c r="AH41" s="2273"/>
      <c r="AI41" s="2273"/>
      <c r="AJ41" s="2274"/>
      <c r="AK41"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1"/>
      <c r="AN41" s="511" t="str">
        <f>IF(T41="","",T41)</f>
        <v>Наименование тарифа</v>
      </c>
      <c r="AO41" s="511"/>
      <c r="AP41" s="511"/>
      <c r="AQ41" s="1166">
        <v>23</v>
      </c>
    </row>
    <row customHeight="1" ht="24">
      <c r="A42" s="1374" t="s">
        <v>285</v>
      </c>
      <c r="B42" s="1374" t="s">
        <v>286</v>
      </c>
      <c r="C42" s="1374"/>
      <c r="D42" s="1374"/>
      <c r="E42" s="2289"/>
      <c r="F42" s="2288">
        <v>1</v>
      </c>
      <c r="G42" s="1374"/>
      <c r="H42" s="1374"/>
      <c r="I42" s="1374"/>
      <c r="J42" s="1374"/>
      <c r="K42" s="1374"/>
      <c r="L42" s="1375"/>
      <c r="M42" s="1376"/>
      <c r="N42" s="1376"/>
      <c r="O42" s="1376"/>
      <c r="P42" s="1498"/>
      <c r="Q42" s="363"/>
      <c r="R42" s="364"/>
      <c r="S42" s="1504" t="str">
        <f>INDEX(PT_DIFFERENTIATION_NUM_TER,MATCH(B42,PT_DIFFERENTIATION_TER_ID,0))</f>
        <v>.</v>
      </c>
      <c r="T42" s="319" t="s">
        <v>411</v>
      </c>
      <c r="U42" s="311"/>
      <c r="V42" s="2272"/>
      <c r="W42" s="2273"/>
      <c r="X42" s="2273"/>
      <c r="Y42" s="2273"/>
      <c r="Z42" s="2273"/>
      <c r="AA42" s="2273"/>
      <c r="AB42" s="2274"/>
      <c r="AC42" s="2272" t="str">
        <f>INDEX(PT_DIFFERENTIATION_TER,MATCH(B42,PT_DIFFERENTIATION_TER_ID,0))</f>
        <v/>
      </c>
      <c r="AD42" s="2273"/>
      <c r="AE42" s="2273"/>
      <c r="AF42" s="2273"/>
      <c r="AG42" s="2273"/>
      <c r="AH42" s="2273"/>
      <c r="AI42" s="2273"/>
      <c r="AJ42" s="2274"/>
      <c r="AK42" s="1269" t="s">
        <v>412</v>
      </c>
      <c r="AM42" s="511"/>
      <c r="AN42" s="511" t="str">
        <f>IF(T42="","",T42)</f>
        <v>Территория действия тарифа</v>
      </c>
      <c r="AO42" s="511"/>
      <c r="AP42" s="511"/>
      <c r="AQ42" s="1166">
        <v>23</v>
      </c>
    </row>
    <row customHeight="1" ht="24">
      <c r="A43" s="1374" t="s">
        <v>285</v>
      </c>
      <c r="B43" s="1374" t="s">
        <v>286</v>
      </c>
      <c r="C43" s="1374" t="s">
        <v>287</v>
      </c>
      <c r="D43" s="1374"/>
      <c r="E43" s="2289"/>
      <c r="F43" s="2289"/>
      <c r="G43" s="2288">
        <v>1</v>
      </c>
      <c r="H43" s="1374"/>
      <c r="I43" s="1374"/>
      <c r="J43" s="1374"/>
      <c r="K43" s="1374"/>
      <c r="L43" s="1375"/>
      <c r="M43" s="1376"/>
      <c r="N43" s="1376"/>
      <c r="O43" s="1376"/>
      <c r="P43" s="365"/>
      <c r="Q43" s="363"/>
      <c r="R43" s="364"/>
      <c r="S43" s="1504" t="str">
        <f>INDEX(PT_DIFFERENTIATION_NUM_CS,MATCH(C43,PT_DIFFERENTIATION_CS_ID,0))</f>
        <v>..</v>
      </c>
      <c r="T43" s="320" t="s">
        <v>528</v>
      </c>
      <c r="U43" s="311"/>
      <c r="V43" s="2272"/>
      <c r="W43" s="2273"/>
      <c r="X43" s="2273"/>
      <c r="Y43" s="2273"/>
      <c r="Z43" s="2273"/>
      <c r="AA43" s="2273"/>
      <c r="AB43" s="2274"/>
      <c r="AC43" s="2272" t="str">
        <f>INDEX(PT_DIFFERENTIATION_CS,MATCH(C43,PT_DIFFERENTIATION_CS_ID,0))</f>
        <v/>
      </c>
      <c r="AD43" s="2273"/>
      <c r="AE43" s="2273"/>
      <c r="AF43" s="2273"/>
      <c r="AG43" s="2273"/>
      <c r="AH43" s="2273"/>
      <c r="AI43" s="2273"/>
      <c r="AJ43" s="2274"/>
      <c r="AK43" s="1269" t="s">
        <v>529</v>
      </c>
      <c r="AM43" s="511"/>
      <c r="AN43" s="511" t="str">
        <f>IF(T43="","",T43)</f>
        <v>Наименование централизованной системы водоотведения</v>
      </c>
      <c r="AO43" s="511"/>
      <c r="AP43" s="511"/>
      <c r="AQ43" s="1166">
        <v>23</v>
      </c>
    </row>
    <row customHeight="1" ht="24">
      <c r="A44" s="1374" t="s">
        <v>285</v>
      </c>
      <c r="B44" s="1374" t="s">
        <v>286</v>
      </c>
      <c r="C44" s="1374" t="s">
        <v>287</v>
      </c>
      <c r="D44" s="1374" t="s">
        <v>533</v>
      </c>
      <c r="E44" s="2289"/>
      <c r="F44" s="2289"/>
      <c r="G44" s="2289"/>
      <c r="H44" s="2289"/>
      <c r="I44" s="2286" t="str">
        <f>S43&amp;".1"</f>
        <v>...1</v>
      </c>
      <c r="J44" s="1374"/>
      <c r="K44" s="1374"/>
      <c r="L44" s="1375"/>
      <c r="P44" s="2287">
        <v>1</v>
      </c>
      <c r="Q44" s="1492"/>
      <c r="R44" s="367"/>
      <c r="S44" s="1504" t="str">
        <f>$I44</f>
        <v>...1</v>
      </c>
      <c r="T44" s="296" t="s">
        <v>495</v>
      </c>
      <c r="U44" s="311"/>
      <c r="V44" s="2380"/>
      <c r="W44" s="2381"/>
      <c r="X44" s="2381"/>
      <c r="Y44" s="2381"/>
      <c r="Z44" s="2381"/>
      <c r="AA44" s="2381"/>
      <c r="AB44" s="2382"/>
      <c r="AC44" s="2383"/>
      <c r="AD44" s="2384"/>
      <c r="AE44" s="2384"/>
      <c r="AF44" s="2384"/>
      <c r="AG44" s="2384"/>
      <c r="AH44" s="2384"/>
      <c r="AI44" s="2384"/>
      <c r="AJ44" s="2385"/>
      <c r="AK44" s="1269" t="s">
        <v>496</v>
      </c>
      <c r="AM44" s="511"/>
      <c r="AN44" s="511" t="str">
        <f>IF(T44="","",T44)</f>
        <v>Наименование признака дифференциации</v>
      </c>
      <c r="AO44" s="511"/>
      <c r="AP44" s="511"/>
      <c r="AQ44" s="1166">
        <v>23</v>
      </c>
    </row>
    <row customHeight="1" ht="24">
      <c r="A45" s="1374" t="s">
        <v>285</v>
      </c>
      <c r="B45" s="1374" t="s">
        <v>286</v>
      </c>
      <c r="C45" s="1374" t="s">
        <v>287</v>
      </c>
      <c r="D45" s="1374" t="s">
        <v>533</v>
      </c>
      <c r="E45" s="2289"/>
      <c r="F45" s="2289"/>
      <c r="G45" s="2289"/>
      <c r="H45" s="2289"/>
      <c r="I45" s="2316"/>
      <c r="J45" s="2286" t="str">
        <f>I44&amp;".1"</f>
        <v>...1.1</v>
      </c>
      <c r="K45" s="1374"/>
      <c r="L45" s="1375" t="s">
        <v>420</v>
      </c>
      <c r="P45" s="2287"/>
      <c r="Q45" s="2287">
        <v>1</v>
      </c>
      <c r="R45" s="368"/>
      <c r="S45" s="1504" t="str">
        <f>$J45</f>
        <v>...1.1</v>
      </c>
      <c r="T45" s="297" t="s">
        <v>421</v>
      </c>
      <c r="U45" s="311"/>
      <c r="V45" s="2275"/>
      <c r="W45" s="2276"/>
      <c r="X45" s="2276"/>
      <c r="Y45" s="2276"/>
      <c r="Z45" s="2276"/>
      <c r="AA45" s="2276"/>
      <c r="AB45" s="2277"/>
      <c r="AC45" s="2275"/>
      <c r="AD45" s="2276"/>
      <c r="AE45" s="2276"/>
      <c r="AF45" s="2276"/>
      <c r="AG45" s="2276"/>
      <c r="AH45" s="2276"/>
      <c r="AI45" s="2276"/>
      <c r="AJ45" s="2277"/>
      <c r="AK45" s="1318" t="s">
        <v>497</v>
      </c>
      <c r="AM45" s="511"/>
      <c r="AN45" s="511" t="str">
        <f>IF(T45="","",T45)</f>
        <v>Группа потребителей</v>
      </c>
      <c r="AO45" s="511"/>
      <c r="AP45" s="511"/>
      <c r="AQ45" s="1166">
        <v>23</v>
      </c>
    </row>
    <row customHeight="1" ht="24">
      <c r="A46" s="1374" t="s">
        <v>285</v>
      </c>
      <c r="B46" s="1374" t="s">
        <v>286</v>
      </c>
      <c r="C46" s="1374" t="s">
        <v>287</v>
      </c>
      <c r="D46" s="1374" t="s">
        <v>533</v>
      </c>
      <c r="E46" s="2289"/>
      <c r="F46" s="2289"/>
      <c r="G46" s="2289"/>
      <c r="H46" s="2289"/>
      <c r="I46" s="2316"/>
      <c r="J46" s="2316"/>
      <c r="K46" s="2286" t="str">
        <f>J45&amp;".1"</f>
        <v>...1.1.1</v>
      </c>
      <c r="L46" s="1375"/>
      <c r="P46" s="2287"/>
      <c r="Q46" s="2287"/>
      <c r="R46" s="368">
        <v>1</v>
      </c>
      <c r="S46" s="1504" t="str">
        <f>$K46</f>
        <v>...1.1.1</v>
      </c>
      <c r="T46" s="1448"/>
      <c r="U46" s="311"/>
      <c r="V46" s="1371"/>
      <c r="W46" s="1371"/>
      <c r="X46" s="1372"/>
      <c r="Y46" s="2297"/>
      <c r="Z46" s="2298" t="s">
        <v>63</v>
      </c>
      <c r="AA46" s="2297"/>
      <c r="AB46" s="2298" t="s">
        <v>63</v>
      </c>
      <c r="AC46" s="762"/>
      <c r="AD46" s="762"/>
      <c r="AE46" s="1268"/>
      <c r="AF46" s="2295"/>
      <c r="AG46" s="2137" t="s">
        <v>63</v>
      </c>
      <c r="AH46" s="2317"/>
      <c r="AI46" s="2137" t="s">
        <v>19</v>
      </c>
      <c r="AJ46" s="1449"/>
      <c r="AK46"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2">
        <f>STRCHECKDATE(V47:AJ47)</f>
      </c>
      <c r="AM46" s="511"/>
      <c r="AN46" s="511" t="str">
        <f>IF(T46="","",T46)</f>
        <v/>
      </c>
      <c r="AO46" s="511"/>
      <c r="AP46" s="511"/>
      <c r="AQ46" s="1166">
        <v>23</v>
      </c>
    </row>
    <row customHeight="1" ht="0">
      <c r="A47" s="1374" t="s">
        <v>285</v>
      </c>
      <c r="B47" s="1374" t="s">
        <v>286</v>
      </c>
      <c r="C47" s="1374" t="s">
        <v>287</v>
      </c>
      <c r="D47" s="1374" t="s">
        <v>533</v>
      </c>
      <c r="E47" s="2289"/>
      <c r="F47" s="2289"/>
      <c r="G47" s="2289"/>
      <c r="H47" s="2289"/>
      <c r="I47" s="2316"/>
      <c r="J47" s="2316"/>
      <c r="K47" s="2286"/>
      <c r="L47" s="1375"/>
      <c r="P47" s="2287"/>
      <c r="Q47" s="2287"/>
      <c r="R47" s="368"/>
      <c r="S47" s="1501"/>
      <c r="T47" s="311"/>
      <c r="U47" s="311"/>
      <c r="V47" s="1371"/>
      <c r="W47" s="1371"/>
      <c r="X47" s="339" t="str">
        <f>Y46&amp;"-"&amp;AA46</f>
        <v>-</v>
      </c>
      <c r="Y47" s="2298"/>
      <c r="Z47" s="2298"/>
      <c r="AA47" s="2298"/>
      <c r="AB47" s="2298"/>
      <c r="AC47" s="336"/>
      <c r="AD47" s="336"/>
      <c r="AE47" s="339" t="str">
        <f>AF46&amp;"-"&amp;AH46</f>
        <v>-</v>
      </c>
      <c r="AF47" s="2296"/>
      <c r="AG47" s="2137"/>
      <c r="AH47" s="2318"/>
      <c r="AI47" s="2137"/>
      <c r="AJ47" s="1450"/>
      <c r="AK47" s="2379"/>
      <c r="AM47" s="511"/>
      <c r="AN47" s="511" t="str">
        <f>IF(T47="","",T47)</f>
        <v/>
      </c>
      <c r="AO47" s="511"/>
      <c r="AP47" s="511"/>
      <c r="AQ47" s="1166">
        <v>0</v>
      </c>
    </row>
    <row customHeight="1" ht="21">
      <c r="A48" s="1374" t="s">
        <v>285</v>
      </c>
      <c r="B48" s="1374" t="s">
        <v>286</v>
      </c>
      <c r="C48" s="1374" t="s">
        <v>287</v>
      </c>
      <c r="D48" s="1374" t="s">
        <v>533</v>
      </c>
      <c r="E48" s="2289"/>
      <c r="F48" s="2289"/>
      <c r="G48" s="2289"/>
      <c r="H48" s="2289"/>
      <c r="I48" s="2316"/>
      <c r="J48" s="2286"/>
      <c r="K48" s="1374"/>
      <c r="L48" s="1375"/>
      <c r="P48" s="2287"/>
      <c r="Q48" s="2287"/>
      <c r="R48" s="367"/>
      <c r="S48" s="1289"/>
      <c r="T48" s="298" t="s">
        <v>498</v>
      </c>
      <c r="U48" s="378"/>
      <c r="V48" s="378"/>
      <c r="W48" s="378"/>
      <c r="X48" s="378"/>
      <c r="Y48" s="378"/>
      <c r="Z48" s="378"/>
      <c r="AA48" s="378"/>
      <c r="AB48" s="378"/>
      <c r="AC48" s="378"/>
      <c r="AD48" s="378"/>
      <c r="AE48" s="378"/>
      <c r="AF48" s="378"/>
      <c r="AG48" s="378"/>
      <c r="AH48" s="378"/>
      <c r="AI48" s="378"/>
      <c r="AJ48" s="378"/>
      <c r="AK48" s="1269" t="s">
        <v>499</v>
      </c>
      <c r="AM48" s="511"/>
      <c r="AN48" s="511" t="str">
        <f>IF(T48="","",T48)</f>
        <v>Добавить значение признака дифференциации</v>
      </c>
      <c r="AO48" s="511"/>
      <c r="AP48" s="511"/>
      <c r="AQ48" s="1166">
        <v>20</v>
      </c>
    </row>
    <row customHeight="1" ht="22.049999999999997">
      <c r="A49" s="1374" t="s">
        <v>285</v>
      </c>
      <c r="B49" s="1374" t="s">
        <v>286</v>
      </c>
      <c r="C49" s="1374" t="s">
        <v>287</v>
      </c>
      <c r="D49" s="1374" t="s">
        <v>533</v>
      </c>
      <c r="E49" s="2289"/>
      <c r="F49" s="2289"/>
      <c r="G49" s="2289"/>
      <c r="H49" s="2289"/>
      <c r="I49" s="2286"/>
      <c r="J49" s="1374"/>
      <c r="K49" s="1374"/>
      <c r="L49" s="1375"/>
      <c r="P49" s="2287"/>
      <c r="Q49" s="1492"/>
      <c r="R49" s="367"/>
      <c r="S49" s="1289"/>
      <c r="T49" s="376" t="s">
        <v>426</v>
      </c>
      <c r="U49" s="378"/>
      <c r="V49" s="378"/>
      <c r="W49" s="378"/>
      <c r="X49" s="378"/>
      <c r="Y49" s="378"/>
      <c r="Z49" s="378"/>
      <c r="AA49" s="378"/>
      <c r="AB49" s="377"/>
      <c r="AC49" s="378"/>
      <c r="AD49" s="378"/>
      <c r="AE49" s="378"/>
      <c r="AF49" s="378"/>
      <c r="AG49" s="378"/>
      <c r="AH49" s="378"/>
      <c r="AI49" s="377"/>
      <c r="AJ49" s="378"/>
      <c r="AK49" s="1451"/>
      <c r="AM49" s="511"/>
      <c r="AN49" s="511" t="str">
        <f>IF(T49="","",T49)</f>
        <v>Добавить группу потребителей</v>
      </c>
      <c r="AO49" s="511"/>
      <c r="AP49" s="511"/>
      <c r="AQ49" s="1166">
        <v>21</v>
      </c>
    </row>
    <row customHeight="1" ht="22.049999999999997">
      <c r="A50" s="1374" t="s">
        <v>285</v>
      </c>
      <c r="B50" s="1374" t="s">
        <v>286</v>
      </c>
      <c r="C50" s="1374" t="s">
        <v>287</v>
      </c>
      <c r="D50" s="1374" t="s">
        <v>533</v>
      </c>
      <c r="E50" s="2289"/>
      <c r="F50" s="2289"/>
      <c r="G50" s="2289"/>
      <c r="H50" s="2288"/>
      <c r="I50" s="1374"/>
      <c r="J50" s="1374"/>
      <c r="K50" s="1374"/>
      <c r="L50" s="1375"/>
      <c r="M50" s="1376"/>
      <c r="N50" s="1376"/>
      <c r="O50" s="548"/>
      <c r="P50" s="371"/>
      <c r="Q50" s="386"/>
      <c r="R50" s="366"/>
      <c r="S50" s="1289"/>
      <c r="T50" s="383" t="s">
        <v>500</v>
      </c>
      <c r="U50" s="378"/>
      <c r="V50" s="378"/>
      <c r="W50" s="378"/>
      <c r="X50" s="378"/>
      <c r="Y50" s="378"/>
      <c r="Z50" s="378"/>
      <c r="AA50" s="378"/>
      <c r="AB50" s="377"/>
      <c r="AC50" s="378"/>
      <c r="AD50" s="378"/>
      <c r="AE50" s="378"/>
      <c r="AF50" s="378"/>
      <c r="AG50" s="378"/>
      <c r="AH50" s="378"/>
      <c r="AI50" s="377"/>
      <c r="AJ50" s="378"/>
      <c r="AK50" s="314"/>
      <c r="AM50" s="511"/>
      <c r="AN50" s="511" t="str">
        <f>IF(T50="","",T50)</f>
        <v>Добавить наименование признака дифференциации</v>
      </c>
      <c r="AO50" s="511"/>
      <c r="AP50" s="511"/>
      <c r="AQ50" s="1166">
        <v>21</v>
      </c>
    </row>
    <row s="1653" customFormat="1" customHeight="1" ht="0">
      <c r="A51" s="1354" t="s">
        <v>285</v>
      </c>
      <c r="B51" s="1354" t="s">
        <v>286</v>
      </c>
      <c r="C51" s="1325"/>
      <c r="D51" s="1325"/>
      <c r="E51" s="2289"/>
      <c r="F51" s="2288"/>
      <c r="G51" s="1325"/>
      <c r="H51" s="1325"/>
      <c r="I51" s="1325"/>
      <c r="J51" s="1325"/>
      <c r="K51" s="1325"/>
      <c r="L51" s="1505"/>
      <c r="M51" s="1332"/>
      <c r="N51" s="1332"/>
      <c r="P51" s="1327"/>
      <c r="Q51" s="1328"/>
      <c r="R51" s="1327"/>
      <c r="S51" s="1333"/>
      <c r="T51" s="1336" t="s">
        <v>429</v>
      </c>
      <c r="U51" s="1335"/>
      <c r="V51" s="1335"/>
      <c r="W51" s="1335"/>
      <c r="X51" s="1335"/>
      <c r="Y51" s="1335"/>
      <c r="Z51" s="1335"/>
      <c r="AA51" s="1335"/>
      <c r="AB51" s="1335"/>
      <c r="AC51" s="1335"/>
      <c r="AD51" s="1335"/>
      <c r="AE51" s="1335"/>
      <c r="AF51" s="1335"/>
      <c r="AG51" s="1335"/>
      <c r="AH51" s="1335"/>
      <c r="AI51" s="1335"/>
      <c r="AJ51" s="1335"/>
      <c r="AK51" s="1335"/>
      <c r="AM51" s="800"/>
      <c r="AN51" s="800" t="str">
        <f>IF(T51="","",T51)</f>
        <v>Добавить централизованную систему для дифференциации</v>
      </c>
      <c r="AO51" s="800"/>
      <c r="AP51" s="800"/>
      <c r="AQ51" s="529">
        <v>0</v>
      </c>
    </row>
    <row s="1653" customFormat="1" customHeight="1" ht="0">
      <c r="A52" s="1354" t="s">
        <v>285</v>
      </c>
      <c r="B52" s="1354"/>
      <c r="C52" s="1354"/>
      <c r="D52" s="1354"/>
      <c r="E52" s="2288"/>
      <c r="F52" s="1354"/>
      <c r="G52" s="1354"/>
      <c r="H52" s="1354"/>
      <c r="I52" s="1354"/>
      <c r="J52" s="1354"/>
      <c r="K52" s="1354"/>
      <c r="L52" s="1357"/>
      <c r="M52" s="1332"/>
      <c r="N52" s="1332"/>
      <c r="O52" s="529"/>
      <c r="P52" s="391"/>
      <c r="Q52" s="1355"/>
      <c r="R52" s="391"/>
      <c r="S52" s="1333"/>
      <c r="T52" s="1336" t="s">
        <v>430</v>
      </c>
      <c r="U52" s="1335"/>
      <c r="V52" s="1335"/>
      <c r="W52" s="1335"/>
      <c r="X52" s="1335"/>
      <c r="Y52" s="1335"/>
      <c r="Z52" s="1335"/>
      <c r="AA52" s="1335"/>
      <c r="AB52" s="1335"/>
      <c r="AC52" s="1335"/>
      <c r="AD52" s="1335"/>
      <c r="AE52" s="1335"/>
      <c r="AF52" s="1335"/>
      <c r="AG52" s="1335"/>
      <c r="AH52" s="1335"/>
      <c r="AI52" s="1335"/>
      <c r="AJ52" s="1335"/>
      <c r="AK52" s="1335"/>
      <c r="AM52" s="511"/>
      <c r="AN52" s="511" t="str">
        <f>IF(T52="","",T52)</f>
        <v>Добавить территорию для дифференциации</v>
      </c>
      <c r="AO52" s="511"/>
      <c r="AP52" s="511"/>
      <c r="AQ52" s="522">
        <v>0</v>
      </c>
    </row>
    <row s="1653" customFormat="1" customHeight="1" ht="0">
      <c r="A53" s="1325"/>
      <c r="B53" s="1325"/>
      <c r="C53" s="1325"/>
      <c r="D53" s="1325"/>
      <c r="E53" s="1354"/>
      <c r="F53" s="1325"/>
      <c r="G53" s="1325"/>
      <c r="H53" s="1325"/>
      <c r="I53" s="1325"/>
      <c r="J53" s="1325"/>
      <c r="K53" s="1325"/>
      <c r="L53" s="1505"/>
      <c r="M53" s="1332"/>
      <c r="N53" s="1332"/>
      <c r="P53" s="1327"/>
      <c r="Q53" s="1328"/>
      <c r="R53" s="1327"/>
      <c r="S53" s="1333"/>
      <c r="T53" s="1336" t="s">
        <v>458</v>
      </c>
      <c r="U53" s="1335"/>
      <c r="V53" s="1335"/>
      <c r="W53" s="1335"/>
      <c r="X53" s="1335"/>
      <c r="Y53" s="1335"/>
      <c r="Z53" s="1335"/>
      <c r="AA53" s="1335"/>
      <c r="AB53" s="1335"/>
      <c r="AC53" s="1335"/>
      <c r="AD53" s="1335"/>
      <c r="AE53" s="1335"/>
      <c r="AF53" s="1335"/>
      <c r="AG53" s="1335"/>
      <c r="AH53" s="1335"/>
      <c r="AI53" s="1335"/>
      <c r="AJ53" s="1335"/>
      <c r="AK53" s="1335"/>
      <c r="AM53" s="800"/>
      <c r="AN53" s="800" t="str">
        <f>IF(T53="","",T53)</f>
        <v>Добавить наименование тарифа</v>
      </c>
      <c r="AO53" s="800"/>
      <c r="AP53" s="800"/>
      <c r="AQ53" s="529">
        <v>0</v>
      </c>
    </row>
    <row customHeight="1" ht="11.549999999999999">
      <c r="M54" s="1171"/>
      <c r="N54" s="1171"/>
      <c r="O54" s="548"/>
      <c r="P54" s="1166"/>
      <c r="Q54" s="1166"/>
      <c r="R54" s="1166"/>
      <c r="S54" s="1166"/>
      <c r="AL54" s="1166"/>
      <c r="AM54" s="1166"/>
      <c r="AN54" s="1166"/>
      <c r="AO54" s="1166"/>
      <c r="AP54" s="1166"/>
      <c r="AQ54" s="1166">
        <v>11</v>
      </c>
    </row>
    <row customHeight="1" ht="14.699999999999998">
      <c r="O55" s="548"/>
      <c r="S55" s="1264"/>
      <c r="T55" s="2315"/>
      <c r="U55" s="2315"/>
      <c r="V55" s="2315"/>
      <c r="W55" s="2315"/>
      <c r="X55" s="2315"/>
      <c r="Y55" s="2315"/>
      <c r="Z55" s="2315"/>
      <c r="AA55" s="2315"/>
      <c r="AB55" s="2315"/>
      <c r="AC55" s="2315"/>
      <c r="AD55" s="2315"/>
      <c r="AE55" s="2315"/>
      <c r="AF55" s="2315"/>
      <c r="AG55" s="2315"/>
      <c r="AH55" s="2315"/>
      <c r="AI55" s="2315"/>
      <c r="AJ55" s="2315"/>
      <c r="AK55" s="2315"/>
      <c r="AQ55" s="1166">
        <v>14</v>
      </c>
    </row>
    <row customHeight="1" ht="14.699999999999998">
      <c r="O56" s="548"/>
      <c r="AQ56" s="1166">
        <v>14</v>
      </c>
    </row>
    <row customHeight="1" ht="14.699999999999998">
      <c r="O57" s="548"/>
      <c r="S57" s="1264"/>
      <c r="T57" s="2315"/>
      <c r="U57" s="2315"/>
      <c r="V57" s="2315"/>
      <c r="W57" s="2315"/>
      <c r="X57" s="2315"/>
      <c r="Y57" s="2315"/>
      <c r="Z57" s="2315"/>
      <c r="AA57" s="2315"/>
      <c r="AB57" s="2315"/>
      <c r="AC57" s="2315"/>
      <c r="AD57" s="2315"/>
      <c r="AE57" s="2315"/>
      <c r="AF57" s="2315"/>
      <c r="AG57" s="2315"/>
      <c r="AH57" s="2315"/>
      <c r="AI57" s="2315"/>
      <c r="AJ57" s="2315"/>
      <c r="AK57" s="2315"/>
      <c r="AQ57" s="1166">
        <v>14</v>
      </c>
    </row>
    <row customHeight="1" ht="22.5" hidden="1">
      <c r="A58" s="1171" t="s">
        <v>83</v>
      </c>
      <c r="B58" s="1171">
        <v>0</v>
      </c>
      <c r="C58" s="1171">
        <v>0</v>
      </c>
      <c r="D58" s="1171">
        <v>0</v>
      </c>
      <c r="E58" s="1171">
        <v>0</v>
      </c>
      <c r="F58" s="1171">
        <v>0</v>
      </c>
      <c r="G58" s="1171">
        <v>0</v>
      </c>
      <c r="H58" s="1171">
        <v>0</v>
      </c>
      <c r="I58" s="1171">
        <v>0</v>
      </c>
      <c r="J58" s="1171">
        <v>0</v>
      </c>
      <c r="K58" s="1171">
        <v>0</v>
      </c>
      <c r="L58" s="1489">
        <v>0</v>
      </c>
      <c r="M58" s="1373">
        <v>0</v>
      </c>
      <c r="N58" s="1373">
        <v>0</v>
      </c>
      <c r="O58" s="1373">
        <v>0</v>
      </c>
      <c r="P58" s="1484">
        <v>3</v>
      </c>
      <c r="Q58" s="355">
        <v>3</v>
      </c>
      <c r="R58" s="355">
        <v>3</v>
      </c>
      <c r="S58" s="592">
        <v>12</v>
      </c>
      <c r="T58" s="1166">
        <v>35</v>
      </c>
      <c r="U58" s="1166">
        <v>0</v>
      </c>
      <c r="V58" s="1166">
        <v>0</v>
      </c>
      <c r="W58" s="1166">
        <v>0</v>
      </c>
      <c r="X58" s="1166">
        <v>0</v>
      </c>
      <c r="Y58" s="1166">
        <v>0</v>
      </c>
      <c r="Z58" s="1166">
        <v>0</v>
      </c>
      <c r="AA58" s="1166">
        <v>0</v>
      </c>
      <c r="AB58" s="1166">
        <v>0</v>
      </c>
      <c r="AC58" s="1166">
        <v>24</v>
      </c>
      <c r="AD58" s="1166">
        <v>24</v>
      </c>
      <c r="AE58" s="1166">
        <v>24</v>
      </c>
      <c r="AF58" s="1166">
        <v>11</v>
      </c>
      <c r="AG58" s="1166">
        <v>3</v>
      </c>
      <c r="AH58" s="1166">
        <v>11</v>
      </c>
      <c r="AI58" s="1166">
        <v>0</v>
      </c>
      <c r="AJ58" s="1166">
        <v>4</v>
      </c>
      <c r="AK58" s="1166">
        <v>115</v>
      </c>
      <c r="AL58" s="522">
        <v>10</v>
      </c>
      <c r="AM58" s="522">
        <v>10</v>
      </c>
      <c r="AN58" s="522">
        <v>10</v>
      </c>
      <c r="AO58" s="522">
        <v>10</v>
      </c>
      <c r="AP58" s="522">
        <v>10</v>
      </c>
      <c r="AQ58" s="11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DC638-E648-89AB-9746-7CF40520837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1786" width="3.7109375" hidden="1" customWidth="1"/>
    <col min="17" max="17" style="1382" width="3.7109375" hidden="1" customWidth="1"/>
    <col min="18" max="18" style="355" width="3.00390625" customWidth="1"/>
    <col min="19" max="19" style="2437"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88">
        <v>1</v>
      </c>
      <c r="F2" s="1374"/>
      <c r="G2" s="1374"/>
      <c r="H2" s="1374"/>
      <c r="I2" s="1374"/>
      <c r="J2" s="1374"/>
      <c r="K2" s="1374"/>
      <c r="L2" s="1375"/>
      <c r="M2" s="1376"/>
      <c r="N2" s="1376"/>
      <c r="O2" s="1376"/>
      <c r="P2" s="1420"/>
      <c r="Q2" s="884"/>
      <c r="R2" s="366"/>
      <c r="S2" s="1504">
        <f>INDEX(PT_DIFFERENTIATION_NUM_NTAR,MATCH(A2,PT_DIFFERENTIATION_NTAR_ID,0))</f>
      </c>
      <c r="T2" s="309" t="s">
        <v>139</v>
      </c>
      <c r="U2" s="311"/>
      <c r="V2" s="2273"/>
      <c r="W2" s="2273"/>
      <c r="X2" s="2273"/>
      <c r="Y2" s="2273"/>
      <c r="Z2" s="2273"/>
      <c r="AA2" s="2273"/>
      <c r="AB2" s="2273"/>
      <c r="AC2" s="2274"/>
      <c r="AD2" s="2272">
        <f>INDEX(PT_DIFFERENTIATION_NTAR,MATCH(A2,PT_DIFFERENTIATION_NTAR_ID,0))</f>
      </c>
      <c r="AE2" s="2273"/>
      <c r="AF2" s="2273"/>
      <c r="AG2" s="2273"/>
      <c r="AH2" s="2273"/>
      <c r="AI2" s="2273"/>
      <c r="AJ2" s="2273"/>
      <c r="AK2" s="2273"/>
      <c r="AL2" s="2273"/>
      <c r="AM2" s="2273"/>
      <c r="AN2" s="2273"/>
      <c r="AO2" s="2273"/>
      <c r="AP2" s="2273"/>
      <c r="AQ2" s="2273"/>
      <c r="AR2" s="2273"/>
      <c r="AS2" s="2273"/>
      <c r="AT2" s="2273"/>
      <c r="AU2" s="2273"/>
      <c r="AV2" s="2273"/>
      <c r="AW2" s="2273"/>
      <c r="AX2" s="2273"/>
      <c r="AY2" s="2273"/>
      <c r="AZ2" s="2273"/>
      <c r="BA2" s="2273"/>
      <c r="BB2" s="2274"/>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89"/>
      <c r="F3" s="2288">
        <v>1</v>
      </c>
      <c r="G3" s="1374"/>
      <c r="H3" s="1374"/>
      <c r="I3" s="1374"/>
      <c r="J3" s="1374"/>
      <c r="K3" s="1374"/>
      <c r="L3" s="1375"/>
      <c r="M3" s="1376"/>
      <c r="N3" s="1376"/>
      <c r="O3" s="1376"/>
      <c r="P3" s="1421"/>
      <c r="Q3" s="1422"/>
      <c r="R3" s="364"/>
      <c r="S3" s="1504">
        <f>INDEX(PT_DIFFERENTIATION_NUM_TER,MATCH(B3,PT_DIFFERENTIATION_TER_ID,0))</f>
      </c>
      <c r="T3" s="319" t="s">
        <v>411</v>
      </c>
      <c r="U3" s="311"/>
      <c r="V3" s="2273"/>
      <c r="W3" s="2273"/>
      <c r="X3" s="2273"/>
      <c r="Y3" s="2273"/>
      <c r="Z3" s="2273"/>
      <c r="AA3" s="2273"/>
      <c r="AB3" s="2273"/>
      <c r="AC3" s="2274"/>
      <c r="AD3" s="2272">
        <f>INDEX(PT_DIFFERENTIATION_TER,MATCH(B3,PT_DIFFERENTIATION_TER_ID,0))</f>
      </c>
      <c r="AE3" s="2273"/>
      <c r="AF3" s="2273"/>
      <c r="AG3" s="2273"/>
      <c r="AH3" s="2273"/>
      <c r="AI3" s="2273"/>
      <c r="AJ3" s="2273"/>
      <c r="AK3" s="2273"/>
      <c r="AL3" s="2273"/>
      <c r="AM3" s="2273"/>
      <c r="AN3" s="2273"/>
      <c r="AO3" s="2273"/>
      <c r="AP3" s="2273"/>
      <c r="AQ3" s="2273"/>
      <c r="AR3" s="2273"/>
      <c r="AS3" s="2273"/>
      <c r="AT3" s="2273"/>
      <c r="AU3" s="2273"/>
      <c r="AV3" s="2273"/>
      <c r="AW3" s="2273"/>
      <c r="AX3" s="2273"/>
      <c r="AY3" s="2273"/>
      <c r="AZ3" s="2273"/>
      <c r="BA3" s="2273"/>
      <c r="BB3" s="2274"/>
      <c r="BC3" s="1269" t="s">
        <v>412</v>
      </c>
      <c r="BE3" s="511"/>
      <c r="BF3" s="511" t="str">
        <f>IF(T3="","",T3)</f>
        <v>Территория действия тарифа</v>
      </c>
      <c r="BG3" s="511"/>
      <c r="BH3" s="511"/>
      <c r="BI3" s="1166">
        <v>0</v>
      </c>
    </row>
    <row customHeight="1" ht="33.75" hidden="1">
      <c r="A4" s="1374"/>
      <c r="B4" s="1374"/>
      <c r="C4" s="1374"/>
      <c r="D4" s="1374"/>
      <c r="E4" s="2289"/>
      <c r="F4" s="2289"/>
      <c r="G4" s="2288">
        <v>1</v>
      </c>
      <c r="H4" s="1374"/>
      <c r="I4" s="1374"/>
      <c r="J4" s="1374"/>
      <c r="K4" s="1374"/>
      <c r="L4" s="1375"/>
      <c r="M4" s="1376"/>
      <c r="N4" s="1376"/>
      <c r="O4" s="1376"/>
      <c r="P4" s="1423"/>
      <c r="Q4" s="1422"/>
      <c r="R4" s="364"/>
      <c r="S4" s="1504">
        <f>INDEX(PT_DIFFERENTIATION_NUM_CS,MATCH(C4,PT_DIFFERENTIATION_CS_ID,0))</f>
      </c>
      <c r="T4" s="320" t="s">
        <v>528</v>
      </c>
      <c r="U4" s="311"/>
      <c r="V4" s="2273"/>
      <c r="W4" s="2273"/>
      <c r="X4" s="2273"/>
      <c r="Y4" s="2273"/>
      <c r="Z4" s="2273"/>
      <c r="AA4" s="2273"/>
      <c r="AB4" s="2273"/>
      <c r="AC4" s="2274"/>
      <c r="AD4" s="2272">
        <f>INDEX(PT_DIFFERENTIATION_CS,MATCH(C4,PT_DIFFERENTIATION_CS_ID,0))</f>
      </c>
      <c r="AE4" s="2273"/>
      <c r="AF4" s="2273"/>
      <c r="AG4" s="2273"/>
      <c r="AH4" s="2273"/>
      <c r="AI4" s="2273"/>
      <c r="AJ4" s="2273"/>
      <c r="AK4" s="2273"/>
      <c r="AL4" s="2273"/>
      <c r="AM4" s="2273"/>
      <c r="AN4" s="2273"/>
      <c r="AO4" s="2273"/>
      <c r="AP4" s="2273"/>
      <c r="AQ4" s="2273"/>
      <c r="AR4" s="2273"/>
      <c r="AS4" s="2273"/>
      <c r="AT4" s="2273"/>
      <c r="AU4" s="2273"/>
      <c r="AV4" s="2273"/>
      <c r="AW4" s="2273"/>
      <c r="AX4" s="2273"/>
      <c r="AY4" s="2273"/>
      <c r="AZ4" s="2273"/>
      <c r="BA4" s="2273"/>
      <c r="BB4" s="2274"/>
      <c r="BC4" s="1269" t="s">
        <v>529</v>
      </c>
      <c r="BE4" s="511"/>
      <c r="BF4" s="511" t="str">
        <f>IF(T4="","",T4)</f>
        <v>Наименование централизованной системы водоотведения</v>
      </c>
      <c r="BG4" s="511"/>
      <c r="BH4" s="511"/>
      <c r="BI4" s="1166">
        <v>0</v>
      </c>
    </row>
    <row s="1653" customFormat="1" customHeight="1" ht="14.25" hidden="1">
      <c r="A5" s="1354"/>
      <c r="B5" s="1354"/>
      <c r="C5" s="1354"/>
      <c r="D5" s="1354"/>
      <c r="E5" s="2289"/>
      <c r="F5" s="2289"/>
      <c r="G5" s="2289"/>
      <c r="H5" s="2288">
        <v>1</v>
      </c>
      <c r="I5" s="1354"/>
      <c r="J5" s="1354"/>
      <c r="K5" s="1354"/>
      <c r="L5" s="1357"/>
      <c r="M5" s="1326"/>
      <c r="N5" s="1326"/>
      <c r="O5" s="1326"/>
      <c r="P5" s="1508"/>
      <c r="Q5" s="1509"/>
      <c r="R5" s="368"/>
      <c r="S5" s="1053"/>
      <c r="T5" s="1510"/>
      <c r="U5" s="1395"/>
      <c r="V5" s="2327"/>
      <c r="W5" s="2327"/>
      <c r="X5" s="2327"/>
      <c r="Y5" s="2327"/>
      <c r="Z5" s="2327"/>
      <c r="AA5" s="2327"/>
      <c r="AB5" s="2327"/>
      <c r="AC5" s="2328"/>
      <c r="AD5" s="2326"/>
      <c r="AE5" s="2327"/>
      <c r="AF5" s="2327"/>
      <c r="AG5" s="2327"/>
      <c r="AH5" s="2327"/>
      <c r="AI5" s="2327"/>
      <c r="AJ5" s="2327"/>
      <c r="AK5" s="2327"/>
      <c r="AL5" s="2327"/>
      <c r="AM5" s="2327"/>
      <c r="AN5" s="2327"/>
      <c r="AO5" s="2327"/>
      <c r="AP5" s="2327"/>
      <c r="AQ5" s="2327"/>
      <c r="AR5" s="2327"/>
      <c r="AS5" s="2327"/>
      <c r="AT5" s="2327"/>
      <c r="AU5" s="2327"/>
      <c r="AV5" s="2327"/>
      <c r="AW5" s="2327"/>
      <c r="AX5" s="2327"/>
      <c r="AY5" s="2327"/>
      <c r="AZ5" s="2327"/>
      <c r="BA5" s="2327"/>
      <c r="BB5" s="2328"/>
      <c r="BC5" s="1396" t="s">
        <v>416</v>
      </c>
      <c r="BE5" s="511"/>
      <c r="BF5" s="511" t="str">
        <f>IF(T5="","",T5)</f>
        <v/>
      </c>
      <c r="BG5" s="511"/>
      <c r="BH5" s="511"/>
      <c r="BI5" s="522">
        <v>0</v>
      </c>
    </row>
    <row s="1653" customFormat="1" customHeight="1" ht="14.25" hidden="1">
      <c r="A6" s="1354"/>
      <c r="B6" s="1354"/>
      <c r="C6" s="1354"/>
      <c r="D6" s="1354"/>
      <c r="E6" s="2289"/>
      <c r="F6" s="2289"/>
      <c r="G6" s="2289"/>
      <c r="H6" s="2289"/>
      <c r="I6" s="2286" t="str">
        <f>S5&amp;".1"</f>
        <v>.1</v>
      </c>
      <c r="J6" s="1354"/>
      <c r="K6" s="1354"/>
      <c r="L6" s="1357" t="s">
        <v>417</v>
      </c>
      <c r="M6" s="521"/>
      <c r="N6" s="521"/>
      <c r="O6" s="521"/>
      <c r="P6" s="2287">
        <v>1</v>
      </c>
      <c r="Q6" s="1492"/>
      <c r="R6" s="367"/>
      <c r="S6" s="1053"/>
      <c r="T6" s="1394"/>
      <c r="U6" s="1395"/>
      <c r="V6" s="2327"/>
      <c r="W6" s="2327"/>
      <c r="X6" s="2327"/>
      <c r="Y6" s="2327"/>
      <c r="Z6" s="2327"/>
      <c r="AA6" s="2327"/>
      <c r="AB6" s="2327"/>
      <c r="AC6" s="2328"/>
      <c r="AD6" s="2326"/>
      <c r="AE6" s="2327"/>
      <c r="AF6" s="2327"/>
      <c r="AG6" s="2327"/>
      <c r="AH6" s="2327"/>
      <c r="AI6" s="2327"/>
      <c r="AJ6" s="2327"/>
      <c r="AK6" s="2327"/>
      <c r="AL6" s="2327"/>
      <c r="AM6" s="2327"/>
      <c r="AN6" s="2327"/>
      <c r="AO6" s="2327"/>
      <c r="AP6" s="2327"/>
      <c r="AQ6" s="2327"/>
      <c r="AR6" s="2327"/>
      <c r="AS6" s="2327"/>
      <c r="AT6" s="2327"/>
      <c r="AU6" s="2327"/>
      <c r="AV6" s="2327"/>
      <c r="AW6" s="2327"/>
      <c r="AX6" s="2327"/>
      <c r="AY6" s="2327"/>
      <c r="AZ6" s="2327"/>
      <c r="BA6" s="2327"/>
      <c r="BB6" s="2328"/>
      <c r="BC6" s="1396"/>
      <c r="BE6" s="511"/>
      <c r="BF6" s="511" t="str">
        <f>IF(T6="","",T6)</f>
        <v/>
      </c>
      <c r="BG6" s="511"/>
      <c r="BH6" s="511"/>
      <c r="BI6" s="522">
        <v>0</v>
      </c>
    </row>
    <row s="1653" customFormat="1" customHeight="1" ht="14.25" hidden="1">
      <c r="A7" s="1354"/>
      <c r="B7" s="1354"/>
      <c r="C7" s="1354"/>
      <c r="D7" s="1354"/>
      <c r="E7" s="2289"/>
      <c r="F7" s="2289"/>
      <c r="G7" s="2289"/>
      <c r="H7" s="2289"/>
      <c r="I7" s="2316"/>
      <c r="J7" s="2286" t="str">
        <f>S5&amp;".1"</f>
        <v>.1</v>
      </c>
      <c r="K7" s="1354"/>
      <c r="L7" s="1357"/>
      <c r="M7" s="521"/>
      <c r="N7" s="521"/>
      <c r="O7" s="521"/>
      <c r="P7" s="2287"/>
      <c r="Q7" s="2287">
        <v>1</v>
      </c>
      <c r="R7" s="368"/>
      <c r="S7" s="1053"/>
      <c r="T7" s="1410"/>
      <c r="U7" s="1395"/>
      <c r="V7" s="2327"/>
      <c r="W7" s="2327"/>
      <c r="X7" s="2327"/>
      <c r="Y7" s="2327"/>
      <c r="Z7" s="2327"/>
      <c r="AA7" s="2327"/>
      <c r="AB7" s="2327"/>
      <c r="AC7" s="2328"/>
      <c r="AD7" s="2326"/>
      <c r="AE7" s="2327"/>
      <c r="AF7" s="2327"/>
      <c r="AG7" s="2327"/>
      <c r="AH7" s="2327"/>
      <c r="AI7" s="2327"/>
      <c r="AJ7" s="2327"/>
      <c r="AK7" s="2327"/>
      <c r="AL7" s="2327"/>
      <c r="AM7" s="2327"/>
      <c r="AN7" s="2327"/>
      <c r="AO7" s="2327"/>
      <c r="AP7" s="2327"/>
      <c r="AQ7" s="2327"/>
      <c r="AR7" s="2327"/>
      <c r="AS7" s="2327"/>
      <c r="AT7" s="2327"/>
      <c r="AU7" s="2327"/>
      <c r="AV7" s="2327"/>
      <c r="AW7" s="2327"/>
      <c r="AX7" s="2327"/>
      <c r="AY7" s="2327"/>
      <c r="AZ7" s="2327"/>
      <c r="BA7" s="2327"/>
      <c r="BB7" s="2328"/>
      <c r="BC7" s="1396"/>
      <c r="BE7" s="511"/>
      <c r="BF7" s="511" t="str">
        <f>IF(T7="","",T7)</f>
        <v/>
      </c>
      <c r="BG7" s="511"/>
      <c r="BH7" s="511"/>
      <c r="BI7" s="522">
        <v>0</v>
      </c>
    </row>
    <row customHeight="1" ht="11.25" hidden="1">
      <c r="A8" s="1374"/>
      <c r="B8" s="1374"/>
      <c r="C8" s="1374"/>
      <c r="D8" s="1374"/>
      <c r="E8" s="2289"/>
      <c r="F8" s="2289"/>
      <c r="G8" s="2289"/>
      <c r="H8" s="2289"/>
      <c r="I8" s="2316"/>
      <c r="J8" s="2316"/>
      <c r="K8" s="2286">
        <f>S4&amp;".1"</f>
      </c>
      <c r="L8" s="1375"/>
      <c r="P8" s="2287"/>
      <c r="Q8" s="2287"/>
      <c r="R8" s="2377">
        <v>1</v>
      </c>
      <c r="S8" s="2371">
        <f>$K8</f>
      </c>
      <c r="T8" s="2390"/>
      <c r="U8" s="311"/>
      <c r="V8" s="762"/>
      <c r="W8" s="1268"/>
      <c r="X8" s="762"/>
      <c r="Y8" s="1268"/>
      <c r="Z8" s="1744"/>
      <c r="AA8" s="1480" t="s">
        <v>63</v>
      </c>
      <c r="AB8" s="1744"/>
      <c r="AC8" s="1480" t="s">
        <v>63</v>
      </c>
      <c r="AD8" s="2215" t="s">
        <v>63</v>
      </c>
      <c r="AE8" s="2356"/>
      <c r="AF8" s="2235">
        <v>1</v>
      </c>
      <c r="AG8" s="2393"/>
      <c r="AH8" s="2137" t="s">
        <v>63</v>
      </c>
      <c r="AI8" s="2356"/>
      <c r="AJ8" s="2235">
        <v>1</v>
      </c>
      <c r="AK8" s="2357" t="s">
        <v>22</v>
      </c>
      <c r="AL8" s="2137" t="s">
        <v>63</v>
      </c>
      <c r="AM8" s="2222"/>
      <c r="AN8" s="2235">
        <v>1</v>
      </c>
      <c r="AO8" s="2387"/>
      <c r="AP8" s="2388" t="s">
        <v>63</v>
      </c>
      <c r="AQ8" s="322"/>
      <c r="AR8" s="1497">
        <v>1</v>
      </c>
      <c r="AS8" s="1503" t="s">
        <v>22</v>
      </c>
      <c r="AT8" s="762"/>
      <c r="AU8" s="1268"/>
      <c r="AV8" s="762"/>
      <c r="AW8" s="1268"/>
      <c r="AX8" s="1744"/>
      <c r="AY8" s="1480" t="s">
        <v>63</v>
      </c>
      <c r="AZ8" s="1744"/>
      <c r="BA8" s="1480" t="s">
        <v>63</v>
      </c>
      <c r="BB8" s="1359"/>
      <c r="BC8" s="2283" t="s">
        <v>511</v>
      </c>
      <c r="BE8" s="511"/>
      <c r="BF8" s="511" t="str">
        <f>IF(T8="","",T8)</f>
        <v/>
      </c>
      <c r="BG8" s="511"/>
      <c r="BH8" s="511"/>
      <c r="BI8" s="1166">
        <v>0</v>
      </c>
    </row>
    <row customHeight="1" ht="11.25" hidden="1">
      <c r="A9" s="1374"/>
      <c r="B9" s="1374"/>
      <c r="C9" s="1374"/>
      <c r="D9" s="1374"/>
      <c r="E9" s="2289"/>
      <c r="F9" s="2289"/>
      <c r="G9" s="2289"/>
      <c r="H9" s="2289"/>
      <c r="I9" s="2316"/>
      <c r="J9" s="2316"/>
      <c r="K9" s="2286"/>
      <c r="L9" s="1375"/>
      <c r="P9" s="2287"/>
      <c r="Q9" s="2287"/>
      <c r="R9" s="2377"/>
      <c r="S9" s="2372"/>
      <c r="T9" s="2391"/>
      <c r="U9" s="311"/>
      <c r="V9" s="1404"/>
      <c r="W9" s="1507"/>
      <c r="X9" s="1404"/>
      <c r="Y9" s="1507"/>
      <c r="Z9" s="1404"/>
      <c r="AA9" s="1404"/>
      <c r="AB9" s="1404"/>
      <c r="AC9" s="1404"/>
      <c r="AD9" s="2216"/>
      <c r="AE9" s="2356"/>
      <c r="AF9" s="2235"/>
      <c r="AG9" s="2393"/>
      <c r="AH9" s="2137"/>
      <c r="AI9" s="2356"/>
      <c r="AJ9" s="2235"/>
      <c r="AK9" s="2357"/>
      <c r="AL9" s="2137"/>
      <c r="AM9" s="2230"/>
      <c r="AN9" s="2235"/>
      <c r="AO9" s="2387"/>
      <c r="AP9" s="2389"/>
      <c r="AQ9" s="327"/>
      <c r="AR9" s="427"/>
      <c r="AS9" s="427" t="s">
        <v>512</v>
      </c>
      <c r="AT9" s="1404"/>
      <c r="AU9" s="1507"/>
      <c r="AV9" s="1404"/>
      <c r="AW9" s="1507"/>
      <c r="AX9" s="1404"/>
      <c r="AY9" s="1404"/>
      <c r="AZ9" s="1404"/>
      <c r="BA9" s="1404"/>
      <c r="BB9" s="1408"/>
      <c r="BC9" s="2284"/>
      <c r="BE9" s="511"/>
      <c r="BF9" s="511"/>
      <c r="BG9" s="511"/>
      <c r="BH9" s="511"/>
      <c r="BI9" s="1166">
        <v>0</v>
      </c>
    </row>
    <row customHeight="1" ht="11.25" hidden="1">
      <c r="A10" s="1374"/>
      <c r="B10" s="1374"/>
      <c r="C10" s="1374"/>
      <c r="D10" s="1374"/>
      <c r="E10" s="2289"/>
      <c r="F10" s="2289"/>
      <c r="G10" s="2289"/>
      <c r="H10" s="2289"/>
      <c r="I10" s="2316"/>
      <c r="J10" s="2316"/>
      <c r="K10" s="2286"/>
      <c r="L10" s="1375"/>
      <c r="P10" s="2287"/>
      <c r="Q10" s="2287"/>
      <c r="R10" s="2377"/>
      <c r="S10" s="2372"/>
      <c r="T10" s="2391"/>
      <c r="U10" s="311"/>
      <c r="V10" s="1404"/>
      <c r="W10" s="1507"/>
      <c r="X10" s="1404"/>
      <c r="Y10" s="1507"/>
      <c r="Z10" s="1404"/>
      <c r="AA10" s="1404"/>
      <c r="AB10" s="1404"/>
      <c r="AC10" s="1404"/>
      <c r="AD10" s="2216"/>
      <c r="AE10" s="2356"/>
      <c r="AF10" s="2235"/>
      <c r="AG10" s="2393"/>
      <c r="AH10" s="2137"/>
      <c r="AI10" s="2356"/>
      <c r="AJ10" s="2235"/>
      <c r="AK10" s="2357"/>
      <c r="AL10" s="2137"/>
      <c r="AM10" s="327"/>
      <c r="AN10" s="1511"/>
      <c r="AO10" s="1511" t="s">
        <v>534</v>
      </c>
      <c r="AP10" s="427"/>
      <c r="AQ10" s="427"/>
      <c r="AR10" s="427"/>
      <c r="AS10" s="1404"/>
      <c r="AT10" s="1404"/>
      <c r="AU10" s="1507"/>
      <c r="AV10" s="1404"/>
      <c r="AW10" s="1507"/>
      <c r="AX10" s="1404"/>
      <c r="AY10" s="1404"/>
      <c r="AZ10" s="1404"/>
      <c r="BA10" s="1404"/>
      <c r="BB10" s="1408"/>
      <c r="BC10" s="2284"/>
      <c r="BE10" s="511"/>
      <c r="BF10" s="511"/>
      <c r="BG10" s="511"/>
      <c r="BH10" s="511"/>
      <c r="BI10" s="1166">
        <v>0</v>
      </c>
    </row>
    <row customHeight="1" ht="11.25" hidden="1">
      <c r="A11" s="1374"/>
      <c r="B11" s="1374"/>
      <c r="C11" s="1374"/>
      <c r="D11" s="1374"/>
      <c r="E11" s="2289"/>
      <c r="F11" s="2289"/>
      <c r="G11" s="2289"/>
      <c r="H11" s="2289"/>
      <c r="I11" s="2316"/>
      <c r="J11" s="2316"/>
      <c r="K11" s="2286"/>
      <c r="L11" s="1375"/>
      <c r="P11" s="2287"/>
      <c r="Q11" s="2287"/>
      <c r="R11" s="2377"/>
      <c r="S11" s="2372"/>
      <c r="T11" s="2391"/>
      <c r="U11" s="311"/>
      <c r="V11" s="1404"/>
      <c r="W11" s="1507"/>
      <c r="X11" s="1404"/>
      <c r="Y11" s="1507"/>
      <c r="Z11" s="1404"/>
      <c r="AA11" s="1404"/>
      <c r="AB11" s="1404"/>
      <c r="AC11" s="1404"/>
      <c r="AD11" s="2216"/>
      <c r="AE11" s="2356"/>
      <c r="AF11" s="2235"/>
      <c r="AG11" s="2393"/>
      <c r="AH11" s="2137"/>
      <c r="AI11" s="305"/>
      <c r="AJ11" s="426"/>
      <c r="AK11" s="324" t="s">
        <v>535</v>
      </c>
      <c r="AL11" s="1404"/>
      <c r="AM11" s="1404"/>
      <c r="AN11" s="1404"/>
      <c r="AO11" s="1404"/>
      <c r="AP11" s="1404"/>
      <c r="AQ11" s="1404"/>
      <c r="AR11" s="1404"/>
      <c r="AS11" s="1404"/>
      <c r="AT11" s="1404"/>
      <c r="AU11" s="1507"/>
      <c r="AV11" s="1404"/>
      <c r="AW11" s="1507"/>
      <c r="AX11" s="1404"/>
      <c r="AY11" s="1404"/>
      <c r="AZ11" s="1404"/>
      <c r="BA11" s="1404"/>
      <c r="BB11" s="1408"/>
      <c r="BC11" s="2284"/>
      <c r="BE11" s="511"/>
      <c r="BF11" s="511"/>
      <c r="BG11" s="511"/>
      <c r="BH11" s="511"/>
      <c r="BI11" s="1166">
        <v>0</v>
      </c>
    </row>
    <row customHeight="1" ht="11.25" hidden="1">
      <c r="A12" s="1374"/>
      <c r="B12" s="1374"/>
      <c r="C12" s="1374"/>
      <c r="D12" s="1374"/>
      <c r="E12" s="2289"/>
      <c r="F12" s="2289"/>
      <c r="G12" s="2289"/>
      <c r="H12" s="2289"/>
      <c r="I12" s="2316"/>
      <c r="J12" s="2316"/>
      <c r="K12" s="2286"/>
      <c r="L12" s="1375"/>
      <c r="P12" s="2287"/>
      <c r="Q12" s="2287"/>
      <c r="R12" s="2377"/>
      <c r="S12" s="2373"/>
      <c r="T12" s="2392"/>
      <c r="U12" s="311"/>
      <c r="V12" s="1404"/>
      <c r="W12" s="1405" t="str">
        <f>Z8&amp;"-"&amp;AB8</f>
        <v>-</v>
      </c>
      <c r="X12" s="1404"/>
      <c r="Y12" s="1405" t="str">
        <f>AB8&amp;"-"&amp;AD8</f>
        <v>-да</v>
      </c>
      <c r="Z12" s="1404"/>
      <c r="AA12" s="1404"/>
      <c r="AB12" s="1404"/>
      <c r="AC12" s="1404"/>
      <c r="AD12" s="2142"/>
      <c r="AE12" s="323"/>
      <c r="AF12" s="325"/>
      <c r="AG12" s="427" t="s">
        <v>515</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84"/>
      <c r="BE12" s="511"/>
      <c r="BF12" s="511" t="str">
        <f>IF(T12="","",T12)</f>
        <v/>
      </c>
      <c r="BG12" s="511"/>
      <c r="BH12" s="511"/>
      <c r="BI12" s="1166">
        <v>0</v>
      </c>
    </row>
    <row customHeight="1" ht="11.25" hidden="1">
      <c r="A13" s="1374"/>
      <c r="B13" s="1374"/>
      <c r="C13" s="1374"/>
      <c r="D13" s="1374"/>
      <c r="E13" s="2289"/>
      <c r="F13" s="2289"/>
      <c r="G13" s="2289"/>
      <c r="H13" s="2289"/>
      <c r="I13" s="2316"/>
      <c r="J13" s="2286"/>
      <c r="K13" s="1374"/>
      <c r="L13" s="1375"/>
      <c r="P13" s="2287"/>
      <c r="Q13" s="2287"/>
      <c r="R13" s="367"/>
      <c r="S13" s="1289"/>
      <c r="T13" s="298" t="s">
        <v>478</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85"/>
      <c r="BE13" s="511"/>
      <c r="BF13" s="511" t="str">
        <f>IF(T13="","",T13)</f>
        <v>Добавить строку</v>
      </c>
      <c r="BG13" s="511"/>
      <c r="BH13" s="511"/>
      <c r="BI13" s="1166">
        <v>0</v>
      </c>
    </row>
    <row s="1653" customFormat="1" customHeight="1" ht="14.25" hidden="1">
      <c r="A14" s="1354"/>
      <c r="B14" s="1354"/>
      <c r="C14" s="1354"/>
      <c r="D14" s="1354"/>
      <c r="E14" s="2289"/>
      <c r="F14" s="2289"/>
      <c r="G14" s="2289"/>
      <c r="H14" s="2289"/>
      <c r="I14" s="2286"/>
      <c r="J14" s="1354"/>
      <c r="K14" s="1354"/>
      <c r="L14" s="1357"/>
      <c r="M14" s="521"/>
      <c r="N14" s="521"/>
      <c r="O14" s="521"/>
      <c r="P14" s="2287"/>
      <c r="Q14" s="1492"/>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89"/>
      <c r="F15" s="2289"/>
      <c r="G15" s="2289"/>
      <c r="H15" s="2288"/>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89"/>
      <c r="F16" s="2289"/>
      <c r="G16" s="2288"/>
      <c r="H16" s="1325"/>
      <c r="I16" s="1325"/>
      <c r="J16" s="1325"/>
      <c r="K16" s="1325"/>
      <c r="L16" s="150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89"/>
      <c r="F17" s="2288"/>
      <c r="G17" s="1325"/>
      <c r="H17" s="1325"/>
      <c r="I17" s="1325"/>
      <c r="J17" s="1325"/>
      <c r="K17" s="1325"/>
      <c r="L17" s="1505"/>
      <c r="M17" s="1332"/>
      <c r="N17" s="1332"/>
      <c r="P17" s="1327"/>
      <c r="Q17" s="1328"/>
      <c r="R17" s="1327"/>
      <c r="S17" s="1333"/>
      <c r="T17" s="1336" t="s">
        <v>429</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88"/>
      <c r="F18" s="1354"/>
      <c r="G18" s="1354"/>
      <c r="H18" s="1354"/>
      <c r="I18" s="1354"/>
      <c r="J18" s="1354"/>
      <c r="K18" s="1354"/>
      <c r="L18" s="1357"/>
      <c r="M18" s="1332"/>
      <c r="N18" s="1332"/>
      <c r="O18" s="529"/>
      <c r="P18" s="391"/>
      <c r="Q18" s="1355"/>
      <c r="R18" s="391"/>
      <c r="S18" s="1333"/>
      <c r="T18" s="1336" t="s">
        <v>430</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6"/>
      <c r="AY20" s="1496" t="s">
        <v>63</v>
      </c>
      <c r="AZ20" s="1746"/>
      <c r="BA20" s="1496" t="s">
        <v>63</v>
      </c>
      <c r="BI20" s="1166">
        <v>0</v>
      </c>
    </row>
    <row customHeight="1" ht="14.25" hidden="1">
      <c r="BD21" s="507"/>
      <c r="BE21" s="507"/>
      <c r="BF21" s="507"/>
      <c r="BG21" s="507"/>
      <c r="BH21" s="507"/>
      <c r="BI21" s="1166">
        <v>0</v>
      </c>
    </row>
    <row customHeight="1" ht="14.25" hidden="1">
      <c r="O22" s="1378" t="s">
        <v>431</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432</v>
      </c>
      <c r="P24" s="1519"/>
      <c r="Q24" s="1521"/>
      <c r="R24" s="1521"/>
      <c r="AA24" s="1518" t="s">
        <v>434</v>
      </c>
      <c r="AC24" s="1518" t="s">
        <v>435</v>
      </c>
      <c r="AD24" s="1518" t="s">
        <v>479</v>
      </c>
      <c r="AH24" s="1518" t="s">
        <v>479</v>
      </c>
      <c r="AK24" s="1518" t="s">
        <v>516</v>
      </c>
      <c r="AL24" s="1518" t="s">
        <v>479</v>
      </c>
      <c r="AP24" s="1518" t="s">
        <v>479</v>
      </c>
      <c r="AY24" s="1518" t="s">
        <v>434</v>
      </c>
      <c r="BA24" s="1518" t="s">
        <v>435</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7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78"/>
      <c r="U28" s="2278"/>
      <c r="V28" s="2278"/>
      <c r="W28" s="2278"/>
      <c r="X28" s="2278"/>
      <c r="Y28" s="2278"/>
      <c r="Z28" s="2278"/>
      <c r="AA28" s="2278"/>
      <c r="AB28" s="2278"/>
      <c r="AC28" s="2278"/>
      <c r="AD28" s="2278"/>
      <c r="AE28" s="2278"/>
      <c r="AF28" s="2278"/>
      <c r="AG28" s="2278"/>
      <c r="AH28" s="2278"/>
      <c r="AI28" s="2278"/>
      <c r="AJ28" s="2278"/>
      <c r="AK28" s="2278"/>
      <c r="AL28" s="2278"/>
      <c r="AM28" s="2278"/>
      <c r="AN28" s="2278"/>
      <c r="AO28" s="2278"/>
      <c r="AP28" s="2278"/>
      <c r="AQ28" s="2278"/>
      <c r="AR28" s="2278"/>
      <c r="AS28" s="2278"/>
      <c r="AT28" s="2278"/>
      <c r="AU28" s="2278"/>
      <c r="AV28" s="2278"/>
      <c r="AW28" s="2278"/>
      <c r="AX28" s="2278"/>
      <c r="AY28" s="2278"/>
      <c r="AZ28" s="2278"/>
      <c r="BA28" s="1254"/>
      <c r="BI28" s="1166">
        <v>14</v>
      </c>
    </row>
    <row customHeight="1" ht="14.699999999999998">
      <c r="Q29" s="302"/>
      <c r="R29" s="387"/>
      <c r="S29" s="2279" t="str">
        <f>IF(org=0,"Не определено",org)</f>
        <v>ПАО "КГК"</v>
      </c>
      <c r="T29" s="2279"/>
      <c r="U29" s="2279"/>
      <c r="V29" s="2279"/>
      <c r="W29" s="2279"/>
      <c r="X29" s="2279"/>
      <c r="Y29" s="2279"/>
      <c r="Z29" s="2279"/>
      <c r="AA29" s="2279"/>
      <c r="AB29" s="2279"/>
      <c r="AC29" s="2279"/>
      <c r="AD29" s="2279"/>
      <c r="AE29" s="2279"/>
      <c r="AF29" s="2279"/>
      <c r="AG29" s="2279"/>
      <c r="AH29" s="2279"/>
      <c r="AI29" s="2279"/>
      <c r="AJ29" s="2279"/>
      <c r="AK29" s="2279"/>
      <c r="AL29" s="2279"/>
      <c r="AM29" s="2279"/>
      <c r="AN29" s="2279"/>
      <c r="AO29" s="2279"/>
      <c r="AP29" s="2279"/>
      <c r="AQ29" s="2279"/>
      <c r="AR29" s="2279"/>
      <c r="AS29" s="2279"/>
      <c r="AT29" s="2279"/>
      <c r="AU29" s="2279"/>
      <c r="AV29" s="2279"/>
      <c r="AW29" s="2279"/>
      <c r="AX29" s="2279"/>
      <c r="AY29" s="2279"/>
      <c r="AZ29" s="2279"/>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1" customFormat="1" customHeight="1" ht="25.5" hidden="1">
      <c r="A31" s="1379"/>
      <c r="B31" s="1379"/>
      <c r="C31" s="1379"/>
      <c r="D31" s="1379"/>
      <c r="E31" s="1379"/>
      <c r="F31" s="1379"/>
      <c r="G31" s="1379"/>
      <c r="H31" s="1379"/>
      <c r="I31" s="1379"/>
      <c r="J31" s="1379"/>
      <c r="K31" s="1379"/>
      <c r="L31" s="1380"/>
      <c r="M31" s="1379"/>
      <c r="N31" s="1379"/>
      <c r="O31" s="1379"/>
      <c r="P31" s="1379"/>
      <c r="Q31" s="1379"/>
      <c r="S31"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80"/>
      <c r="U31" s="1383"/>
      <c r="V31" s="2281" t="str">
        <f>IF(TITLE_NAME_OR_PR_CHANGE="",IF(TITLE_NAME_OR_PR="","",TITLE_NAME_OR_PR),TITLE_NAME_OR_PR_CHANGE)</f>
        <v/>
      </c>
      <c r="W31" s="2281"/>
      <c r="X31" s="2281"/>
      <c r="Y31" s="2281"/>
      <c r="Z31" s="2281"/>
      <c r="AA31" s="2281"/>
      <c r="AB31" s="2281"/>
      <c r="AC31" s="337"/>
      <c r="AD31" s="2281" t="str">
        <f>IF(TITLE_NAME_OR_PR_CHANGE="",IF(TITLE_NAME_OR_PR="","",TITLE_NAME_OR_PR),TITLE_NAME_OR_PR_CHANGE)</f>
        <v/>
      </c>
      <c r="AE31" s="2281"/>
      <c r="AF31" s="2281"/>
      <c r="AG31" s="2281"/>
      <c r="AH31" s="2281"/>
      <c r="AI31" s="2281"/>
      <c r="AJ31" s="2281"/>
      <c r="AK31" s="2281"/>
      <c r="AL31" s="2281"/>
      <c r="AM31" s="2281"/>
      <c r="AN31" s="2281"/>
      <c r="AO31" s="2281"/>
      <c r="AP31" s="2281"/>
      <c r="AQ31" s="2281"/>
      <c r="AR31" s="2281"/>
      <c r="AS31" s="2281"/>
      <c r="AT31" s="2281"/>
      <c r="AU31" s="2281"/>
      <c r="AV31" s="2281"/>
      <c r="AW31" s="2281"/>
      <c r="AX31" s="2281"/>
      <c r="AY31" s="2281"/>
      <c r="AZ31" s="2281"/>
      <c r="BA31" s="337"/>
      <c r="BB31" s="337"/>
      <c r="BC31" s="291"/>
      <c r="BD31" s="379"/>
      <c r="BE31" s="379"/>
      <c r="BF31" s="379"/>
      <c r="BG31" s="379"/>
      <c r="BH31" s="379"/>
      <c r="BI31" s="429">
        <v>0</v>
      </c>
    </row>
    <row s="1861" customFormat="1" customHeight="1" ht="18.75" hidden="1">
      <c r="A32" s="1379"/>
      <c r="B32" s="1379"/>
      <c r="C32" s="1379"/>
      <c r="D32" s="1379"/>
      <c r="E32" s="1379"/>
      <c r="F32" s="1379"/>
      <c r="G32" s="1379"/>
      <c r="H32" s="1379"/>
      <c r="I32" s="1379"/>
      <c r="J32" s="1379"/>
      <c r="K32" s="1379"/>
      <c r="L32" s="1380"/>
      <c r="M32" s="1379"/>
      <c r="N32" s="1379"/>
      <c r="O32" s="1379"/>
      <c r="P32" s="1379"/>
      <c r="Q32" s="1379"/>
      <c r="S32" s="2280" t="str">
        <f>"Дата документа об "&amp;IF(TITLE_DATE_PR_CHANGE="","утверждении","изменении")&amp;" тарифов"</f>
        <v>Дата документа об утверждении тарифов</v>
      </c>
      <c r="T32" s="2280"/>
      <c r="U32" s="1383"/>
      <c r="V32" s="2294" t="str">
        <f>IF(TITLE_DATE_PR_CHANGE="",IF(TITLE_DATE_PR="","",TITLE_DATE_PR),TITLE_DATE_PR_CHANGE)</f>
        <v/>
      </c>
      <c r="W32" s="2294"/>
      <c r="X32" s="2294"/>
      <c r="Y32" s="2294"/>
      <c r="Z32" s="2294"/>
      <c r="AA32" s="2294"/>
      <c r="AB32" s="2294"/>
      <c r="AC32" s="337"/>
      <c r="AD32" s="2294" t="str">
        <f>IF(TITLE_DATE_PR_CHANGE="",IF(TITLE_DATE_PR="","",TITLE_DATE_PR),TITLE_DATE_PR_CHANGE)</f>
        <v/>
      </c>
      <c r="AE32" s="2294"/>
      <c r="AF32" s="2294"/>
      <c r="AG32" s="2294"/>
      <c r="AH32" s="2294"/>
      <c r="AI32" s="2294"/>
      <c r="AJ32" s="2294"/>
      <c r="AK32" s="2294"/>
      <c r="AL32" s="2294"/>
      <c r="AM32" s="2294"/>
      <c r="AN32" s="2294"/>
      <c r="AO32" s="2294"/>
      <c r="AP32" s="2294"/>
      <c r="AQ32" s="2294"/>
      <c r="AR32" s="2294"/>
      <c r="AS32" s="2294"/>
      <c r="AT32" s="2294"/>
      <c r="AU32" s="2294"/>
      <c r="AV32" s="2294"/>
      <c r="AW32" s="2294"/>
      <c r="AX32" s="2294"/>
      <c r="AY32" s="2294"/>
      <c r="AZ32" s="2294"/>
      <c r="BA32" s="337"/>
      <c r="BB32" s="337"/>
      <c r="BC32" s="291"/>
      <c r="BD32" s="379"/>
      <c r="BE32" s="379"/>
      <c r="BF32" s="379"/>
      <c r="BG32" s="379"/>
      <c r="BH32" s="379"/>
      <c r="BI32" s="429">
        <v>0</v>
      </c>
    </row>
    <row s="1861" customFormat="1" customHeight="1" ht="18.75" hidden="1">
      <c r="A33" s="1379"/>
      <c r="B33" s="1379"/>
      <c r="C33" s="1379"/>
      <c r="D33" s="1379"/>
      <c r="E33" s="1379"/>
      <c r="F33" s="1379"/>
      <c r="G33" s="1379"/>
      <c r="H33" s="1379"/>
      <c r="I33" s="1379"/>
      <c r="J33" s="1379"/>
      <c r="K33" s="1379"/>
      <c r="L33" s="1380"/>
      <c r="M33" s="1379"/>
      <c r="N33" s="1379"/>
      <c r="O33" s="1379"/>
      <c r="P33" s="1379"/>
      <c r="Q33" s="1379"/>
      <c r="S33" s="2280" t="str">
        <f>"Номер документа об "&amp;IF(TITLE_DATE_PR_CHANGE="","утверждении","изменении")&amp;" тарифов"</f>
        <v>Номер документа об утверждении тарифов</v>
      </c>
      <c r="T33" s="2280"/>
      <c r="U33" s="1383"/>
      <c r="V33" s="2281" t="str">
        <f>IF(TITLE_NUMBER_PR_CHANGE="",IF(TITLE_NUMBER_PR="","",TITLE_NUMBER_PR),TITLE_NUMBER_PR_CHANGE)</f>
        <v/>
      </c>
      <c r="W33" s="2281"/>
      <c r="X33" s="2281"/>
      <c r="Y33" s="2281"/>
      <c r="Z33" s="2281"/>
      <c r="AA33" s="2281"/>
      <c r="AB33" s="2281"/>
      <c r="AC33" s="337"/>
      <c r="AD33" s="2281" t="str">
        <f>IF(TITLE_NUMBER_PR_CHANGE="",IF(TITLE_NUMBER_PR="","",TITLE_NUMBER_PR),TITLE_NUMBER_PR_CHANGE)</f>
        <v/>
      </c>
      <c r="AE33" s="2281"/>
      <c r="AF33" s="2281"/>
      <c r="AG33" s="2281"/>
      <c r="AH33" s="2281"/>
      <c r="AI33" s="2281"/>
      <c r="AJ33" s="2281"/>
      <c r="AK33" s="2281"/>
      <c r="AL33" s="2281"/>
      <c r="AM33" s="2281"/>
      <c r="AN33" s="2281"/>
      <c r="AO33" s="2281"/>
      <c r="AP33" s="2281"/>
      <c r="AQ33" s="2281"/>
      <c r="AR33" s="2281"/>
      <c r="AS33" s="2281"/>
      <c r="AT33" s="2281"/>
      <c r="AU33" s="2281"/>
      <c r="AV33" s="2281"/>
      <c r="AW33" s="2281"/>
      <c r="AX33" s="2281"/>
      <c r="AY33" s="2281"/>
      <c r="AZ33" s="2281"/>
      <c r="BA33" s="337"/>
      <c r="BB33" s="337"/>
      <c r="BC33" s="291"/>
      <c r="BD33" s="379"/>
      <c r="BE33" s="379"/>
      <c r="BF33" s="379"/>
      <c r="BG33" s="379"/>
      <c r="BH33" s="379"/>
      <c r="BI33" s="429">
        <v>0</v>
      </c>
    </row>
    <row s="1861" customFormat="1" customHeight="1" ht="18.75" hidden="1">
      <c r="A34" s="1379"/>
      <c r="B34" s="1379"/>
      <c r="C34" s="1379"/>
      <c r="D34" s="1379"/>
      <c r="E34" s="1379"/>
      <c r="F34" s="1379"/>
      <c r="G34" s="1379"/>
      <c r="H34" s="1379"/>
      <c r="I34" s="1379"/>
      <c r="J34" s="1379"/>
      <c r="K34" s="1379"/>
      <c r="L34" s="1380"/>
      <c r="M34" s="1379"/>
      <c r="N34" s="1379"/>
      <c r="O34" s="1379"/>
      <c r="P34" s="1379"/>
      <c r="Q34" s="1379"/>
      <c r="S34" s="2280" t="s">
        <v>43</v>
      </c>
      <c r="T34" s="2280"/>
      <c r="U34" s="1383"/>
      <c r="V34" s="2281" t="str">
        <f>IF(TITLE_IST_PUB_CHANGE="",IF(TITLE_IST_PUB="","",TITLE_IST_PUB),TITLE_IST_PUB_CHANGE)</f>
        <v/>
      </c>
      <c r="W34" s="2281"/>
      <c r="X34" s="2281"/>
      <c r="Y34" s="2281"/>
      <c r="Z34" s="2281"/>
      <c r="AA34" s="2281"/>
      <c r="AB34" s="2281"/>
      <c r="AC34" s="337"/>
      <c r="AD34" s="2281" t="str">
        <f>IF(TITLE_IST_PUB_CHANGE="",IF(TITLE_IST_PUB="","",TITLE_IST_PUB),TITLE_IST_PUB_CHANGE)</f>
        <v/>
      </c>
      <c r="AE34" s="2281"/>
      <c r="AF34" s="2281"/>
      <c r="AG34" s="2281"/>
      <c r="AH34" s="2281"/>
      <c r="AI34" s="2281"/>
      <c r="AJ34" s="2281"/>
      <c r="AK34" s="2281"/>
      <c r="AL34" s="2281"/>
      <c r="AM34" s="2281"/>
      <c r="AN34" s="2281"/>
      <c r="AO34" s="2281"/>
      <c r="AP34" s="2281"/>
      <c r="AQ34" s="2281"/>
      <c r="AR34" s="2281"/>
      <c r="AS34" s="2281"/>
      <c r="AT34" s="2281"/>
      <c r="AU34" s="2281"/>
      <c r="AV34" s="2281"/>
      <c r="AW34" s="2281"/>
      <c r="AX34" s="2281"/>
      <c r="AY34" s="2281"/>
      <c r="AZ34" s="2281"/>
      <c r="BA34" s="337"/>
      <c r="BB34" s="337"/>
      <c r="BC34" s="291"/>
      <c r="BD34" s="379"/>
      <c r="BE34" s="379"/>
      <c r="BF34" s="379"/>
      <c r="BG34" s="379"/>
      <c r="BH34" s="379"/>
      <c r="BI34" s="429">
        <v>0</v>
      </c>
    </row>
    <row customHeight="1" ht="14.25" hidden="1">
      <c r="Q35" s="302"/>
      <c r="R35" s="387"/>
      <c r="S35" s="1286"/>
      <c r="T35" s="468"/>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1" customFormat="1" customHeight="1" ht="18.75" hidden="1">
      <c r="A36" s="1379"/>
      <c r="B36" s="1379"/>
      <c r="C36" s="1379"/>
      <c r="D36" s="1379"/>
      <c r="E36" s="1379"/>
      <c r="F36" s="1379"/>
      <c r="G36" s="1379"/>
      <c r="H36" s="1379"/>
      <c r="I36" s="1379"/>
      <c r="J36" s="1379"/>
      <c r="K36" s="1379"/>
      <c r="L36" s="1380"/>
      <c r="M36" s="1379"/>
      <c r="N36" s="1379"/>
      <c r="O36" s="1379"/>
      <c r="P36" s="1379"/>
      <c r="Q36" s="1379"/>
      <c r="S36" s="2280" t="str">
        <f>"Дата подачи заявления об "&amp;IF(TITLE_DATE_PR_CHANGE="","утверждении","изменении")&amp;" тарифов"</f>
        <v>Дата подачи заявления об утверждении тарифов</v>
      </c>
      <c r="T36" s="2280"/>
      <c r="U36" s="1383"/>
      <c r="V36" s="2294" t="str">
        <f>IF(TITLE_DATE_PR_CHANGE="",IF(TITLE_DATE_PR="","",TITLE_DATE_PR),TITLE_DATE_PR_CHANGE)</f>
        <v/>
      </c>
      <c r="W36" s="2294"/>
      <c r="X36" s="2294"/>
      <c r="Y36" s="2294"/>
      <c r="Z36" s="2294"/>
      <c r="AA36" s="2294"/>
      <c r="AB36" s="2294"/>
      <c r="AC36" s="337"/>
      <c r="AD36" s="2294" t="str">
        <f>IF(TITLE_DATE_PR_CHANGE="",IF(TITLE_DATE_PR="","",TITLE_DATE_PR),TITLE_DATE_PR_CHANGE)</f>
        <v/>
      </c>
      <c r="AE36" s="2294"/>
      <c r="AF36" s="2294"/>
      <c r="AG36" s="2294"/>
      <c r="AH36" s="2294"/>
      <c r="AI36" s="2294"/>
      <c r="AJ36" s="2294"/>
      <c r="AK36" s="2294"/>
      <c r="AL36" s="2294"/>
      <c r="AM36" s="2294"/>
      <c r="AN36" s="2294"/>
      <c r="AO36" s="2294"/>
      <c r="AP36" s="2294"/>
      <c r="AQ36" s="2294"/>
      <c r="AR36" s="2294"/>
      <c r="AS36" s="2294"/>
      <c r="AT36" s="2294"/>
      <c r="AU36" s="2294"/>
      <c r="AV36" s="2294"/>
      <c r="AW36" s="2294"/>
      <c r="AX36" s="2294"/>
      <c r="AY36" s="2294"/>
      <c r="AZ36" s="2294"/>
      <c r="BA36" s="337"/>
      <c r="BB36" s="337"/>
      <c r="BC36" s="291"/>
      <c r="BD36" s="379"/>
      <c r="BE36" s="379"/>
      <c r="BF36" s="379"/>
      <c r="BG36" s="379"/>
      <c r="BH36" s="379"/>
      <c r="BI36" s="429">
        <v>0</v>
      </c>
    </row>
    <row s="1861" customFormat="1" customHeight="1" ht="18.75" hidden="1">
      <c r="A37" s="1379"/>
      <c r="B37" s="1379"/>
      <c r="C37" s="1379"/>
      <c r="D37" s="1379"/>
      <c r="E37" s="1379"/>
      <c r="F37" s="1379"/>
      <c r="G37" s="1379"/>
      <c r="H37" s="1379"/>
      <c r="I37" s="1379"/>
      <c r="J37" s="1379"/>
      <c r="K37" s="1379"/>
      <c r="L37" s="1380"/>
      <c r="M37" s="1379"/>
      <c r="N37" s="1379"/>
      <c r="O37" s="1379"/>
      <c r="P37" s="1379"/>
      <c r="Q37" s="1379"/>
      <c r="S37" s="2280" t="str">
        <f>"Номер подачи заявления об "&amp;IF(TITLE_DATE_PR_CHANGE="","утверждении","изменении")&amp;" тарифов"</f>
        <v>Номер подачи заявления об утверждении тарифов</v>
      </c>
      <c r="T37" s="2280"/>
      <c r="U37" s="1383"/>
      <c r="V37" s="2281" t="str">
        <f>IF(TITLE_NUMBER_PR_CHANGE="",IF(TITLE_NUMBER_PR="","",TITLE_NUMBER_PR),TITLE_NUMBER_PR_CHANGE)</f>
        <v/>
      </c>
      <c r="W37" s="2281"/>
      <c r="X37" s="2281"/>
      <c r="Y37" s="2281"/>
      <c r="Z37" s="2281"/>
      <c r="AA37" s="2281"/>
      <c r="AB37" s="2281"/>
      <c r="AC37" s="337"/>
      <c r="AD37" s="2281" t="str">
        <f>IF(TITLE_NUMBER_PR_CHANGE="",IF(TITLE_NUMBER_PR="","",TITLE_NUMBER_PR),TITLE_NUMBER_PR_CHANGE)</f>
        <v/>
      </c>
      <c r="AE37" s="2281"/>
      <c r="AF37" s="2281"/>
      <c r="AG37" s="2281"/>
      <c r="AH37" s="2281"/>
      <c r="AI37" s="2281"/>
      <c r="AJ37" s="2281"/>
      <c r="AK37" s="2281"/>
      <c r="AL37" s="2281"/>
      <c r="AM37" s="2281"/>
      <c r="AN37" s="2281"/>
      <c r="AO37" s="2281"/>
      <c r="AP37" s="2281"/>
      <c r="AQ37" s="2281"/>
      <c r="AR37" s="2281"/>
      <c r="AS37" s="2281"/>
      <c r="AT37" s="2281"/>
      <c r="AU37" s="2281"/>
      <c r="AV37" s="2281"/>
      <c r="AW37" s="2281"/>
      <c r="AX37" s="2281"/>
      <c r="AY37" s="2281"/>
      <c r="AZ37" s="2281"/>
      <c r="BA37" s="337"/>
      <c r="BB37" s="337"/>
      <c r="BC37" s="291"/>
      <c r="BD37" s="379"/>
      <c r="BE37" s="379"/>
      <c r="BF37" s="379"/>
      <c r="BG37" s="379"/>
      <c r="BH37" s="379"/>
      <c r="BI37" s="429">
        <v>0</v>
      </c>
    </row>
    <row s="1861"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99"/>
      <c r="V38" s="337"/>
      <c r="W38" s="337"/>
      <c r="X38" s="337"/>
      <c r="Y38" s="337"/>
      <c r="Z38" s="337"/>
      <c r="AA38" s="337"/>
      <c r="AB38" s="337"/>
      <c r="AC38" s="289" t="s">
        <v>437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437</v>
      </c>
      <c r="BD38" s="379"/>
      <c r="BE38" s="379"/>
      <c r="BF38" s="379"/>
      <c r="BG38" s="379"/>
      <c r="BH38" s="379"/>
      <c r="BI38" s="429">
        <v>0</v>
      </c>
    </row>
    <row customHeight="1" ht="14.699999999999998">
      <c r="Q39" s="302"/>
      <c r="R39" s="387"/>
      <c r="S39" s="1286"/>
      <c r="T39" s="374"/>
      <c r="U39" s="1255"/>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1166">
        <v>14</v>
      </c>
    </row>
    <row customHeight="1" ht="14.699999999999998">
      <c r="Q40" s="302"/>
      <c r="R40" s="387"/>
      <c r="S40" s="2157" t="s">
        <v>314</v>
      </c>
      <c r="T40" s="2157"/>
      <c r="U40" s="2157"/>
      <c r="V40" s="2157"/>
      <c r="W40" s="2157"/>
      <c r="X40" s="2157"/>
      <c r="Y40" s="2157"/>
      <c r="Z40" s="2157"/>
      <c r="AA40" s="2157"/>
      <c r="AB40" s="2157"/>
      <c r="AC40" s="2157"/>
      <c r="AD40" s="2157"/>
      <c r="AE40" s="2157"/>
      <c r="AF40" s="2157"/>
      <c r="AG40" s="2157"/>
      <c r="AH40" s="2157"/>
      <c r="AI40" s="2157"/>
      <c r="AJ40" s="2157"/>
      <c r="AK40" s="2157"/>
      <c r="AL40" s="2157"/>
      <c r="AM40" s="2157"/>
      <c r="AN40" s="2157"/>
      <c r="AO40" s="2157"/>
      <c r="AP40" s="2157"/>
      <c r="AQ40" s="2157"/>
      <c r="AR40" s="2157"/>
      <c r="AS40" s="2157"/>
      <c r="AT40" s="2157"/>
      <c r="AU40" s="2157"/>
      <c r="AV40" s="2157"/>
      <c r="AW40" s="2157"/>
      <c r="AX40" s="2157"/>
      <c r="AY40" s="2157"/>
      <c r="AZ40" s="2157"/>
      <c r="BA40" s="2157"/>
      <c r="BB40" s="2157"/>
      <c r="BC40" s="2157" t="s">
        <v>315</v>
      </c>
      <c r="BI40" s="1166">
        <v>14</v>
      </c>
    </row>
    <row customHeight="1" ht="14.699999999999998">
      <c r="Q41" s="302"/>
      <c r="R41" s="387"/>
      <c r="S41" s="2303" t="s">
        <v>89</v>
      </c>
      <c r="T41" s="2239" t="s">
        <v>519</v>
      </c>
      <c r="U41" s="312"/>
      <c r="V41" s="2304" t="s">
        <v>439</v>
      </c>
      <c r="W41" s="2305"/>
      <c r="X41" s="2305"/>
      <c r="Y41" s="2305"/>
      <c r="Z41" s="2305"/>
      <c r="AA41" s="2305"/>
      <c r="AB41" s="2306"/>
      <c r="AC41" s="2307" t="s">
        <v>440</v>
      </c>
      <c r="AD41" s="2358" t="s">
        <v>536</v>
      </c>
      <c r="AE41" s="2321"/>
      <c r="AF41" s="2321"/>
      <c r="AG41" s="2359"/>
      <c r="AH41" s="2358" t="s">
        <v>537</v>
      </c>
      <c r="AI41" s="2321"/>
      <c r="AJ41" s="2321"/>
      <c r="AK41" s="2359"/>
      <c r="AL41" s="2358" t="s">
        <v>538</v>
      </c>
      <c r="AM41" s="2321"/>
      <c r="AN41" s="2321"/>
      <c r="AO41" s="2359"/>
      <c r="AP41" s="2358" t="s">
        <v>523</v>
      </c>
      <c r="AQ41" s="2321"/>
      <c r="AR41" s="2321"/>
      <c r="AS41" s="2359"/>
      <c r="AT41" s="2304" t="s">
        <v>439</v>
      </c>
      <c r="AU41" s="2305"/>
      <c r="AV41" s="2305"/>
      <c r="AW41" s="2305"/>
      <c r="AX41" s="2305"/>
      <c r="AY41" s="2305"/>
      <c r="AZ41" s="2306"/>
      <c r="BA41" s="2307" t="s">
        <v>440</v>
      </c>
      <c r="BB41" s="2310" t="s">
        <v>442</v>
      </c>
      <c r="BC41" s="2157"/>
      <c r="BI41" s="1166">
        <v>14</v>
      </c>
    </row>
    <row customHeight="1" ht="35.699999999999996">
      <c r="Q42" s="302"/>
      <c r="R42" s="387"/>
      <c r="S42" s="2303"/>
      <c r="T42" s="2239"/>
      <c r="U42" s="1042"/>
      <c r="V42" s="2222" t="s">
        <v>524</v>
      </c>
      <c r="W42" s="2223"/>
      <c r="X42" s="2222" t="s">
        <v>525</v>
      </c>
      <c r="Y42" s="2223"/>
      <c r="Z42" s="2324" t="s">
        <v>526</v>
      </c>
      <c r="AA42" s="2343"/>
      <c r="AB42" s="2344"/>
      <c r="AC42" s="2308"/>
      <c r="AD42" s="2360"/>
      <c r="AE42" s="2361"/>
      <c r="AF42" s="2361"/>
      <c r="AG42" s="2362"/>
      <c r="AH42" s="2360"/>
      <c r="AI42" s="2361"/>
      <c r="AJ42" s="2361"/>
      <c r="AK42" s="2362"/>
      <c r="AL42" s="2360"/>
      <c r="AM42" s="2361"/>
      <c r="AN42" s="2361"/>
      <c r="AO42" s="2362"/>
      <c r="AP42" s="2360"/>
      <c r="AQ42" s="2361"/>
      <c r="AR42" s="2361"/>
      <c r="AS42" s="2362"/>
      <c r="AT42" s="2222" t="s">
        <v>539</v>
      </c>
      <c r="AU42" s="2223"/>
      <c r="AV42" s="2222" t="s">
        <v>540</v>
      </c>
      <c r="AW42" s="2223"/>
      <c r="AX42" s="2324" t="s">
        <v>526</v>
      </c>
      <c r="AY42" s="2343"/>
      <c r="AZ42" s="2344"/>
      <c r="BA42" s="2308"/>
      <c r="BB42" s="2311"/>
      <c r="BC42" s="2157"/>
      <c r="BI42" s="1166">
        <v>34</v>
      </c>
    </row>
    <row customHeight="1" ht="14.699999999999998">
      <c r="Q43" s="302"/>
      <c r="R43" s="387"/>
      <c r="S43" s="2303"/>
      <c r="T43" s="2239"/>
      <c r="U43" s="1042"/>
      <c r="V43" s="2230"/>
      <c r="W43" s="2231"/>
      <c r="X43" s="2230"/>
      <c r="Y43" s="2231"/>
      <c r="Z43" s="2325"/>
      <c r="AA43" s="2345"/>
      <c r="AB43" s="2346"/>
      <c r="AC43" s="2308"/>
      <c r="AD43" s="2360"/>
      <c r="AE43" s="2361"/>
      <c r="AF43" s="2361"/>
      <c r="AG43" s="2362"/>
      <c r="AH43" s="2360"/>
      <c r="AI43" s="2361"/>
      <c r="AJ43" s="2361"/>
      <c r="AK43" s="2362"/>
      <c r="AL43" s="2360"/>
      <c r="AM43" s="2361"/>
      <c r="AN43" s="2361"/>
      <c r="AO43" s="2362"/>
      <c r="AP43" s="2360"/>
      <c r="AQ43" s="2361"/>
      <c r="AR43" s="2361"/>
      <c r="AS43" s="2362"/>
      <c r="AT43" s="2230"/>
      <c r="AU43" s="2231"/>
      <c r="AV43" s="2230"/>
      <c r="AW43" s="2231"/>
      <c r="AX43" s="2325"/>
      <c r="AY43" s="2345"/>
      <c r="AZ43" s="2346"/>
      <c r="BA43" s="2308"/>
      <c r="BB43" s="2311"/>
      <c r="BC43" s="2157"/>
      <c r="BI43" s="1166">
        <v>14</v>
      </c>
    </row>
    <row customHeight="1" ht="14.699999999999998">
      <c r="A44" s="1381"/>
      <c r="B44" s="1381" t="s">
        <v>151</v>
      </c>
      <c r="C44" s="1381" t="s">
        <v>152</v>
      </c>
      <c r="D44" s="1381" t="s">
        <v>153</v>
      </c>
      <c r="E44" s="1375" t="s">
        <v>447</v>
      </c>
      <c r="F44" s="1375" t="s">
        <v>448</v>
      </c>
      <c r="G44" s="1375" t="s">
        <v>449</v>
      </c>
      <c r="H44" s="1375" t="s">
        <v>450</v>
      </c>
      <c r="I44" s="1375" t="s">
        <v>451</v>
      </c>
      <c r="J44" s="1375" t="s">
        <v>452</v>
      </c>
      <c r="K44" s="1375" t="s">
        <v>453</v>
      </c>
      <c r="L44" s="1375" t="s">
        <v>432</v>
      </c>
      <c r="Q44" s="302"/>
      <c r="R44" s="387"/>
      <c r="S44" s="2303"/>
      <c r="T44" s="2239"/>
      <c r="U44" s="313"/>
      <c r="V44" s="1490" t="s">
        <v>488</v>
      </c>
      <c r="W44" s="1490" t="s">
        <v>489</v>
      </c>
      <c r="X44" s="1490" t="s">
        <v>488</v>
      </c>
      <c r="Y44" s="1490" t="s">
        <v>489</v>
      </c>
      <c r="Z44" s="1500" t="s">
        <v>456</v>
      </c>
      <c r="AA44" s="2300" t="s">
        <v>457</v>
      </c>
      <c r="AB44" s="2301"/>
      <c r="AC44" s="2309"/>
      <c r="AD44" s="2363"/>
      <c r="AE44" s="2364"/>
      <c r="AF44" s="2364"/>
      <c r="AG44" s="2365"/>
      <c r="AH44" s="2363"/>
      <c r="AI44" s="2364"/>
      <c r="AJ44" s="2364"/>
      <c r="AK44" s="2365"/>
      <c r="AL44" s="2363"/>
      <c r="AM44" s="2364"/>
      <c r="AN44" s="2364"/>
      <c r="AO44" s="2365"/>
      <c r="AP44" s="2363"/>
      <c r="AQ44" s="2364"/>
      <c r="AR44" s="2364"/>
      <c r="AS44" s="2365"/>
      <c r="AT44" s="1490" t="s">
        <v>488</v>
      </c>
      <c r="AU44" s="1490" t="s">
        <v>489</v>
      </c>
      <c r="AV44" s="1490" t="s">
        <v>488</v>
      </c>
      <c r="AW44" s="1490" t="s">
        <v>489</v>
      </c>
      <c r="AX44" s="1500" t="s">
        <v>456</v>
      </c>
      <c r="AY44" s="2300" t="s">
        <v>457</v>
      </c>
      <c r="AZ44" s="2301"/>
      <c r="BA44" s="2309"/>
      <c r="BB44" s="2312"/>
      <c r="BC44" s="2157"/>
      <c r="BI44" s="1166">
        <v>14</v>
      </c>
    </row>
    <row s="1652" customFormat="1" customHeight="1" ht="11.25" hidden="1">
      <c r="A45" s="1381"/>
      <c r="B45" s="1381"/>
      <c r="C45" s="1381"/>
      <c r="D45" s="1381"/>
      <c r="E45" s="1381"/>
      <c r="F45" s="1381"/>
      <c r="G45" s="1381"/>
      <c r="H45" s="1381"/>
      <c r="I45" s="1381"/>
      <c r="J45" s="1381"/>
      <c r="K45" s="1381"/>
      <c r="L45" s="1375"/>
      <c r="M45" s="1373"/>
      <c r="N45" s="1373"/>
      <c r="O45" s="1373"/>
      <c r="P45" s="521"/>
      <c r="Q45" s="1265"/>
      <c r="R45" s="1265">
        <v>1</v>
      </c>
      <c r="S45" s="1288" t="s">
        <v>120</v>
      </c>
      <c r="T45" s="1266" t="s">
        <v>104</v>
      </c>
      <c r="U45" s="1256" t="str">
        <f>OFFSET(U45,0,-1)</f>
        <v>2</v>
      </c>
      <c r="V45" s="1493">
        <f>OFFSET(V45,0,-1)+1</f>
        <v>3</v>
      </c>
      <c r="W45" s="1493">
        <f>OFFSET(W45,0,-1)+1</f>
        <v>4</v>
      </c>
      <c r="X45" s="1493">
        <f>OFFSET(X45,0,-1)+1</f>
        <v>5</v>
      </c>
      <c r="Y45" s="1493">
        <f>OFFSET(Y45,0,-1)+1</f>
        <v>6</v>
      </c>
      <c r="Z45" s="1493">
        <f>OFFSET(Z45,0,-1)+1</f>
        <v>7</v>
      </c>
      <c r="AA45" s="2302">
        <f>OFFSET(AA45,0,-1)+1</f>
        <v>8</v>
      </c>
      <c r="AB45" s="2302"/>
      <c r="AC45" s="1493">
        <f>OFFSET(AC45,0,-2)+1</f>
        <v>9</v>
      </c>
      <c r="AD45" s="1493">
        <f>OFFSET(AD45,0,-1)+1</f>
        <v>10</v>
      </c>
      <c r="AE45" s="1493"/>
      <c r="AF45" s="1493"/>
      <c r="AG45" s="1493"/>
      <c r="AH45" s="1493"/>
      <c r="AI45" s="1493"/>
      <c r="AJ45" s="1493"/>
      <c r="AK45" s="1493"/>
      <c r="AL45" s="1493"/>
      <c r="AM45" s="1493"/>
      <c r="AN45" s="1493"/>
      <c r="AO45" s="1493"/>
      <c r="AP45" s="1493"/>
      <c r="AQ45" s="1493"/>
      <c r="AR45" s="1493"/>
      <c r="AS45" s="1493"/>
      <c r="AT45" s="1493"/>
      <c r="AU45" s="1493"/>
      <c r="AV45" s="1493"/>
      <c r="AW45" s="1493">
        <f>OFFSET(AW45,0,-1)+1</f>
        <v>1</v>
      </c>
      <c r="AX45" s="1493">
        <f>OFFSET(AX45,0,-1)+1</f>
        <v>2</v>
      </c>
      <c r="AY45" s="2302">
        <f>OFFSET(AY45,0,-1)+1</f>
        <v>3</v>
      </c>
      <c r="AZ45" s="2302"/>
      <c r="BA45" s="1493">
        <f>OFFSET(BA45,0,-2)+1</f>
        <v>4</v>
      </c>
      <c r="BB45" s="1256">
        <f>OFFSET(BB45,0,-1)</f>
        <v>4</v>
      </c>
      <c r="BC45" s="1493">
        <f>OFFSET(BC45,0,-1)+1</f>
        <v>5</v>
      </c>
      <c r="BD45" s="522"/>
      <c r="BE45" s="522"/>
      <c r="BF45" s="522"/>
      <c r="BG45" s="522"/>
      <c r="BH45" s="522"/>
      <c r="BI45" s="507">
        <v>0</v>
      </c>
    </row>
    <row customHeight="1" ht="22.049999999999997">
      <c r="A46" s="1374" t="s">
        <v>290</v>
      </c>
      <c r="B46" s="1374"/>
      <c r="C46" s="1374"/>
      <c r="D46" s="1374"/>
      <c r="E46" s="2288">
        <v>1</v>
      </c>
      <c r="F46" s="1374"/>
      <c r="G46" s="1374"/>
      <c r="H46" s="1374"/>
      <c r="I46" s="1374"/>
      <c r="J46" s="1374"/>
      <c r="K46" s="1374"/>
      <c r="L46" s="1375"/>
      <c r="M46" s="1376"/>
      <c r="N46" s="1376"/>
      <c r="O46" s="1376"/>
      <c r="P46" s="1420"/>
      <c r="Q46" s="884"/>
      <c r="R46" s="366"/>
      <c r="S46" s="1504">
        <f>INDEX(PT_DIFFERENTIATION_NUM_NTAR,MATCH(A46,PT_DIFFERENTIATION_NTAR_ID,0))</f>
        <v>0</v>
      </c>
      <c r="T46" s="309" t="s">
        <v>139</v>
      </c>
      <c r="U46" s="311"/>
      <c r="V46" s="2273"/>
      <c r="W46" s="2273"/>
      <c r="X46" s="2273"/>
      <c r="Y46" s="2273"/>
      <c r="Z46" s="2273"/>
      <c r="AA46" s="2273"/>
      <c r="AB46" s="2273"/>
      <c r="AC46" s="2274"/>
      <c r="AD46" s="2272" t="str">
        <f>INDEX(PT_DIFFERENTIATION_NTAR,MATCH(A46,PT_DIFFERENTIATION_NTAR_ID,0))</f>
        <v/>
      </c>
      <c r="AE46" s="2273"/>
      <c r="AF46" s="2273"/>
      <c r="AG46" s="2273"/>
      <c r="AH46" s="2273"/>
      <c r="AI46" s="2273"/>
      <c r="AJ46" s="2273"/>
      <c r="AK46" s="2273"/>
      <c r="AL46" s="2273"/>
      <c r="AM46" s="2273"/>
      <c r="AN46" s="2273"/>
      <c r="AO46" s="2273"/>
      <c r="AP46" s="2273"/>
      <c r="AQ46" s="2273"/>
      <c r="AR46" s="2273"/>
      <c r="AS46" s="2273"/>
      <c r="AT46" s="2273"/>
      <c r="AU46" s="2273"/>
      <c r="AV46" s="2273"/>
      <c r="AW46" s="2273"/>
      <c r="AX46" s="2273"/>
      <c r="AY46" s="2273"/>
      <c r="AZ46" s="2273"/>
      <c r="BA46" s="2273"/>
      <c r="BB46" s="2274"/>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290</v>
      </c>
      <c r="B47" s="1374" t="s">
        <v>291</v>
      </c>
      <c r="C47" s="1374"/>
      <c r="D47" s="1374"/>
      <c r="E47" s="2289"/>
      <c r="F47" s="2288">
        <v>1</v>
      </c>
      <c r="G47" s="1374"/>
      <c r="H47" s="1374"/>
      <c r="I47" s="1374"/>
      <c r="J47" s="1374"/>
      <c r="K47" s="1374"/>
      <c r="L47" s="1375"/>
      <c r="M47" s="1376"/>
      <c r="N47" s="1376"/>
      <c r="O47" s="1376"/>
      <c r="P47" s="1421"/>
      <c r="Q47" s="1422"/>
      <c r="R47" s="364"/>
      <c r="S47" s="1504" t="str">
        <f>INDEX(PT_DIFFERENTIATION_NUM_TER,MATCH(B47,PT_DIFFERENTIATION_TER_ID,0))</f>
        <v>.</v>
      </c>
      <c r="T47" s="319" t="s">
        <v>411</v>
      </c>
      <c r="U47" s="311"/>
      <c r="V47" s="2273"/>
      <c r="W47" s="2273"/>
      <c r="X47" s="2273"/>
      <c r="Y47" s="2273"/>
      <c r="Z47" s="2273"/>
      <c r="AA47" s="2273"/>
      <c r="AB47" s="2273"/>
      <c r="AC47" s="2274"/>
      <c r="AD47" s="2272" t="str">
        <f>INDEX(PT_DIFFERENTIATION_TER,MATCH(B47,PT_DIFFERENTIATION_TER_ID,0))</f>
        <v/>
      </c>
      <c r="AE47" s="2273"/>
      <c r="AF47" s="2273"/>
      <c r="AG47" s="2273"/>
      <c r="AH47" s="2273"/>
      <c r="AI47" s="2273"/>
      <c r="AJ47" s="2273"/>
      <c r="AK47" s="2273"/>
      <c r="AL47" s="2273"/>
      <c r="AM47" s="2273"/>
      <c r="AN47" s="2273"/>
      <c r="AO47" s="2273"/>
      <c r="AP47" s="2273"/>
      <c r="AQ47" s="2273"/>
      <c r="AR47" s="2273"/>
      <c r="AS47" s="2273"/>
      <c r="AT47" s="2273"/>
      <c r="AU47" s="2273"/>
      <c r="AV47" s="2273"/>
      <c r="AW47" s="2273"/>
      <c r="AX47" s="2273"/>
      <c r="AY47" s="2273"/>
      <c r="AZ47" s="2273"/>
      <c r="BA47" s="2273"/>
      <c r="BB47" s="2274"/>
      <c r="BC47" s="1269" t="s">
        <v>412</v>
      </c>
      <c r="BE47" s="511"/>
      <c r="BF47" s="511" t="str">
        <f>IF(T47="","",T47)</f>
        <v>Территория действия тарифа</v>
      </c>
      <c r="BG47" s="511"/>
      <c r="BH47" s="511"/>
      <c r="BI47" s="1166">
        <v>21</v>
      </c>
    </row>
    <row customHeight="1" ht="35.699999999999996">
      <c r="A48" s="1374" t="s">
        <v>290</v>
      </c>
      <c r="B48" s="1374" t="s">
        <v>291</v>
      </c>
      <c r="C48" s="1374" t="s">
        <v>292</v>
      </c>
      <c r="D48" s="1374"/>
      <c r="E48" s="2289"/>
      <c r="F48" s="2289"/>
      <c r="G48" s="2288">
        <v>1</v>
      </c>
      <c r="H48" s="1374"/>
      <c r="I48" s="1374"/>
      <c r="J48" s="1374"/>
      <c r="K48" s="1374"/>
      <c r="L48" s="1375"/>
      <c r="M48" s="1376"/>
      <c r="N48" s="1376"/>
      <c r="O48" s="1376"/>
      <c r="P48" s="1423"/>
      <c r="Q48" s="1422"/>
      <c r="R48" s="364"/>
      <c r="S48" s="1504" t="str">
        <f>INDEX(PT_DIFFERENTIATION_NUM_CS,MATCH(C48,PT_DIFFERENTIATION_CS_ID,0))</f>
        <v>..</v>
      </c>
      <c r="T48" s="320" t="s">
        <v>528</v>
      </c>
      <c r="U48" s="311"/>
      <c r="V48" s="2273"/>
      <c r="W48" s="2273"/>
      <c r="X48" s="2273"/>
      <c r="Y48" s="2273"/>
      <c r="Z48" s="2273"/>
      <c r="AA48" s="2273"/>
      <c r="AB48" s="2273"/>
      <c r="AC48" s="2274"/>
      <c r="AD48" s="2272" t="str">
        <f>INDEX(PT_DIFFERENTIATION_CS,MATCH(C48,PT_DIFFERENTIATION_CS_ID,0))</f>
        <v/>
      </c>
      <c r="AE48" s="2273"/>
      <c r="AF48" s="2273"/>
      <c r="AG48" s="2273"/>
      <c r="AH48" s="2273"/>
      <c r="AI48" s="2273"/>
      <c r="AJ48" s="2273"/>
      <c r="AK48" s="2273"/>
      <c r="AL48" s="2273"/>
      <c r="AM48" s="2273"/>
      <c r="AN48" s="2273"/>
      <c r="AO48" s="2273"/>
      <c r="AP48" s="2273"/>
      <c r="AQ48" s="2273"/>
      <c r="AR48" s="2273"/>
      <c r="AS48" s="2273"/>
      <c r="AT48" s="2273"/>
      <c r="AU48" s="2273"/>
      <c r="AV48" s="2273"/>
      <c r="AW48" s="2273"/>
      <c r="AX48" s="2273"/>
      <c r="AY48" s="2273"/>
      <c r="AZ48" s="2273"/>
      <c r="BA48" s="2273"/>
      <c r="BB48" s="2274"/>
      <c r="BC48" s="1269" t="s">
        <v>529</v>
      </c>
      <c r="BE48" s="511"/>
      <c r="BF48" s="511" t="str">
        <f>IF(T48="","",T48)</f>
        <v>Наименование централизованной системы водоотведения</v>
      </c>
      <c r="BG48" s="511"/>
      <c r="BH48" s="511"/>
      <c r="BI48" s="1166">
        <v>34</v>
      </c>
    </row>
    <row s="1653" customFormat="1" customHeight="1" ht="0">
      <c r="A49" s="1354" t="s">
        <v>290</v>
      </c>
      <c r="B49" s="1354" t="s">
        <v>291</v>
      </c>
      <c r="C49" s="1354" t="s">
        <v>292</v>
      </c>
      <c r="D49" s="1354" t="s">
        <v>541</v>
      </c>
      <c r="E49" s="2289"/>
      <c r="F49" s="2289"/>
      <c r="G49" s="2289"/>
      <c r="H49" s="2288">
        <v>1</v>
      </c>
      <c r="I49" s="1354"/>
      <c r="J49" s="1354"/>
      <c r="K49" s="1354"/>
      <c r="L49" s="1357"/>
      <c r="M49" s="1326"/>
      <c r="N49" s="1326"/>
      <c r="O49" s="1326"/>
      <c r="P49" s="1508"/>
      <c r="Q49" s="1509"/>
      <c r="R49" s="368"/>
      <c r="S49" s="1053"/>
      <c r="T49" s="1510"/>
      <c r="U49" s="1395"/>
      <c r="V49" s="2327"/>
      <c r="W49" s="2327"/>
      <c r="X49" s="2327"/>
      <c r="Y49" s="2327"/>
      <c r="Z49" s="2327"/>
      <c r="AA49" s="2327"/>
      <c r="AB49" s="2327"/>
      <c r="AC49" s="2328"/>
      <c r="AD49" s="2326"/>
      <c r="AE49" s="2327"/>
      <c r="AF49" s="2327"/>
      <c r="AG49" s="2327"/>
      <c r="AH49" s="2327"/>
      <c r="AI49" s="2327"/>
      <c r="AJ49" s="2327"/>
      <c r="AK49" s="2327"/>
      <c r="AL49" s="2327"/>
      <c r="AM49" s="2327"/>
      <c r="AN49" s="2327"/>
      <c r="AO49" s="2327"/>
      <c r="AP49" s="2327"/>
      <c r="AQ49" s="2327"/>
      <c r="AR49" s="2327"/>
      <c r="AS49" s="2327"/>
      <c r="AT49" s="2327"/>
      <c r="AU49" s="2327"/>
      <c r="AV49" s="2327"/>
      <c r="AW49" s="2327"/>
      <c r="AX49" s="2327"/>
      <c r="AY49" s="2327"/>
      <c r="AZ49" s="2327"/>
      <c r="BA49" s="2327"/>
      <c r="BB49" s="2328"/>
      <c r="BC49" s="1396" t="s">
        <v>416</v>
      </c>
      <c r="BE49" s="511"/>
      <c r="BF49" s="511" t="str">
        <f>IF(T49="","",T49)</f>
        <v/>
      </c>
      <c r="BG49" s="511"/>
      <c r="BH49" s="511"/>
      <c r="BI49" s="522">
        <v>0</v>
      </c>
    </row>
    <row s="1653" customFormat="1" customHeight="1" ht="0">
      <c r="A50" s="1354" t="s">
        <v>290</v>
      </c>
      <c r="B50" s="1354" t="s">
        <v>291</v>
      </c>
      <c r="C50" s="1354" t="s">
        <v>292</v>
      </c>
      <c r="D50" s="1354" t="s">
        <v>541</v>
      </c>
      <c r="E50" s="2289"/>
      <c r="F50" s="2289"/>
      <c r="G50" s="2289"/>
      <c r="H50" s="2289"/>
      <c r="I50" s="2286" t="str">
        <f>S49&amp;".1"</f>
        <v>.1</v>
      </c>
      <c r="J50" s="1354"/>
      <c r="K50" s="1354"/>
      <c r="L50" s="1357" t="s">
        <v>417</v>
      </c>
      <c r="M50" s="521"/>
      <c r="N50" s="521"/>
      <c r="O50" s="521"/>
      <c r="P50" s="2287">
        <v>1</v>
      </c>
      <c r="Q50" s="1492"/>
      <c r="R50" s="367"/>
      <c r="S50" s="1053"/>
      <c r="T50" s="1394"/>
      <c r="U50" s="1395"/>
      <c r="V50" s="2327"/>
      <c r="W50" s="2327"/>
      <c r="X50" s="2327"/>
      <c r="Y50" s="2327"/>
      <c r="Z50" s="2327"/>
      <c r="AA50" s="2327"/>
      <c r="AB50" s="2327"/>
      <c r="AC50" s="2328"/>
      <c r="AD50" s="2326"/>
      <c r="AE50" s="2327"/>
      <c r="AF50" s="2327"/>
      <c r="AG50" s="2327"/>
      <c r="AH50" s="2327"/>
      <c r="AI50" s="2327"/>
      <c r="AJ50" s="2327"/>
      <c r="AK50" s="2327"/>
      <c r="AL50" s="2327"/>
      <c r="AM50" s="2327"/>
      <c r="AN50" s="2327"/>
      <c r="AO50" s="2327"/>
      <c r="AP50" s="2327"/>
      <c r="AQ50" s="2327"/>
      <c r="AR50" s="2327"/>
      <c r="AS50" s="2327"/>
      <c r="AT50" s="2327"/>
      <c r="AU50" s="2327"/>
      <c r="AV50" s="2327"/>
      <c r="AW50" s="2327"/>
      <c r="AX50" s="2327"/>
      <c r="AY50" s="2327"/>
      <c r="AZ50" s="2327"/>
      <c r="BA50" s="2327"/>
      <c r="BB50" s="2328"/>
      <c r="BC50" s="1396"/>
      <c r="BE50" s="511"/>
      <c r="BF50" s="511" t="str">
        <f>IF(T50="","",T50)</f>
        <v/>
      </c>
      <c r="BG50" s="511"/>
      <c r="BH50" s="511"/>
      <c r="BI50" s="522">
        <v>0</v>
      </c>
    </row>
    <row s="1653" customFormat="1" customHeight="1" ht="0">
      <c r="A51" s="1354" t="s">
        <v>290</v>
      </c>
      <c r="B51" s="1354" t="s">
        <v>291</v>
      </c>
      <c r="C51" s="1354" t="s">
        <v>292</v>
      </c>
      <c r="D51" s="1354" t="s">
        <v>541</v>
      </c>
      <c r="E51" s="2289"/>
      <c r="F51" s="2289"/>
      <c r="G51" s="2289"/>
      <c r="H51" s="2289"/>
      <c r="I51" s="2316"/>
      <c r="J51" s="2286" t="str">
        <f>S49&amp;".1"</f>
        <v>.1</v>
      </c>
      <c r="K51" s="1354"/>
      <c r="L51" s="1357"/>
      <c r="M51" s="521"/>
      <c r="N51" s="521"/>
      <c r="O51" s="521"/>
      <c r="P51" s="2287"/>
      <c r="Q51" s="2287">
        <v>1</v>
      </c>
      <c r="R51" s="368"/>
      <c r="S51" s="1053"/>
      <c r="T51" s="1410"/>
      <c r="U51" s="1395"/>
      <c r="V51" s="2327"/>
      <c r="W51" s="2327"/>
      <c r="X51" s="2327"/>
      <c r="Y51" s="2327"/>
      <c r="Z51" s="2327"/>
      <c r="AA51" s="2327"/>
      <c r="AB51" s="2327"/>
      <c r="AC51" s="2328"/>
      <c r="AD51" s="2326"/>
      <c r="AE51" s="2327"/>
      <c r="AF51" s="2327"/>
      <c r="AG51" s="2327"/>
      <c r="AH51" s="2327"/>
      <c r="AI51" s="2327"/>
      <c r="AJ51" s="2327"/>
      <c r="AK51" s="2327"/>
      <c r="AL51" s="2327"/>
      <c r="AM51" s="2327"/>
      <c r="AN51" s="2394"/>
      <c r="AO51" s="2394"/>
      <c r="AP51" s="2327"/>
      <c r="AQ51" s="2327"/>
      <c r="AR51" s="2327"/>
      <c r="AS51" s="2327"/>
      <c r="AT51" s="2327"/>
      <c r="AU51" s="2327"/>
      <c r="AV51" s="2327"/>
      <c r="AW51" s="2327"/>
      <c r="AX51" s="2327"/>
      <c r="AY51" s="2327"/>
      <c r="AZ51" s="2327"/>
      <c r="BA51" s="2327"/>
      <c r="BB51" s="2328"/>
      <c r="BC51" s="1396"/>
      <c r="BE51" s="511"/>
      <c r="BF51" s="511" t="str">
        <f>IF(T51="","",T51)</f>
        <v/>
      </c>
      <c r="BG51" s="511"/>
      <c r="BH51" s="511"/>
      <c r="BI51" s="522">
        <v>0</v>
      </c>
    </row>
    <row customHeight="1" ht="11.549999999999999">
      <c r="A52" s="1374" t="s">
        <v>290</v>
      </c>
      <c r="B52" s="1374" t="s">
        <v>291</v>
      </c>
      <c r="C52" s="1374" t="s">
        <v>292</v>
      </c>
      <c r="D52" s="1374" t="s">
        <v>541</v>
      </c>
      <c r="E52" s="2289"/>
      <c r="F52" s="2289"/>
      <c r="G52" s="2289"/>
      <c r="H52" s="2289"/>
      <c r="I52" s="2316"/>
      <c r="J52" s="2316"/>
      <c r="K52" s="2286" t="str">
        <f>S48&amp;".1"</f>
        <v>...1</v>
      </c>
      <c r="L52" s="1375"/>
      <c r="P52" s="2287"/>
      <c r="Q52" s="2287"/>
      <c r="R52" s="368">
        <v>1</v>
      </c>
      <c r="S52" s="2371" t="str">
        <f>$K52</f>
        <v>...1</v>
      </c>
      <c r="T52" s="2390"/>
      <c r="U52" s="311"/>
      <c r="V52" s="762"/>
      <c r="W52" s="1268"/>
      <c r="X52" s="762"/>
      <c r="Y52" s="1268"/>
      <c r="Z52" s="1744"/>
      <c r="AA52" s="1480" t="s">
        <v>63</v>
      </c>
      <c r="AB52" s="1744"/>
      <c r="AC52" s="1480" t="s">
        <v>63</v>
      </c>
      <c r="AD52" s="2215" t="s">
        <v>63</v>
      </c>
      <c r="AE52" s="2356"/>
      <c r="AF52" s="2235">
        <v>1</v>
      </c>
      <c r="AG52" s="2393"/>
      <c r="AH52" s="2137" t="s">
        <v>63</v>
      </c>
      <c r="AI52" s="2356"/>
      <c r="AJ52" s="2235">
        <v>1</v>
      </c>
      <c r="AK52" s="2357" t="s">
        <v>22</v>
      </c>
      <c r="AL52" s="2137" t="s">
        <v>63</v>
      </c>
      <c r="AM52" s="2222"/>
      <c r="AN52" s="2235">
        <v>1</v>
      </c>
      <c r="AO52" s="2387"/>
      <c r="AP52" s="2388" t="s">
        <v>63</v>
      </c>
      <c r="AQ52" s="322"/>
      <c r="AR52" s="1497">
        <v>1</v>
      </c>
      <c r="AS52" s="1503" t="s">
        <v>22</v>
      </c>
      <c r="AT52" s="762"/>
      <c r="AU52" s="1268"/>
      <c r="AV52" s="762"/>
      <c r="AW52" s="1268"/>
      <c r="AX52" s="1744"/>
      <c r="AY52" s="1480" t="s">
        <v>63</v>
      </c>
      <c r="AZ52" s="1744"/>
      <c r="BA52" s="1480" t="s">
        <v>63</v>
      </c>
      <c r="BB52" s="1359"/>
      <c r="BC52" s="2283" t="s">
        <v>511</v>
      </c>
      <c r="BE52" s="511"/>
      <c r="BF52" s="511" t="str">
        <f>IF(T52="","",T52)</f>
        <v/>
      </c>
      <c r="BG52" s="511"/>
      <c r="BH52" s="511"/>
      <c r="BI52" s="1166">
        <v>11</v>
      </c>
    </row>
    <row customHeight="1" ht="11.549999999999999">
      <c r="A53" s="1374"/>
      <c r="B53" s="1374"/>
      <c r="C53" s="1374"/>
      <c r="D53" s="1374"/>
      <c r="E53" s="2289"/>
      <c r="F53" s="2289"/>
      <c r="G53" s="2289"/>
      <c r="H53" s="2289"/>
      <c r="I53" s="2316"/>
      <c r="J53" s="2316"/>
      <c r="K53" s="2286"/>
      <c r="L53" s="1375"/>
      <c r="P53" s="2287"/>
      <c r="Q53" s="2287"/>
      <c r="R53" s="368"/>
      <c r="S53" s="2372"/>
      <c r="T53" s="2391"/>
      <c r="U53" s="311"/>
      <c r="V53" s="1404"/>
      <c r="W53" s="1507"/>
      <c r="X53" s="1404"/>
      <c r="Y53" s="1507"/>
      <c r="Z53" s="1404"/>
      <c r="AA53" s="1404"/>
      <c r="AB53" s="1404"/>
      <c r="AC53" s="1404"/>
      <c r="AD53" s="2216"/>
      <c r="AE53" s="2356"/>
      <c r="AF53" s="2235"/>
      <c r="AG53" s="2393"/>
      <c r="AH53" s="2137"/>
      <c r="AI53" s="2356"/>
      <c r="AJ53" s="2235"/>
      <c r="AK53" s="2357"/>
      <c r="AL53" s="2137"/>
      <c r="AM53" s="2230"/>
      <c r="AN53" s="2235"/>
      <c r="AO53" s="2387"/>
      <c r="AP53" s="2389"/>
      <c r="AQ53" s="327"/>
      <c r="AR53" s="427"/>
      <c r="AS53" s="427" t="s">
        <v>512</v>
      </c>
      <c r="AT53" s="1404"/>
      <c r="AU53" s="1507"/>
      <c r="AV53" s="1404"/>
      <c r="AW53" s="1507"/>
      <c r="AX53" s="1404"/>
      <c r="AY53" s="1404"/>
      <c r="AZ53" s="1404"/>
      <c r="BA53" s="1404"/>
      <c r="BB53" s="1408"/>
      <c r="BC53" s="2284"/>
      <c r="BE53" s="511"/>
      <c r="BF53" s="511"/>
      <c r="BG53" s="511"/>
      <c r="BH53" s="511"/>
      <c r="BI53" s="1166">
        <v>11</v>
      </c>
    </row>
    <row customHeight="1" ht="11.549999999999999">
      <c r="A54" s="1374" t="s">
        <v>290</v>
      </c>
      <c r="B54" s="1374"/>
      <c r="C54" s="1374"/>
      <c r="D54" s="1374"/>
      <c r="E54" s="2289"/>
      <c r="F54" s="2289"/>
      <c r="G54" s="2289"/>
      <c r="H54" s="2289"/>
      <c r="I54" s="2316"/>
      <c r="J54" s="2316"/>
      <c r="K54" s="2286"/>
      <c r="L54" s="1375"/>
      <c r="P54" s="2287"/>
      <c r="Q54" s="2287"/>
      <c r="R54" s="368"/>
      <c r="S54" s="2372"/>
      <c r="T54" s="2391"/>
      <c r="U54" s="311"/>
      <c r="V54" s="1404"/>
      <c r="W54" s="1507"/>
      <c r="X54" s="1404"/>
      <c r="Y54" s="1507"/>
      <c r="Z54" s="1404"/>
      <c r="AA54" s="1404"/>
      <c r="AB54" s="1404"/>
      <c r="AC54" s="1404"/>
      <c r="AD54" s="2216"/>
      <c r="AE54" s="2356"/>
      <c r="AF54" s="2235"/>
      <c r="AG54" s="2393"/>
      <c r="AH54" s="2137"/>
      <c r="AI54" s="2356"/>
      <c r="AJ54" s="2235"/>
      <c r="AK54" s="2357"/>
      <c r="AL54" s="2137"/>
      <c r="AM54" s="327"/>
      <c r="AN54" s="1511"/>
      <c r="AO54" s="1511" t="s">
        <v>534</v>
      </c>
      <c r="AP54" s="427"/>
      <c r="AQ54" s="427"/>
      <c r="AR54" s="427"/>
      <c r="AS54" s="1404"/>
      <c r="AT54" s="1404"/>
      <c r="AU54" s="1507"/>
      <c r="AV54" s="1404"/>
      <c r="AW54" s="1507"/>
      <c r="AX54" s="1404"/>
      <c r="AY54" s="1404"/>
      <c r="AZ54" s="1404"/>
      <c r="BA54" s="1404"/>
      <c r="BB54" s="1408"/>
      <c r="BC54" s="2284"/>
      <c r="BE54" s="511"/>
      <c r="BF54" s="511"/>
      <c r="BG54" s="511"/>
      <c r="BH54" s="511"/>
      <c r="BI54" s="1166">
        <v>11</v>
      </c>
    </row>
    <row customHeight="1" ht="11.549999999999999">
      <c r="A55" s="1374" t="s">
        <v>290</v>
      </c>
      <c r="B55" s="1374"/>
      <c r="C55" s="1374"/>
      <c r="D55" s="1374"/>
      <c r="E55" s="2289"/>
      <c r="F55" s="2289"/>
      <c r="G55" s="2289"/>
      <c r="H55" s="2289"/>
      <c r="I55" s="2316"/>
      <c r="J55" s="2316"/>
      <c r="K55" s="2286"/>
      <c r="L55" s="1375"/>
      <c r="P55" s="2287"/>
      <c r="Q55" s="2287"/>
      <c r="R55" s="368"/>
      <c r="S55" s="2372"/>
      <c r="T55" s="2391"/>
      <c r="U55" s="311"/>
      <c r="V55" s="1404"/>
      <c r="W55" s="1507"/>
      <c r="X55" s="1404"/>
      <c r="Y55" s="1507"/>
      <c r="Z55" s="1404"/>
      <c r="AA55" s="1404"/>
      <c r="AB55" s="1404"/>
      <c r="AC55" s="1404"/>
      <c r="AD55" s="2216"/>
      <c r="AE55" s="2356"/>
      <c r="AF55" s="2235"/>
      <c r="AG55" s="2393"/>
      <c r="AH55" s="2137"/>
      <c r="AI55" s="305"/>
      <c r="AJ55" s="426"/>
      <c r="AK55" s="324" t="s">
        <v>535</v>
      </c>
      <c r="AL55" s="1404"/>
      <c r="AM55" s="1404"/>
      <c r="AN55" s="1404"/>
      <c r="AO55" s="1404"/>
      <c r="AP55" s="1404"/>
      <c r="AQ55" s="1404"/>
      <c r="AR55" s="1404"/>
      <c r="AS55" s="1404"/>
      <c r="AT55" s="1404"/>
      <c r="AU55" s="1507"/>
      <c r="AV55" s="1404"/>
      <c r="AW55" s="1507"/>
      <c r="AX55" s="1404"/>
      <c r="AY55" s="1404"/>
      <c r="AZ55" s="1404"/>
      <c r="BA55" s="1404"/>
      <c r="BB55" s="1408"/>
      <c r="BC55" s="2284"/>
      <c r="BE55" s="511"/>
      <c r="BF55" s="511"/>
      <c r="BG55" s="511"/>
      <c r="BH55" s="511"/>
      <c r="BI55" s="1166">
        <v>11</v>
      </c>
    </row>
    <row customHeight="1" ht="11.549999999999999">
      <c r="A56" s="1374" t="s">
        <v>290</v>
      </c>
      <c r="B56" s="1374" t="s">
        <v>291</v>
      </c>
      <c r="C56" s="1374" t="s">
        <v>292</v>
      </c>
      <c r="D56" s="1374" t="s">
        <v>541</v>
      </c>
      <c r="E56" s="2289"/>
      <c r="F56" s="2289"/>
      <c r="G56" s="2289"/>
      <c r="H56" s="2289"/>
      <c r="I56" s="2316"/>
      <c r="J56" s="2316"/>
      <c r="K56" s="2286"/>
      <c r="L56" s="1375"/>
      <c r="P56" s="2287"/>
      <c r="Q56" s="2287"/>
      <c r="R56" s="368"/>
      <c r="S56" s="2373"/>
      <c r="T56" s="2392"/>
      <c r="U56" s="311"/>
      <c r="V56" s="1404"/>
      <c r="W56" s="1405" t="str">
        <f>Z52&amp;"-"&amp;AB52</f>
        <v>-</v>
      </c>
      <c r="X56" s="1404"/>
      <c r="Y56" s="1405" t="str">
        <f>AB52&amp;"-"&amp;AD52</f>
        <v>-да</v>
      </c>
      <c r="Z56" s="1404"/>
      <c r="AA56" s="1404"/>
      <c r="AB56" s="1404"/>
      <c r="AC56" s="1404"/>
      <c r="AD56" s="2142"/>
      <c r="AE56" s="323"/>
      <c r="AF56" s="325"/>
      <c r="AG56" s="427" t="s">
        <v>515</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84"/>
      <c r="BE56" s="511"/>
      <c r="BF56" s="511" t="str">
        <f>IF(T56="","",T56)</f>
        <v/>
      </c>
      <c r="BG56" s="511"/>
      <c r="BH56" s="511"/>
      <c r="BI56" s="1166">
        <v>11</v>
      </c>
    </row>
    <row customHeight="1" ht="11.549999999999999">
      <c r="A57" s="1374" t="s">
        <v>290</v>
      </c>
      <c r="B57" s="1374" t="s">
        <v>291</v>
      </c>
      <c r="C57" s="1374" t="s">
        <v>292</v>
      </c>
      <c r="D57" s="1374" t="s">
        <v>541</v>
      </c>
      <c r="E57" s="2289"/>
      <c r="F57" s="2289"/>
      <c r="G57" s="2289"/>
      <c r="H57" s="2289"/>
      <c r="I57" s="2316"/>
      <c r="J57" s="2286"/>
      <c r="K57" s="1374"/>
      <c r="L57" s="1375"/>
      <c r="P57" s="2287"/>
      <c r="Q57" s="2287"/>
      <c r="R57" s="367"/>
      <c r="S57" s="1289"/>
      <c r="T57" s="298" t="s">
        <v>478</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85"/>
      <c r="BE57" s="511"/>
      <c r="BF57" s="511" t="str">
        <f>IF(T57="","",T57)</f>
        <v>Добавить строку</v>
      </c>
      <c r="BG57" s="511"/>
      <c r="BH57" s="511"/>
      <c r="BI57" s="1166">
        <v>11</v>
      </c>
    </row>
    <row s="1653" customFormat="1" customHeight="1" ht="0">
      <c r="A58" s="1354" t="s">
        <v>290</v>
      </c>
      <c r="B58" s="1354" t="s">
        <v>291</v>
      </c>
      <c r="C58" s="1354" t="s">
        <v>292</v>
      </c>
      <c r="D58" s="1354" t="s">
        <v>541</v>
      </c>
      <c r="E58" s="2289"/>
      <c r="F58" s="2289"/>
      <c r="G58" s="2289"/>
      <c r="H58" s="2289"/>
      <c r="I58" s="2286"/>
      <c r="J58" s="1354"/>
      <c r="K58" s="1354"/>
      <c r="L58" s="1357"/>
      <c r="M58" s="521"/>
      <c r="N58" s="521"/>
      <c r="O58" s="521"/>
      <c r="P58" s="2287"/>
      <c r="Q58" s="1492"/>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290</v>
      </c>
      <c r="B59" s="1354" t="s">
        <v>291</v>
      </c>
      <c r="C59" s="1354" t="s">
        <v>292</v>
      </c>
      <c r="D59" s="1354" t="s">
        <v>541</v>
      </c>
      <c r="E59" s="2289"/>
      <c r="F59" s="2289"/>
      <c r="G59" s="2289"/>
      <c r="H59" s="2288"/>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290</v>
      </c>
      <c r="B60" s="1354" t="s">
        <v>291</v>
      </c>
      <c r="C60" s="1354" t="s">
        <v>292</v>
      </c>
      <c r="D60" s="1325"/>
      <c r="E60" s="2289"/>
      <c r="F60" s="2289"/>
      <c r="G60" s="2288"/>
      <c r="H60" s="1325"/>
      <c r="I60" s="1325"/>
      <c r="J60" s="1325"/>
      <c r="K60" s="1325"/>
      <c r="L60" s="150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290</v>
      </c>
      <c r="B61" s="1354" t="s">
        <v>291</v>
      </c>
      <c r="C61" s="1325"/>
      <c r="D61" s="1325"/>
      <c r="E61" s="2289"/>
      <c r="F61" s="2288"/>
      <c r="G61" s="1325"/>
      <c r="H61" s="1325"/>
      <c r="I61" s="1325"/>
      <c r="J61" s="1325"/>
      <c r="K61" s="1325"/>
      <c r="L61" s="1505"/>
      <c r="M61" s="1332"/>
      <c r="N61" s="1332"/>
      <c r="P61" s="1327"/>
      <c r="Q61" s="1328"/>
      <c r="R61" s="1327"/>
      <c r="S61" s="1333"/>
      <c r="T61" s="1336" t="s">
        <v>429</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290</v>
      </c>
      <c r="B62" s="1354"/>
      <c r="C62" s="1354"/>
      <c r="D62" s="1354"/>
      <c r="E62" s="2288"/>
      <c r="F62" s="1354"/>
      <c r="G62" s="1354"/>
      <c r="H62" s="1354"/>
      <c r="I62" s="1354"/>
      <c r="J62" s="1354"/>
      <c r="K62" s="1354"/>
      <c r="L62" s="1357"/>
      <c r="M62" s="1332"/>
      <c r="N62" s="1332"/>
      <c r="O62" s="529"/>
      <c r="P62" s="391"/>
      <c r="Q62" s="1355"/>
      <c r="R62" s="391"/>
      <c r="S62" s="1333"/>
      <c r="T62" s="1336" t="s">
        <v>430</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505"/>
      <c r="M63" s="1332"/>
      <c r="N63" s="1332"/>
      <c r="P63" s="1327"/>
      <c r="Q63" s="1328"/>
      <c r="R63" s="1327"/>
      <c r="S63" s="1333"/>
      <c r="T63" s="1336" t="s">
        <v>458</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4.699999999999998">
      <c r="O65" s="548"/>
      <c r="S65" s="1264"/>
      <c r="T65" s="2315"/>
      <c r="U65" s="2315"/>
      <c r="V65" s="2315"/>
      <c r="W65" s="2315"/>
      <c r="X65" s="2315"/>
      <c r="Y65" s="2315"/>
      <c r="Z65" s="2315"/>
      <c r="AA65" s="2315"/>
      <c r="AB65" s="2315"/>
      <c r="AC65" s="2315"/>
      <c r="AD65" s="2315"/>
      <c r="AE65" s="2315"/>
      <c r="AF65" s="2315"/>
      <c r="AG65" s="2315"/>
      <c r="AH65" s="2315"/>
      <c r="AI65" s="2315"/>
      <c r="AJ65" s="2315"/>
      <c r="AK65" s="2315"/>
      <c r="AL65" s="2315"/>
      <c r="AM65" s="2315"/>
      <c r="AN65" s="2315"/>
      <c r="AO65" s="2315"/>
      <c r="AP65" s="2315"/>
      <c r="AQ65" s="2315"/>
      <c r="AR65" s="2315"/>
      <c r="AS65" s="2315"/>
      <c r="AT65" s="2315"/>
      <c r="AU65" s="2315"/>
      <c r="AV65" s="2315"/>
      <c r="AW65" s="2315"/>
      <c r="AX65" s="2315"/>
      <c r="AY65" s="2315"/>
      <c r="AZ65" s="2315"/>
      <c r="BA65" s="2315"/>
      <c r="BB65" s="2315"/>
      <c r="BC65" s="2315"/>
      <c r="BI65" s="1166">
        <v>14</v>
      </c>
    </row>
    <row customHeight="1" ht="14.699999999999998">
      <c r="O66" s="548"/>
      <c r="T66" s="1491"/>
      <c r="U66" s="1491"/>
      <c r="V66" s="1491"/>
      <c r="W66" s="1491"/>
      <c r="X66" s="1491"/>
      <c r="Y66" s="1491"/>
      <c r="Z66" s="1491"/>
      <c r="AA66" s="1491"/>
      <c r="AB66" s="1491"/>
      <c r="AC66" s="1491"/>
      <c r="AD66" s="1491"/>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I66" s="1166">
        <v>14</v>
      </c>
    </row>
    <row customHeight="1" ht="14.699999999999998">
      <c r="O67" s="548"/>
      <c r="S67" s="1264"/>
      <c r="T67" s="2315"/>
      <c r="U67" s="2315"/>
      <c r="V67" s="2315"/>
      <c r="W67" s="2315"/>
      <c r="X67" s="2315"/>
      <c r="Y67" s="2315"/>
      <c r="Z67" s="2315"/>
      <c r="AA67" s="2315"/>
      <c r="AB67" s="2315"/>
      <c r="AC67" s="2315"/>
      <c r="AD67" s="2315"/>
      <c r="AE67" s="2315"/>
      <c r="AF67" s="2315"/>
      <c r="AG67" s="2315"/>
      <c r="AH67" s="2315"/>
      <c r="AI67" s="2315"/>
      <c r="AJ67" s="2315"/>
      <c r="AK67" s="2315"/>
      <c r="AL67" s="2315"/>
      <c r="AM67" s="2315"/>
      <c r="AN67" s="2315"/>
      <c r="AO67" s="2315"/>
      <c r="AP67" s="2315"/>
      <c r="AQ67" s="2315"/>
      <c r="AR67" s="2315"/>
      <c r="AS67" s="2315"/>
      <c r="AT67" s="2315"/>
      <c r="AU67" s="2315"/>
      <c r="AV67" s="2315"/>
      <c r="AW67" s="2315"/>
      <c r="AX67" s="2315"/>
      <c r="AY67" s="2315"/>
      <c r="AZ67" s="2315"/>
      <c r="BA67" s="2315"/>
      <c r="BB67" s="2315"/>
      <c r="BC67" s="2315"/>
      <c r="BI67" s="1166">
        <v>14</v>
      </c>
    </row>
    <row customHeight="1" ht="14.699999999999998">
      <c r="O68" s="548"/>
      <c r="BI68" s="1166">
        <v>14</v>
      </c>
    </row>
    <row customHeight="1" ht="14.25" hidden="1">
      <c r="A69" s="1171" t="s">
        <v>83</v>
      </c>
      <c r="B69" s="1171">
        <v>0</v>
      </c>
      <c r="C69" s="1171">
        <v>0</v>
      </c>
      <c r="D69" s="1171">
        <v>0</v>
      </c>
      <c r="E69" s="1171">
        <v>0</v>
      </c>
      <c r="F69" s="1171">
        <v>0</v>
      </c>
      <c r="G69" s="1171">
        <v>0</v>
      </c>
      <c r="H69" s="1171">
        <v>0</v>
      </c>
      <c r="I69" s="1171">
        <v>0</v>
      </c>
      <c r="J69" s="1171">
        <v>0</v>
      </c>
      <c r="K69" s="1171">
        <v>0</v>
      </c>
      <c r="L69" s="1489">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4891E8-37E8-C918-DF28-6813DA0B7A78}" mc:Ignorable="x14ac xr xr2 xr3">
  <sheetPr>
    <tabColor rgb="FFCCCCFF"/>
    <pageSetUpPr fitToPage="1"/>
  </sheetPr>
  <dimension ref="A1:AC35"/>
  <sheetViews>
    <sheetView showGridLines="0" zoomScale="90" workbookViewId="0">
      <pane xSplit="6" ySplit="11" topLeftCell="G12" activePane="bottomRight" state="frozen"/>
      <selection pane="bottomLeft" activeCell="A12" sqref="A12"/>
      <selection pane="topRight" activeCell="G1" sqref="G1"/>
      <selection pane="bottomRight" activeCell="H13" sqref="H13"/>
    </sheetView>
  </sheetViews>
  <sheetFormatPr defaultColWidth="9.140625" customHeight="1" defaultRowHeight="14.25"/>
  <cols>
    <col min="1" max="1" style="1646" width="8.00390625" hidden="1" customWidth="1"/>
    <col min="2" max="2" style="1377" width="6.00390625" hidden="1" customWidth="1"/>
    <col min="3" max="3" style="1646" width="3.00390625" customWidth="1"/>
    <col min="4" max="4" style="1850" width="3.00390625" customWidth="1"/>
    <col min="5" max="5" style="1646" width="6.00390625" customWidth="1"/>
    <col min="6" max="6" style="1646" width="2.7109375" hidden="1" customWidth="1"/>
    <col min="7" max="7" style="1646" width="46.7109375" customWidth="1"/>
    <col min="8" max="8" style="1646" width="42.00390625" customWidth="1"/>
    <col min="9" max="9" style="1646" width="14.00390625" customWidth="1"/>
    <col min="10" max="10" style="1635" width="3.00390625" customWidth="1"/>
    <col min="11" max="13" style="1635" width="9.140625" hidden="1"/>
    <col min="14" max="14" style="1635" width="25.7109375" hidden="1" customWidth="1"/>
    <col min="15" max="15" style="1635" width="14.421875" hidden="1" customWidth="1"/>
    <col min="16" max="19" style="236" width="9.140625" hidden="1"/>
    <col min="20" max="27" style="1646" width="9.140625" hidden="1"/>
    <col min="28" max="28" style="1646" width="8.00390625" customWidth="1"/>
    <col min="29" max="29" style="1646" width="9.140625" hidden="1"/>
  </cols>
  <sheetData>
    <row s="1653" customFormat="1" customHeight="1" ht="5.25" hidden="1">
      <c r="A1" s="507"/>
      <c r="B1" s="522"/>
      <c r="C1" s="522"/>
      <c r="D1" s="232"/>
      <c r="F1" s="522"/>
      <c r="G1" s="258" t="s">
        <v>84</v>
      </c>
      <c r="H1" s="505" t="s">
        <v>85</v>
      </c>
      <c r="I1" s="238" t="s">
        <v>86</v>
      </c>
      <c r="J1" s="258" t="s">
        <v>84</v>
      </c>
      <c r="K1" s="258"/>
      <c r="L1" s="258"/>
      <c r="M1" s="258"/>
      <c r="N1" s="259"/>
      <c r="O1" s="258"/>
      <c r="P1" s="258"/>
      <c r="Q1" s="258"/>
      <c r="R1" s="258"/>
      <c r="S1" s="258"/>
      <c r="T1" s="238"/>
      <c r="U1" s="238"/>
      <c r="V1" s="238"/>
      <c r="W1" s="238"/>
      <c r="X1" s="238"/>
      <c r="Y1" s="238"/>
      <c r="Z1" s="238"/>
      <c r="AA1" s="238"/>
      <c r="AB1" s="238"/>
      <c r="AC1" s="163" t="s">
        <v>14</v>
      </c>
    </row>
    <row s="1423" customFormat="1" customHeight="1" ht="11.25">
      <c r="A2" s="842"/>
      <c r="B2" s="239"/>
      <c r="C2" s="239"/>
      <c r="D2" s="240"/>
      <c r="E2" s="239"/>
      <c r="F2" s="239"/>
      <c r="G2" s="239"/>
      <c r="H2" s="239"/>
      <c r="I2" s="239"/>
      <c r="J2" s="258"/>
      <c r="K2" s="258"/>
      <c r="L2" s="258"/>
      <c r="M2" s="258"/>
      <c r="N2" s="259"/>
      <c r="O2" s="258"/>
      <c r="P2" s="241"/>
      <c r="Q2" s="241"/>
      <c r="R2" s="241"/>
      <c r="S2" s="241"/>
      <c r="T2" s="240"/>
      <c r="U2" s="240"/>
      <c r="V2" s="240"/>
      <c r="W2" s="240"/>
      <c r="X2" s="240"/>
      <c r="Y2" s="240"/>
      <c r="Z2" s="240"/>
      <c r="AA2" s="240"/>
      <c r="AB2" s="240"/>
      <c r="AC2" s="242">
        <v>11</v>
      </c>
    </row>
    <row s="1829" customFormat="1" customHeight="1" ht="3">
      <c r="A3" s="769"/>
      <c r="B3" s="428"/>
      <c r="C3" s="769"/>
      <c r="D3" s="175"/>
      <c r="E3" s="114"/>
      <c r="F3" s="520"/>
      <c r="G3" s="114"/>
      <c r="H3" s="114"/>
      <c r="I3" s="177"/>
      <c r="J3" s="258"/>
      <c r="K3" s="166"/>
      <c r="L3" s="166"/>
      <c r="M3" s="166"/>
      <c r="N3" s="237"/>
      <c r="O3" s="166"/>
      <c r="P3" s="236"/>
      <c r="Q3" s="236"/>
      <c r="R3" s="236"/>
      <c r="S3" s="236"/>
      <c r="AC3" s="127">
        <v>3</v>
      </c>
    </row>
    <row s="1829" customFormat="1" customHeight="1" ht="27.299999999999997">
      <c r="A4" s="769"/>
      <c r="B4" s="428"/>
      <c r="C4" s="769"/>
      <c r="D4" s="175"/>
      <c r="E4" s="2130" t="str">
        <f>NameTemplatesInListMO</f>
        <v>Перечень муниципальных районов и муниципальных образований (территорий оказания услуг)</v>
      </c>
      <c r="F4" s="2130"/>
      <c r="G4" s="2130"/>
      <c r="H4" s="2130"/>
      <c r="I4" s="2130"/>
      <c r="J4" s="258"/>
      <c r="K4" s="166"/>
      <c r="L4" s="166"/>
      <c r="M4" s="166"/>
      <c r="N4" s="237"/>
      <c r="O4" s="166"/>
      <c r="P4" s="236"/>
      <c r="Q4" s="236"/>
      <c r="R4" s="236"/>
      <c r="S4" s="236"/>
      <c r="AC4" s="127">
        <v>26</v>
      </c>
    </row>
    <row s="1829" customFormat="1" customHeight="1" ht="3">
      <c r="A5" s="769"/>
      <c r="B5" s="428"/>
      <c r="C5" s="769"/>
      <c r="D5" s="175"/>
      <c r="E5" s="114"/>
      <c r="F5" s="520"/>
      <c r="G5" s="178"/>
      <c r="H5" s="178"/>
      <c r="I5" s="179"/>
      <c r="J5" s="166"/>
      <c r="K5" s="166"/>
      <c r="L5" s="166"/>
      <c r="M5" s="166"/>
      <c r="N5" s="237"/>
      <c r="O5" s="166"/>
      <c r="P5" s="236"/>
      <c r="Q5" s="236"/>
      <c r="R5" s="236"/>
      <c r="S5" s="236"/>
      <c r="AC5" s="127">
        <v>3</v>
      </c>
    </row>
    <row s="1829" customFormat="1" customHeight="1" ht="20.25" hidden="1">
      <c r="A6" s="848"/>
      <c r="B6" s="844"/>
      <c r="C6" s="180"/>
      <c r="D6" s="175"/>
      <c r="E6" s="790"/>
      <c r="F6" s="790"/>
      <c r="G6" s="178"/>
      <c r="H6" s="181"/>
      <c r="I6" s="181"/>
      <c r="J6" s="166"/>
      <c r="K6" s="166"/>
      <c r="L6" s="166"/>
      <c r="M6" s="166"/>
      <c r="N6" s="237"/>
      <c r="O6" s="166"/>
      <c r="P6" s="236"/>
      <c r="Q6" s="236"/>
      <c r="R6" s="236"/>
      <c r="S6" s="236"/>
      <c r="AC6" s="127">
        <v>0</v>
      </c>
    </row>
    <row customHeight="1" ht="25.5" hidden="1">
      <c r="AC7" s="94">
        <v>0</v>
      </c>
    </row>
    <row s="1829" customFormat="1" customHeight="1" ht="14.699999999999998">
      <c r="A8" s="769"/>
      <c r="B8" s="428"/>
      <c r="C8" s="769"/>
      <c r="D8" s="175"/>
      <c r="E8" s="2131" t="s">
        <v>87</v>
      </c>
      <c r="F8" s="2132"/>
      <c r="G8" s="2133"/>
      <c r="H8" s="2134" t="s">
        <v>88</v>
      </c>
      <c r="I8" s="2134"/>
      <c r="J8" s="166"/>
      <c r="K8" s="166"/>
      <c r="L8" s="166"/>
      <c r="M8" s="166"/>
      <c r="N8" s="237"/>
      <c r="O8" s="166"/>
      <c r="P8" s="236"/>
      <c r="Q8" s="236"/>
      <c r="R8" s="236"/>
      <c r="S8" s="236"/>
      <c r="AC8" s="127">
        <v>14</v>
      </c>
    </row>
    <row s="1829" customFormat="1" customHeight="1" ht="21">
      <c r="A9" s="769"/>
      <c r="B9" s="428"/>
      <c r="C9" s="769"/>
      <c r="D9" s="175"/>
      <c r="E9" s="788" t="s">
        <v>89</v>
      </c>
      <c r="F9" s="788"/>
      <c r="G9" s="183" t="s">
        <v>90</v>
      </c>
      <c r="H9" s="183" t="s">
        <v>90</v>
      </c>
      <c r="I9" s="183" t="s">
        <v>86</v>
      </c>
      <c r="J9" s="166"/>
      <c r="K9" s="166"/>
      <c r="L9" s="166"/>
      <c r="M9" s="166"/>
      <c r="N9" s="237"/>
      <c r="O9" s="166"/>
      <c r="P9" s="236"/>
      <c r="Q9" s="236"/>
      <c r="R9" s="236"/>
      <c r="S9" s="236"/>
      <c r="AC9" s="127">
        <v>20</v>
      </c>
    </row>
    <row customHeight="1" ht="11.549999999999999">
      <c r="D10" s="187"/>
      <c r="E10" s="789" t="s">
        <v>91</v>
      </c>
      <c r="F10" s="789"/>
      <c r="G10" s="234" t="s">
        <v>92</v>
      </c>
      <c r="H10" s="234" t="s">
        <v>93</v>
      </c>
      <c r="I10" s="234" t="s">
        <v>94</v>
      </c>
      <c r="J10" s="197"/>
      <c r="K10" s="197"/>
      <c r="L10" s="197"/>
      <c r="M10" s="197"/>
      <c r="N10" s="182"/>
      <c r="O10" s="197"/>
      <c r="P10" s="235"/>
      <c r="Q10" s="235"/>
      <c r="R10" s="235"/>
      <c r="S10" s="235"/>
      <c r="AC10" s="94">
        <v>11</v>
      </c>
    </row>
    <row s="1829" customFormat="1" customHeight="1" ht="1.05">
      <c r="A11" s="769"/>
      <c r="B11" s="428"/>
      <c r="C11" s="769"/>
      <c r="D11" s="175"/>
      <c r="E11" s="801"/>
      <c r="F11" s="801"/>
      <c r="G11" s="184"/>
      <c r="H11" s="184"/>
      <c r="I11" s="186"/>
      <c r="J11" s="260" t="s">
        <v>95</v>
      </c>
      <c r="K11" s="166"/>
      <c r="L11" s="166"/>
      <c r="M11" s="166" t="s">
        <v>96</v>
      </c>
      <c r="N11" s="237" t="s">
        <v>97</v>
      </c>
      <c r="O11" s="166" t="s">
        <v>98</v>
      </c>
      <c r="P11" s="236"/>
      <c r="Q11" s="236"/>
      <c r="R11" s="236"/>
      <c r="S11" s="236"/>
      <c r="AC11" s="127">
        <v>1</v>
      </c>
    </row>
    <row s="1829" customFormat="1" customHeight="1" ht="15">
      <c r="A12" s="2129">
        <v>1</v>
      </c>
      <c r="B12" s="428"/>
      <c r="C12" s="769"/>
      <c r="D12" s="793"/>
      <c r="E12" s="230">
        <f>A12</f>
        <v>1</v>
      </c>
      <c r="F12" s="813" t="s">
        <v>99</v>
      </c>
      <c r="G12" s="551" t="str">
        <f>"Территория "&amp;E12</f>
        <v>Территория 1</v>
      </c>
      <c r="H12" s="803"/>
      <c r="I12" s="803"/>
      <c r="J12" s="800"/>
      <c r="K12" s="511"/>
      <c r="L12" s="511"/>
      <c r="M12" s="511"/>
      <c r="N12" s="237"/>
      <c r="O12" s="511"/>
      <c r="P12" s="236"/>
      <c r="Q12" s="236"/>
      <c r="R12" s="236"/>
      <c r="S12" s="236"/>
      <c r="AC12" s="518">
        <v>14</v>
      </c>
    </row>
    <row s="1858" customFormat="1" customHeight="1" ht="15.75">
      <c r="A13" s="2129"/>
      <c r="B13" s="428">
        <v>1</v>
      </c>
      <c r="C13" s="428"/>
      <c r="D13" s="811"/>
      <c r="E13" s="791" t="str">
        <f>A12&amp;"."&amp;B13</f>
        <v>1.1</v>
      </c>
      <c r="F13" s="806" t="s">
        <v>100</v>
      </c>
      <c r="G13" s="804" t="s">
        <v>101</v>
      </c>
      <c r="H13" s="804" t="s">
        <v>101</v>
      </c>
      <c r="I13" s="802" t="s">
        <v>102</v>
      </c>
      <c r="J13" s="511">
        <f>MERGEVALUE(G13)</f>
      </c>
      <c r="K13" s="522"/>
      <c r="L13" s="522"/>
      <c r="M13" s="511" t="str">
        <f t="array" ref="M13:M13">IF(ISERROR(MATCH(MID(N13,1,250),MID(note_ter,1,250),0)),"n","y")</f>
        <v>n</v>
      </c>
      <c r="N13" s="522"/>
      <c r="O13" s="511" t="str">
        <f>H13&amp;"("&amp;I13&amp;")"</f>
        <v>город Курган(37701000)</v>
      </c>
      <c r="P13" s="428"/>
      <c r="Q13" s="428"/>
      <c r="R13" s="431"/>
      <c r="S13" s="428"/>
      <c r="T13" s="428"/>
      <c r="U13" s="428"/>
      <c r="V13" s="433"/>
      <c r="W13" s="433"/>
      <c r="X13" s="430"/>
      <c r="Y13" s="430"/>
      <c r="Z13" s="430"/>
      <c r="AA13" s="430"/>
      <c r="AB13" s="430"/>
      <c r="AC13" s="434">
        <v>15</v>
      </c>
    </row>
    <row s="1858" customFormat="1" customHeight="1" ht="15.75">
      <c r="A14" s="2129"/>
      <c r="B14" s="428"/>
      <c r="C14" s="423"/>
      <c r="D14" s="812"/>
      <c r="E14" s="432"/>
      <c r="F14" s="188"/>
      <c r="G14" s="426" t="s">
        <v>103</v>
      </c>
      <c r="H14" s="198"/>
      <c r="I14" s="435"/>
      <c r="J14" s="522"/>
      <c r="K14" s="522"/>
      <c r="L14" s="522"/>
      <c r="M14" s="522"/>
      <c r="N14" s="511"/>
      <c r="O14" s="522"/>
      <c r="P14" s="428"/>
      <c r="Q14" s="428"/>
      <c r="R14" s="431"/>
      <c r="S14" s="428"/>
      <c r="T14" s="428"/>
      <c r="U14" s="428"/>
      <c r="V14" s="433"/>
      <c r="W14" s="433"/>
      <c r="X14" s="430"/>
      <c r="Y14" s="430"/>
      <c r="Z14" s="430"/>
      <c r="AA14" s="430"/>
      <c r="AB14" s="430"/>
      <c r="AC14" s="434">
        <v>15</v>
      </c>
    </row>
    <row customHeight="1" ht="15">
      <c r="A15" s="2247" t="s">
        <v>104</v>
      </c>
      <c r="B15" s="1171"/>
      <c r="C15" s="812" t="s">
        <v>105</v>
      </c>
      <c r="D15" s="1828"/>
      <c r="E15" s="1815" t="str">
        <f>A15</f>
        <v>2</v>
      </c>
      <c r="F15" s="815" t="s">
        <v>106</v>
      </c>
      <c r="G15" s="551" t="str">
        <f>"Территория "&amp;E15</f>
        <v>Территория 2</v>
      </c>
      <c r="H15" s="803"/>
      <c r="I15" s="803"/>
      <c r="J15" s="800"/>
      <c r="K15" s="1635"/>
      <c r="L15" s="1635"/>
      <c r="M15" s="1635"/>
      <c r="N15" s="237"/>
      <c r="O15" s="1635"/>
      <c r="P15" s="236"/>
      <c r="Q15" s="236"/>
      <c r="R15" s="236"/>
      <c r="S15" s="236"/>
      <c r="T15" s="1829"/>
      <c r="U15" s="1829"/>
      <c r="V15" s="1829"/>
      <c r="W15" s="1829"/>
      <c r="X15" s="1829"/>
      <c r="Y15" s="1829"/>
      <c r="Z15" s="1829"/>
      <c r="AA15" s="1829"/>
      <c r="AB15" s="1829"/>
      <c r="AC15" s="1829"/>
    </row>
    <row customHeight="1" ht="15">
      <c r="A16" s="2247"/>
      <c r="B16" s="1171">
        <v>1</v>
      </c>
      <c r="C16" s="1171"/>
      <c r="D16" s="811"/>
      <c r="E16" s="1823" t="str">
        <f>A15&amp;"."&amp;B16</f>
        <v>2.1</v>
      </c>
      <c r="F16" s="814" t="s">
        <v>107</v>
      </c>
      <c r="G16" s="804" t="s">
        <v>108</v>
      </c>
      <c r="H16" s="804" t="s">
        <v>108</v>
      </c>
      <c r="I16" s="802" t="s">
        <v>109</v>
      </c>
      <c r="J16" s="1635"/>
      <c r="K16" s="1647"/>
      <c r="L16" s="1647"/>
      <c r="M16" s="1635" t="str">
        <f t="array" ref="M16:M16">IF(ISERROR(MATCH(MID(N16,1,250),MID(note_ter,1,250),0)),"n","y")</f>
        <v>n</v>
      </c>
      <c r="N16" s="1647"/>
      <c r="O16" s="1635" t="str">
        <f>H16&amp;"("&amp;I16&amp;")"</f>
        <v>город Шадринск(37705000)</v>
      </c>
      <c r="P16" s="1171"/>
      <c r="Q16" s="1171"/>
      <c r="R16" s="431"/>
      <c r="S16" s="1171"/>
      <c r="T16" s="1171"/>
      <c r="U16" s="1171"/>
      <c r="V16" s="433"/>
      <c r="W16" s="433"/>
      <c r="X16" s="430"/>
      <c r="Y16" s="430"/>
      <c r="Z16" s="430"/>
      <c r="AA16" s="430"/>
      <c r="AB16" s="430"/>
      <c r="AC16" s="430"/>
    </row>
    <row customHeight="1" ht="15">
      <c r="A17" s="2247"/>
      <c r="B17" s="1171"/>
      <c r="C17" s="423"/>
      <c r="D17" s="812"/>
      <c r="E17" s="432"/>
      <c r="F17" s="188"/>
      <c r="G17" s="426" t="s">
        <v>103</v>
      </c>
      <c r="H17" s="198"/>
      <c r="I17" s="435"/>
      <c r="J17" s="1647"/>
      <c r="K17" s="1647"/>
      <c r="L17" s="1647"/>
      <c r="M17" s="1647"/>
      <c r="N17" s="1635"/>
      <c r="O17" s="1647"/>
      <c r="P17" s="1171"/>
      <c r="Q17" s="1171"/>
      <c r="R17" s="431"/>
      <c r="S17" s="1171"/>
      <c r="T17" s="1171"/>
      <c r="U17" s="1171"/>
      <c r="V17" s="433"/>
      <c r="W17" s="433"/>
      <c r="X17" s="430"/>
      <c r="Y17" s="430"/>
      <c r="Z17" s="430"/>
      <c r="AA17" s="430"/>
      <c r="AB17" s="430"/>
      <c r="AC17" s="430"/>
    </row>
    <row customHeight="1" ht="15">
      <c r="A18" s="2247" t="s">
        <v>91</v>
      </c>
      <c r="B18" s="1171"/>
      <c r="C18" s="812" t="s">
        <v>105</v>
      </c>
      <c r="D18" s="1828"/>
      <c r="E18" s="1815" t="str">
        <f>A18</f>
        <v>3</v>
      </c>
      <c r="F18" s="815" t="s">
        <v>110</v>
      </c>
      <c r="G18" s="551" t="str">
        <f>"Территория "&amp;E18</f>
        <v>Территория 3</v>
      </c>
      <c r="H18" s="803"/>
      <c r="I18" s="803"/>
      <c r="J18" s="800"/>
      <c r="K18" s="1635"/>
      <c r="L18" s="1635"/>
      <c r="M18" s="1635"/>
      <c r="N18" s="237"/>
      <c r="O18" s="1635"/>
      <c r="P18" s="236"/>
      <c r="Q18" s="236"/>
      <c r="R18" s="236"/>
      <c r="S18" s="236"/>
      <c r="T18" s="1829"/>
      <c r="U18" s="1829"/>
      <c r="V18" s="1829"/>
      <c r="W18" s="1829"/>
      <c r="X18" s="1829"/>
      <c r="Y18" s="1829"/>
      <c r="Z18" s="1829"/>
      <c r="AA18" s="1829"/>
      <c r="AB18" s="1829"/>
      <c r="AC18" s="1829"/>
    </row>
    <row customHeight="1" ht="15">
      <c r="A19" s="2247"/>
      <c r="B19" s="1171">
        <v>1</v>
      </c>
      <c r="C19" s="1171"/>
      <c r="D19" s="811"/>
      <c r="E19" s="1823" t="str">
        <f>A18&amp;"."&amp;B19</f>
        <v>3.1</v>
      </c>
      <c r="F19" s="814" t="s">
        <v>111</v>
      </c>
      <c r="G19" s="804" t="s">
        <v>112</v>
      </c>
      <c r="H19" s="804" t="s">
        <v>112</v>
      </c>
      <c r="I19" s="802" t="s">
        <v>113</v>
      </c>
      <c r="J19" s="1635"/>
      <c r="K19" s="1647"/>
      <c r="L19" s="1647"/>
      <c r="M19" s="1635" t="str">
        <f t="array" ref="M19:M19">IF(ISERROR(MATCH(MID(N19,1,250),MID(note_ter,1,250),0)),"n","y")</f>
        <v>n</v>
      </c>
      <c r="N19" s="1647"/>
      <c r="O19" s="1635" t="str">
        <f>H19&amp;"("&amp;I19&amp;")"</f>
        <v>Шадринский муниципальный округ(37538000)</v>
      </c>
      <c r="P19" s="1171"/>
      <c r="Q19" s="1171"/>
      <c r="R19" s="431"/>
      <c r="S19" s="1171"/>
      <c r="T19" s="1171"/>
      <c r="U19" s="1171"/>
      <c r="V19" s="433"/>
      <c r="W19" s="433"/>
      <c r="X19" s="430"/>
      <c r="Y19" s="430"/>
      <c r="Z19" s="430"/>
      <c r="AA19" s="430"/>
      <c r="AB19" s="430"/>
      <c r="AC19" s="430"/>
    </row>
    <row customHeight="1" ht="15">
      <c r="A20" s="2247"/>
      <c r="B20" s="1171"/>
      <c r="C20" s="423"/>
      <c r="D20" s="812"/>
      <c r="E20" s="432"/>
      <c r="F20" s="188"/>
      <c r="G20" s="426" t="s">
        <v>103</v>
      </c>
      <c r="H20" s="198"/>
      <c r="I20" s="435"/>
      <c r="J20" s="1647"/>
      <c r="K20" s="1647"/>
      <c r="L20" s="1647"/>
      <c r="M20" s="1647"/>
      <c r="N20" s="1635"/>
      <c r="O20" s="1647"/>
      <c r="P20" s="1171"/>
      <c r="Q20" s="1171"/>
      <c r="R20" s="431"/>
      <c r="S20" s="1171"/>
      <c r="T20" s="1171"/>
      <c r="U20" s="1171"/>
      <c r="V20" s="433"/>
      <c r="W20" s="433"/>
      <c r="X20" s="430"/>
      <c r="Y20" s="430"/>
      <c r="Z20" s="430"/>
      <c r="AA20" s="430"/>
      <c r="AB20" s="430"/>
      <c r="AC20" s="430"/>
    </row>
    <row s="1829" customFormat="1" customHeight="1" ht="14.699999999999998">
      <c r="A21" s="769"/>
      <c r="B21" s="428"/>
      <c r="C21" s="769"/>
      <c r="D21" s="793"/>
      <c r="E21" s="805"/>
      <c r="F21" s="189"/>
      <c r="G21" s="427" t="s">
        <v>114</v>
      </c>
      <c r="H21" s="189"/>
      <c r="I21" s="190"/>
      <c r="J21" s="260"/>
      <c r="K21" s="166"/>
      <c r="L21" s="166"/>
      <c r="M21" s="166"/>
      <c r="N21" s="237" t="s">
        <v>115</v>
      </c>
      <c r="O21" s="166"/>
      <c r="P21" s="236"/>
      <c r="Q21" s="236"/>
      <c r="R21" s="236"/>
      <c r="S21" s="236"/>
      <c r="AC21" s="127">
        <v>14</v>
      </c>
    </row>
    <row s="1829" customFormat="1" customHeight="1" ht="22.049999999999997">
      <c r="A22" s="769"/>
      <c r="B22" s="428"/>
      <c r="C22" s="769"/>
      <c r="D22" s="176"/>
      <c r="E22" s="191"/>
      <c r="F22" s="191"/>
      <c r="G22" s="191"/>
      <c r="H22" s="191"/>
      <c r="I22" s="191"/>
      <c r="J22" s="166"/>
      <c r="K22" s="166"/>
      <c r="L22" s="166"/>
      <c r="M22" s="166"/>
      <c r="N22" s="237"/>
      <c r="O22" s="166"/>
      <c r="P22" s="236"/>
      <c r="Q22" s="236"/>
      <c r="R22" s="236"/>
      <c r="S22" s="236"/>
      <c r="AC22" s="127">
        <v>21</v>
      </c>
    </row>
    <row s="1829" customFormat="1" customHeight="1" ht="14.699999999999998">
      <c r="A23" s="769"/>
      <c r="B23" s="428"/>
      <c r="C23" s="769"/>
      <c r="D23" s="176"/>
      <c r="E23" s="94"/>
      <c r="F23" s="769"/>
      <c r="G23" s="94"/>
      <c r="H23" s="94"/>
      <c r="I23" s="94"/>
      <c r="J23" s="166"/>
      <c r="K23" s="166"/>
      <c r="L23" s="166"/>
      <c r="M23" s="166"/>
      <c r="N23" s="237"/>
      <c r="O23" s="166"/>
      <c r="P23" s="236"/>
      <c r="Q23" s="236"/>
      <c r="R23" s="236"/>
      <c r="S23" s="236"/>
      <c r="AC23" s="127">
        <v>14</v>
      </c>
    </row>
    <row s="1829" customFormat="1" customHeight="1" ht="1.05">
      <c r="A24" s="769"/>
      <c r="B24" s="428"/>
      <c r="C24" s="769"/>
      <c r="D24" s="176"/>
      <c r="E24" s="94"/>
      <c r="F24" s="769"/>
      <c r="G24" s="94"/>
      <c r="H24" s="94"/>
      <c r="I24" s="94"/>
      <c r="J24" s="166"/>
      <c r="K24" s="166"/>
      <c r="L24" s="166"/>
      <c r="M24" s="166"/>
      <c r="N24" s="237"/>
      <c r="O24" s="166"/>
      <c r="P24" s="236"/>
      <c r="Q24" s="236"/>
      <c r="R24" s="236"/>
      <c r="S24" s="236"/>
      <c r="AC24" s="127">
        <v>1</v>
      </c>
    </row>
    <row s="1075" customFormat="1" customHeight="1" ht="10.5">
      <c r="B25" s="845"/>
      <c r="D25" s="193"/>
      <c r="J25" s="166"/>
      <c r="K25" s="166"/>
      <c r="L25" s="166"/>
      <c r="M25" s="166"/>
      <c r="N25" s="237"/>
      <c r="O25" s="166"/>
      <c r="P25" s="236"/>
      <c r="Q25" s="236"/>
      <c r="R25" s="236"/>
      <c r="S25" s="236"/>
      <c r="AC25" s="192">
        <v>10</v>
      </c>
    </row>
    <row s="1075" customFormat="1" customHeight="1" ht="10.5">
      <c r="B26" s="845"/>
      <c r="D26" s="193"/>
      <c r="J26" s="166"/>
      <c r="K26" s="166"/>
      <c r="L26" s="166"/>
      <c r="M26" s="166"/>
      <c r="N26" s="237"/>
      <c r="O26" s="166"/>
      <c r="P26" s="236"/>
      <c r="Q26" s="236"/>
      <c r="R26" s="236"/>
      <c r="S26" s="236"/>
      <c r="AC26" s="192">
        <v>10</v>
      </c>
    </row>
    <row customHeight="1" ht="14.699999999999998">
      <c r="AC27" s="94">
        <v>14</v>
      </c>
    </row>
    <row customHeight="1" ht="14.699999999999998">
      <c r="AC28" s="94">
        <v>14</v>
      </c>
    </row>
    <row customHeight="1" ht="14.699999999999998">
      <c r="AC29" s="94">
        <v>14</v>
      </c>
    </row>
    <row customHeight="1" ht="14.699999999999998">
      <c r="H30" s="75"/>
      <c r="AC30" s="94">
        <v>14</v>
      </c>
    </row>
    <row customHeight="1" ht="14.699999999999998">
      <c r="AC31" s="94">
        <v>14</v>
      </c>
    </row>
    <row customHeight="1" ht="14.699999999999998">
      <c r="AC32" s="94">
        <v>14</v>
      </c>
    </row>
    <row customHeight="1" ht="14.699999999999998">
      <c r="AC33" s="94">
        <v>14</v>
      </c>
    </row>
    <row customHeight="1" ht="14.699999999999998">
      <c r="J34" s="94"/>
      <c r="K34" s="94"/>
      <c r="L34" s="94"/>
      <c r="AC34" s="94">
        <v>14</v>
      </c>
    </row>
    <row customHeight="1" ht="22.5" hidden="1">
      <c r="A35" s="769" t="s">
        <v>83</v>
      </c>
      <c r="B35" s="428">
        <v>0</v>
      </c>
      <c r="C35" s="769">
        <v>3</v>
      </c>
      <c r="D35" s="176">
        <v>3</v>
      </c>
      <c r="E35" s="94">
        <v>6</v>
      </c>
      <c r="F35" s="769">
        <v>0</v>
      </c>
      <c r="G35" s="94">
        <v>46</v>
      </c>
      <c r="H35" s="94">
        <v>42</v>
      </c>
      <c r="I35" s="94">
        <v>14</v>
      </c>
      <c r="J35" s="166">
        <v>3</v>
      </c>
      <c r="K35" s="166">
        <v>0</v>
      </c>
      <c r="L35" s="166">
        <v>0</v>
      </c>
      <c r="M35" s="166">
        <v>0</v>
      </c>
      <c r="N35" s="237">
        <v>0</v>
      </c>
      <c r="O35" s="166">
        <v>0</v>
      </c>
      <c r="P35" s="236">
        <v>0</v>
      </c>
      <c r="Q35" s="236">
        <v>0</v>
      </c>
      <c r="R35" s="236">
        <v>0</v>
      </c>
      <c r="S35" s="236">
        <v>0</v>
      </c>
      <c r="T35" s="94">
        <v>0</v>
      </c>
      <c r="U35" s="94">
        <v>0</v>
      </c>
      <c r="V35" s="94">
        <v>0</v>
      </c>
      <c r="W35" s="94">
        <v>0</v>
      </c>
      <c r="X35" s="94">
        <v>0</v>
      </c>
      <c r="Y35" s="94">
        <v>0</v>
      </c>
      <c r="Z35" s="94">
        <v>0</v>
      </c>
      <c r="AA35" s="94">
        <v>0</v>
      </c>
      <c r="AB35" s="94">
        <v>8</v>
      </c>
      <c r="AC35" s="9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1BB0E-3CD1-F6F5-9DD8-18FF9BCC51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8" style="1646" width="19.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19.7109375" customWidth="1"/>
    <col min="34" max="39" style="1646" width="19.00390625" customWidth="1"/>
    <col min="40" max="40" style="1646" width="11.00390625" customWidth="1"/>
    <col min="41" max="41" style="1646" width="3.7109375" customWidth="1"/>
    <col min="42" max="42" style="1646" width="11.00390625" customWidth="1"/>
    <col min="43" max="43" style="1646" width="8.57421875" hidden="1" customWidth="1"/>
    <col min="44" max="44" style="1646" width="4.00390625" customWidth="1"/>
    <col min="45" max="45" style="1646" width="115.00390625" customWidth="1"/>
    <col min="46" max="50" style="1653" width="10.00390625" customWidth="1"/>
    <col min="51" max="51" style="1646" width="10.57421875" hidden="1"/>
  </cols>
  <sheetData>
    <row customHeight="1" ht="22.5" hidden="1">
      <c r="AC1" s="338"/>
      <c r="AN1" s="338"/>
      <c r="AY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504">
        <f>INDEX(PT_DIFFERENTIATION_NUM_NTAR,MATCH(A2,PT_DIFFERENTIATION_NTAR_ID,0))</f>
      </c>
      <c r="T2" s="309" t="s">
        <v>139</v>
      </c>
      <c r="U2" s="311"/>
      <c r="V2" s="2272"/>
      <c r="W2" s="2273"/>
      <c r="X2" s="2273"/>
      <c r="Y2" s="2273"/>
      <c r="Z2" s="2273"/>
      <c r="AA2" s="2273"/>
      <c r="AB2" s="2273"/>
      <c r="AC2" s="2273"/>
      <c r="AD2" s="2273"/>
      <c r="AE2" s="2273"/>
      <c r="AF2" s="2274"/>
      <c r="AG2" s="2272">
        <f>INDEX(PT_DIFFERENTIATION_NTAR,MATCH(A2,PT_DIFFERENTIATION_NTAR_ID,0))</f>
      </c>
      <c r="AH2" s="2273"/>
      <c r="AI2" s="2273"/>
      <c r="AJ2" s="2273"/>
      <c r="AK2" s="2273"/>
      <c r="AL2" s="2273"/>
      <c r="AM2" s="2273"/>
      <c r="AN2" s="2273"/>
      <c r="AO2" s="2273"/>
      <c r="AP2" s="2273"/>
      <c r="AQ2" s="2273"/>
      <c r="AR2" s="2274"/>
      <c r="AS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1"/>
      <c r="AV2" s="511" t="str">
        <f>IF(T2="","",T2)</f>
        <v>Наименование тарифа</v>
      </c>
      <c r="AW2" s="511"/>
      <c r="AX2" s="511"/>
      <c r="AY2" s="1166">
        <v>0</v>
      </c>
    </row>
    <row customHeight="1" ht="23.25" hidden="1">
      <c r="A3" s="1374"/>
      <c r="B3" s="1374"/>
      <c r="C3" s="1374"/>
      <c r="D3" s="1374"/>
      <c r="E3" s="2289"/>
      <c r="F3" s="2288">
        <v>1</v>
      </c>
      <c r="G3" s="1374"/>
      <c r="H3" s="1374"/>
      <c r="I3" s="1374"/>
      <c r="J3" s="1374"/>
      <c r="K3" s="1374"/>
      <c r="L3" s="1375"/>
      <c r="M3" s="1376"/>
      <c r="N3" s="1376"/>
      <c r="O3" s="1376"/>
      <c r="P3" s="1498"/>
      <c r="Q3" s="363"/>
      <c r="R3" s="364"/>
      <c r="S3" s="1504">
        <f>INDEX(PT_DIFFERENTIATION_NUM_TER,MATCH(B3,PT_DIFFERENTIATION_TER_ID,0))</f>
      </c>
      <c r="T3" s="319" t="s">
        <v>411</v>
      </c>
      <c r="U3" s="311"/>
      <c r="V3" s="2272"/>
      <c r="W3" s="2273"/>
      <c r="X3" s="2273"/>
      <c r="Y3" s="2273"/>
      <c r="Z3" s="2273"/>
      <c r="AA3" s="2273"/>
      <c r="AB3" s="2273"/>
      <c r="AC3" s="2273"/>
      <c r="AD3" s="2273"/>
      <c r="AE3" s="2273"/>
      <c r="AF3" s="2274"/>
      <c r="AG3" s="2272">
        <f>INDEX(PT_DIFFERENTIATION_TER,MATCH(B3,PT_DIFFERENTIATION_TER_ID,0))</f>
      </c>
      <c r="AH3" s="2273"/>
      <c r="AI3" s="2273"/>
      <c r="AJ3" s="2273"/>
      <c r="AK3" s="2273"/>
      <c r="AL3" s="2273"/>
      <c r="AM3" s="2273"/>
      <c r="AN3" s="2273"/>
      <c r="AO3" s="2273"/>
      <c r="AP3" s="2273"/>
      <c r="AQ3" s="2273"/>
      <c r="AR3" s="2274"/>
      <c r="AS3" s="1269" t="s">
        <v>412</v>
      </c>
      <c r="AU3" s="511"/>
      <c r="AV3" s="511" t="str">
        <f>IF(T3="","",T3)</f>
        <v>Территория действия тарифа</v>
      </c>
      <c r="AW3" s="511"/>
      <c r="AX3" s="511"/>
      <c r="AY3" s="1166">
        <v>0</v>
      </c>
    </row>
    <row customHeight="1" ht="23.25" hidden="1">
      <c r="A4" s="1374"/>
      <c r="B4" s="1374"/>
      <c r="C4" s="1374"/>
      <c r="D4" s="1374"/>
      <c r="E4" s="2289"/>
      <c r="F4" s="2289"/>
      <c r="G4" s="2288">
        <v>1</v>
      </c>
      <c r="H4" s="1374"/>
      <c r="I4" s="1374"/>
      <c r="J4" s="1374"/>
      <c r="K4" s="1374"/>
      <c r="L4" s="1375"/>
      <c r="M4" s="1376"/>
      <c r="N4" s="1376"/>
      <c r="O4" s="1376"/>
      <c r="P4" s="365"/>
      <c r="Q4" s="363"/>
      <c r="R4" s="364"/>
      <c r="S4" s="1504">
        <f>INDEX(PT_DIFFERENTIATION_NUM_CS,MATCH(C4,PT_DIFFERENTIATION_CS_ID,0))</f>
      </c>
      <c r="T4" s="320" t="s">
        <v>542</v>
      </c>
      <c r="U4" s="311"/>
      <c r="V4" s="2272"/>
      <c r="W4" s="2273"/>
      <c r="X4" s="2273"/>
      <c r="Y4" s="2273"/>
      <c r="Z4" s="2273"/>
      <c r="AA4" s="2273"/>
      <c r="AB4" s="2273"/>
      <c r="AC4" s="2273"/>
      <c r="AD4" s="2273"/>
      <c r="AE4" s="2273"/>
      <c r="AF4" s="2274"/>
      <c r="AG4" s="2272">
        <f>INDEX(PT_DIFFERENTIATION_CS,MATCH(C4,PT_DIFFERENTIATION_CS_ID,0))</f>
      </c>
      <c r="AH4" s="2273"/>
      <c r="AI4" s="2273"/>
      <c r="AJ4" s="2273"/>
      <c r="AK4" s="2273"/>
      <c r="AL4" s="2273"/>
      <c r="AM4" s="2273"/>
      <c r="AN4" s="2273"/>
      <c r="AO4" s="2273"/>
      <c r="AP4" s="2273"/>
      <c r="AQ4" s="2273"/>
      <c r="AR4" s="2274"/>
      <c r="AS4" s="1269" t="s">
        <v>543</v>
      </c>
      <c r="AU4" s="511"/>
      <c r="AV4" s="511" t="str">
        <f>IF(T4="","",T4)</f>
        <v>Наименование централизованной системы горячего водоснабжения</v>
      </c>
      <c r="AW4" s="511"/>
      <c r="AX4" s="511"/>
      <c r="AY4" s="1166">
        <v>0</v>
      </c>
    </row>
    <row customHeight="1" ht="23.25" hidden="1">
      <c r="A5" s="1374"/>
      <c r="B5" s="1374"/>
      <c r="C5" s="1374"/>
      <c r="D5" s="1374"/>
      <c r="E5" s="2289"/>
      <c r="F5" s="2289"/>
      <c r="G5" s="2289"/>
      <c r="H5" s="2289"/>
      <c r="I5" s="2286">
        <f>S4&amp;".1"</f>
      </c>
      <c r="J5" s="1374"/>
      <c r="K5" s="1374"/>
      <c r="L5" s="1375"/>
      <c r="P5" s="2287">
        <v>1</v>
      </c>
      <c r="Q5" s="1492"/>
      <c r="R5" s="367"/>
      <c r="S5" s="1504">
        <f>$I5</f>
      </c>
      <c r="T5" s="296" t="s">
        <v>495</v>
      </c>
      <c r="U5" s="311"/>
      <c r="V5" s="2380"/>
      <c r="W5" s="2381"/>
      <c r="X5" s="2381"/>
      <c r="Y5" s="2381"/>
      <c r="Z5" s="2381"/>
      <c r="AA5" s="2381"/>
      <c r="AB5" s="2381"/>
      <c r="AC5" s="2381"/>
      <c r="AD5" s="2381"/>
      <c r="AE5" s="2381"/>
      <c r="AF5" s="2382"/>
      <c r="AG5" s="2383"/>
      <c r="AH5" s="2384"/>
      <c r="AI5" s="2384"/>
      <c r="AJ5" s="2384"/>
      <c r="AK5" s="2384"/>
      <c r="AL5" s="2384"/>
      <c r="AM5" s="2384"/>
      <c r="AN5" s="2384"/>
      <c r="AO5" s="2384"/>
      <c r="AP5" s="2384"/>
      <c r="AQ5" s="2384"/>
      <c r="AR5" s="2385"/>
      <c r="AS5" s="1269" t="s">
        <v>496</v>
      </c>
      <c r="AU5" s="511"/>
      <c r="AV5" s="511" t="str">
        <f>IF(T5="","",T5)</f>
        <v>Наименование признака дифференциации</v>
      </c>
      <c r="AW5" s="511"/>
      <c r="AX5" s="511"/>
      <c r="AY5" s="1166">
        <v>0</v>
      </c>
    </row>
    <row customHeight="1" ht="23.25" hidden="1">
      <c r="A6" s="1374"/>
      <c r="B6" s="1374"/>
      <c r="C6" s="1374"/>
      <c r="D6" s="1374"/>
      <c r="E6" s="2289"/>
      <c r="F6" s="2289"/>
      <c r="G6" s="2289"/>
      <c r="H6" s="2289"/>
      <c r="I6" s="2316"/>
      <c r="J6" s="2286">
        <f>I5&amp;".1"</f>
      </c>
      <c r="K6" s="1374"/>
      <c r="L6" s="1375" t="s">
        <v>420</v>
      </c>
      <c r="P6" s="2287"/>
      <c r="Q6" s="2287">
        <v>1</v>
      </c>
      <c r="R6" s="368"/>
      <c r="S6" s="1504">
        <f>$J6</f>
      </c>
      <c r="T6" s="297" t="s">
        <v>421</v>
      </c>
      <c r="U6" s="311"/>
      <c r="V6" s="2275"/>
      <c r="W6" s="2276"/>
      <c r="X6" s="2276"/>
      <c r="Y6" s="2276"/>
      <c r="Z6" s="2276"/>
      <c r="AA6" s="2276"/>
      <c r="AB6" s="2276"/>
      <c r="AC6" s="2276"/>
      <c r="AD6" s="2276"/>
      <c r="AE6" s="2276"/>
      <c r="AF6" s="2277"/>
      <c r="AG6" s="2275"/>
      <c r="AH6" s="2276"/>
      <c r="AI6" s="2276"/>
      <c r="AJ6" s="2276"/>
      <c r="AK6" s="2276"/>
      <c r="AL6" s="2276"/>
      <c r="AM6" s="2276"/>
      <c r="AN6" s="2276"/>
      <c r="AO6" s="2276"/>
      <c r="AP6" s="2276"/>
      <c r="AQ6" s="2276"/>
      <c r="AR6" s="2277"/>
      <c r="AS6" s="1318" t="s">
        <v>497</v>
      </c>
      <c r="AU6" s="511"/>
      <c r="AV6" s="511" t="str">
        <f>IF(T6="","",T6)</f>
        <v>Группа потребителей</v>
      </c>
      <c r="AW6" s="511"/>
      <c r="AX6" s="511"/>
      <c r="AY6" s="1166">
        <v>0</v>
      </c>
    </row>
    <row customHeight="1" ht="23.25" hidden="1">
      <c r="A7" s="1374"/>
      <c r="B7" s="1374"/>
      <c r="C7" s="1374"/>
      <c r="D7" s="1374"/>
      <c r="E7" s="2289"/>
      <c r="F7" s="2289"/>
      <c r="G7" s="2289"/>
      <c r="H7" s="2289"/>
      <c r="I7" s="2316"/>
      <c r="J7" s="2316"/>
      <c r="K7" s="2286">
        <f>J6&amp;".1"</f>
      </c>
      <c r="L7" s="1375"/>
      <c r="P7" s="2287"/>
      <c r="Q7" s="2287"/>
      <c r="R7" s="368">
        <v>1</v>
      </c>
      <c r="S7" s="1504">
        <f>$K7</f>
      </c>
      <c r="T7" s="1448"/>
      <c r="U7" s="311"/>
      <c r="V7" s="762"/>
      <c r="W7" s="762"/>
      <c r="X7" s="762"/>
      <c r="Y7" s="762"/>
      <c r="Z7" s="762"/>
      <c r="AA7" s="762"/>
      <c r="AB7" s="762"/>
      <c r="AC7" s="2295"/>
      <c r="AD7" s="2137" t="s">
        <v>63</v>
      </c>
      <c r="AE7" s="2295"/>
      <c r="AF7" s="2137" t="s">
        <v>63</v>
      </c>
      <c r="AG7" s="762"/>
      <c r="AH7" s="762"/>
      <c r="AI7" s="762"/>
      <c r="AJ7" s="762"/>
      <c r="AK7" s="762"/>
      <c r="AL7" s="762"/>
      <c r="AM7" s="762"/>
      <c r="AN7" s="2295"/>
      <c r="AO7" s="2137" t="s">
        <v>63</v>
      </c>
      <c r="AP7" s="2317"/>
      <c r="AQ7" s="2137" t="s">
        <v>63</v>
      </c>
      <c r="AR7" s="1449"/>
      <c r="AS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2">
        <f>STRCHECKDATE(V8:AR8)</f>
      </c>
      <c r="AU7" s="511"/>
      <c r="AV7" s="511" t="str">
        <f>IF(T7="","",T7)</f>
        <v/>
      </c>
      <c r="AW7" s="511"/>
      <c r="AX7" s="511"/>
      <c r="AY7" s="1166">
        <v>0</v>
      </c>
    </row>
    <row customHeight="1" ht="14.25" hidden="1">
      <c r="A8" s="1374"/>
      <c r="B8" s="1374"/>
      <c r="C8" s="1374"/>
      <c r="D8" s="1374"/>
      <c r="E8" s="2289"/>
      <c r="F8" s="2289"/>
      <c r="G8" s="2289"/>
      <c r="H8" s="2289"/>
      <c r="I8" s="2316"/>
      <c r="J8" s="2316"/>
      <c r="K8" s="2286"/>
      <c r="L8" s="1375"/>
      <c r="P8" s="2287"/>
      <c r="Q8" s="2287"/>
      <c r="R8" s="368"/>
      <c r="S8" s="1501"/>
      <c r="T8" s="311"/>
      <c r="U8" s="311"/>
      <c r="V8" s="336"/>
      <c r="W8" s="336"/>
      <c r="X8" s="336"/>
      <c r="Y8" s="336"/>
      <c r="Z8" s="336"/>
      <c r="AA8" s="336"/>
      <c r="AB8" s="336"/>
      <c r="AC8" s="2296"/>
      <c r="AD8" s="2137"/>
      <c r="AE8" s="2296"/>
      <c r="AF8" s="2137"/>
      <c r="AG8" s="336"/>
      <c r="AH8" s="336"/>
      <c r="AI8" s="336"/>
      <c r="AJ8" s="336"/>
      <c r="AK8" s="336"/>
      <c r="AL8" s="336"/>
      <c r="AM8" s="336"/>
      <c r="AN8" s="2296"/>
      <c r="AO8" s="2137"/>
      <c r="AP8" s="2318"/>
      <c r="AQ8" s="2137"/>
      <c r="AR8" s="1450"/>
      <c r="AS8" s="2379"/>
      <c r="AU8" s="511"/>
      <c r="AV8" s="511" t="str">
        <f>IF(T8="","",T8)</f>
        <v/>
      </c>
      <c r="AW8" s="511"/>
      <c r="AX8" s="511"/>
      <c r="AY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611"/>
      <c r="X9" s="611"/>
      <c r="Y9" s="611"/>
      <c r="Z9" s="611"/>
      <c r="AA9" s="611"/>
      <c r="AB9" s="611"/>
      <c r="AC9" s="378"/>
      <c r="AD9" s="378"/>
      <c r="AE9" s="378"/>
      <c r="AF9" s="378"/>
      <c r="AG9" s="378"/>
      <c r="AH9" s="611"/>
      <c r="AI9" s="611"/>
      <c r="AJ9" s="611"/>
      <c r="AK9" s="611"/>
      <c r="AL9" s="611"/>
      <c r="AM9" s="378"/>
      <c r="AN9" s="378"/>
      <c r="AO9" s="378"/>
      <c r="AP9" s="378"/>
      <c r="AQ9" s="378"/>
      <c r="AR9" s="378"/>
      <c r="AS9" s="1269" t="s">
        <v>499</v>
      </c>
      <c r="AU9" s="511"/>
      <c r="AV9" s="511" t="str">
        <f>IF(T9="","",T9)</f>
        <v>Добавить значение признака дифференциации</v>
      </c>
      <c r="AW9" s="511"/>
      <c r="AX9" s="511"/>
      <c r="AY9" s="1166">
        <v>0</v>
      </c>
    </row>
    <row customHeight="1" ht="21" hidden="1">
      <c r="A10" s="1374"/>
      <c r="B10" s="1374"/>
      <c r="C10" s="1374"/>
      <c r="D10" s="1374"/>
      <c r="E10" s="2289"/>
      <c r="F10" s="2289"/>
      <c r="G10" s="2289"/>
      <c r="H10" s="2289"/>
      <c r="I10" s="2286"/>
      <c r="J10" s="1374"/>
      <c r="K10" s="1374"/>
      <c r="L10" s="1375"/>
      <c r="P10" s="2287"/>
      <c r="Q10" s="1492"/>
      <c r="R10" s="367"/>
      <c r="S10" s="1289"/>
      <c r="T10" s="376" t="s">
        <v>426</v>
      </c>
      <c r="U10" s="378"/>
      <c r="V10" s="378"/>
      <c r="W10" s="611"/>
      <c r="X10" s="611"/>
      <c r="Y10" s="611"/>
      <c r="Z10" s="611"/>
      <c r="AA10" s="611"/>
      <c r="AB10" s="611"/>
      <c r="AC10" s="378"/>
      <c r="AD10" s="378"/>
      <c r="AE10" s="378"/>
      <c r="AF10" s="377"/>
      <c r="AG10" s="378"/>
      <c r="AH10" s="611"/>
      <c r="AI10" s="611"/>
      <c r="AJ10" s="611"/>
      <c r="AK10" s="611"/>
      <c r="AL10" s="611"/>
      <c r="AM10" s="378"/>
      <c r="AN10" s="378"/>
      <c r="AO10" s="378"/>
      <c r="AP10" s="378"/>
      <c r="AQ10" s="377"/>
      <c r="AR10" s="378"/>
      <c r="AS10" s="1451"/>
      <c r="AU10" s="511"/>
      <c r="AV10" s="511" t="str">
        <f>IF(T10="","",T10)</f>
        <v>Добавить группу потребителей</v>
      </c>
      <c r="AW10" s="511"/>
      <c r="AX10" s="511"/>
      <c r="AY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611"/>
      <c r="X11" s="611"/>
      <c r="Y11" s="611"/>
      <c r="Z11" s="611"/>
      <c r="AA11" s="611"/>
      <c r="AB11" s="611"/>
      <c r="AC11" s="378"/>
      <c r="AD11" s="378"/>
      <c r="AE11" s="378"/>
      <c r="AF11" s="377"/>
      <c r="AG11" s="378"/>
      <c r="AH11" s="611"/>
      <c r="AI11" s="611"/>
      <c r="AJ11" s="611"/>
      <c r="AK11" s="611"/>
      <c r="AL11" s="611"/>
      <c r="AM11" s="378"/>
      <c r="AN11" s="378"/>
      <c r="AO11" s="378"/>
      <c r="AP11" s="378"/>
      <c r="AQ11" s="377"/>
      <c r="AR11" s="378"/>
      <c r="AS11" s="314"/>
      <c r="AU11" s="511"/>
      <c r="AV11" s="511" t="str">
        <f>IF(T11="","",T11)</f>
        <v>Добавить наименование признака дифференциации</v>
      </c>
      <c r="AW11" s="511"/>
      <c r="AX11" s="511"/>
      <c r="AY11" s="1166">
        <v>0</v>
      </c>
    </row>
    <row s="1653" customFormat="1" customHeight="1" ht="14.25" hidden="1">
      <c r="A12" s="1354"/>
      <c r="B12" s="1354"/>
      <c r="C12" s="1325"/>
      <c r="D12" s="1325"/>
      <c r="E12" s="2289"/>
      <c r="F12" s="2288"/>
      <c r="G12" s="1325"/>
      <c r="H12" s="1325"/>
      <c r="I12" s="1325"/>
      <c r="J12" s="1325"/>
      <c r="K12" s="1325"/>
      <c r="L12" s="1505"/>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L12" s="1335"/>
      <c r="AM12" s="1335"/>
      <c r="AN12" s="1335"/>
      <c r="AO12" s="1335"/>
      <c r="AP12" s="1335"/>
      <c r="AQ12" s="1335"/>
      <c r="AR12" s="1335"/>
      <c r="AS12" s="1335"/>
      <c r="AU12" s="800"/>
      <c r="AV12" s="800" t="str">
        <f>IF(T12="","",T12)</f>
        <v>Добавить централизованную систему для дифференциации</v>
      </c>
      <c r="AW12" s="800"/>
      <c r="AX12" s="800"/>
      <c r="AY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U13" s="511"/>
      <c r="AV13" s="511" t="str">
        <f>IF(T13="","",T13)</f>
        <v>Добавить территорию для дифференциации</v>
      </c>
      <c r="AW13" s="511"/>
      <c r="AX13" s="511"/>
      <c r="AY13" s="522">
        <v>0</v>
      </c>
    </row>
    <row customHeight="1" ht="14.25" hidden="1">
      <c r="AF14" s="338"/>
      <c r="AQ14" s="338"/>
      <c r="AY14" s="1166">
        <v>0</v>
      </c>
    </row>
    <row customHeight="1" ht="14.25" hidden="1">
      <c r="AG15" s="1371"/>
      <c r="AH15" s="1371"/>
      <c r="AI15" s="1371"/>
      <c r="AJ15" s="1371"/>
      <c r="AK15" s="1371"/>
      <c r="AL15" s="1371"/>
      <c r="AM15" s="1371"/>
      <c r="AN15" s="2297"/>
      <c r="AO15" s="2298" t="s">
        <v>63</v>
      </c>
      <c r="AP15" s="2297"/>
      <c r="AQ15" s="2298" t="s">
        <v>63</v>
      </c>
      <c r="AY15" s="1166">
        <v>0</v>
      </c>
    </row>
    <row customHeight="1" ht="14.25" hidden="1">
      <c r="AG16" s="1371"/>
      <c r="AH16" s="1371"/>
      <c r="AI16" s="1371"/>
      <c r="AJ16" s="1371"/>
      <c r="AK16" s="1371"/>
      <c r="AL16" s="1371"/>
      <c r="AM16" s="1371"/>
      <c r="AN16" s="2298"/>
      <c r="AO16" s="2298"/>
      <c r="AP16" s="2298"/>
      <c r="AQ16" s="2298"/>
      <c r="AY16" s="1166">
        <v>0</v>
      </c>
    </row>
    <row customHeight="1" ht="14.25" hidden="1">
      <c r="AQ17" s="338"/>
      <c r="AY17" s="1166">
        <v>0</v>
      </c>
    </row>
    <row s="1377" customFormat="1" customHeight="1" ht="22.5" hidden="1">
      <c r="L18" s="1489"/>
      <c r="M18" s="1373"/>
      <c r="N18" s="1373"/>
      <c r="O18" s="1378" t="s">
        <v>431</v>
      </c>
      <c r="P18" s="1373"/>
      <c r="Q18" s="1382"/>
      <c r="R18" s="1382"/>
      <c r="S18" s="740"/>
      <c r="W18" s="1377"/>
      <c r="X18" s="1377"/>
      <c r="Y18" s="1377"/>
      <c r="Z18" s="1377"/>
      <c r="AA18" s="1377"/>
      <c r="AB18" s="1377"/>
      <c r="AC18" s="1378"/>
      <c r="AE18" s="1378"/>
      <c r="AF18" s="1377"/>
      <c r="AH18" s="1377"/>
      <c r="AI18" s="1377"/>
      <c r="AJ18" s="1377"/>
      <c r="AK18" s="1377"/>
      <c r="AL18" s="1377"/>
      <c r="AN18" s="1378"/>
      <c r="AP18" s="1378"/>
      <c r="AQ18" s="1377"/>
      <c r="AT18" s="522"/>
      <c r="AU18" s="522"/>
      <c r="AV18" s="522"/>
      <c r="AW18" s="522"/>
      <c r="AX18" s="522"/>
      <c r="AY18" s="1171">
        <v>0</v>
      </c>
    </row>
    <row s="1377" customFormat="1" customHeight="1" ht="14.25" hidden="1">
      <c r="L19" s="1489"/>
      <c r="M19" s="1373"/>
      <c r="N19" s="1373"/>
      <c r="O19" s="1373"/>
      <c r="P19" s="1373"/>
      <c r="Q19" s="1382"/>
      <c r="R19" s="1382"/>
      <c r="S19" s="740"/>
      <c r="W19" s="1377"/>
      <c r="X19" s="1377"/>
      <c r="Y19" s="1377"/>
      <c r="Z19" s="1377"/>
      <c r="AA19" s="1377"/>
      <c r="AB19" s="1377"/>
      <c r="AF19" s="1377"/>
      <c r="AH19" s="1377"/>
      <c r="AI19" s="1377"/>
      <c r="AJ19" s="1377"/>
      <c r="AK19" s="1377"/>
      <c r="AL19" s="1377"/>
      <c r="AQ19" s="1377"/>
      <c r="AT19" s="522"/>
      <c r="AU19" s="522"/>
      <c r="AV19" s="522"/>
      <c r="AW19" s="522"/>
      <c r="AX19" s="522"/>
      <c r="AY19" s="1171">
        <v>0</v>
      </c>
    </row>
    <row s="1377" customFormat="1" customHeight="1" ht="12" hidden="1">
      <c r="L20" s="1489"/>
      <c r="M20" s="1373"/>
      <c r="N20" s="1373"/>
      <c r="O20" s="1375" t="s">
        <v>432</v>
      </c>
      <c r="P20" s="1373"/>
      <c r="Q20" s="1453"/>
      <c r="R20" s="1453"/>
      <c r="S20" s="740"/>
      <c r="T20" s="1171" t="s">
        <v>433</v>
      </c>
      <c r="W20" s="1377"/>
      <c r="X20" s="1377"/>
      <c r="Y20" s="1377"/>
      <c r="Z20" s="1377"/>
      <c r="AA20" s="1377"/>
      <c r="AB20" s="1377"/>
      <c r="AD20" s="197" t="s">
        <v>434</v>
      </c>
      <c r="AF20" s="197" t="s">
        <v>435</v>
      </c>
      <c r="AG20" s="1171" t="s">
        <v>433</v>
      </c>
      <c r="AH20" s="1377"/>
      <c r="AI20" s="1377"/>
      <c r="AJ20" s="1377"/>
      <c r="AK20" s="1377"/>
      <c r="AL20" s="1377"/>
      <c r="AO20" s="197" t="s">
        <v>436</v>
      </c>
      <c r="AQ20" s="197" t="s">
        <v>435</v>
      </c>
      <c r="AY20" s="1171">
        <v>0</v>
      </c>
    </row>
    <row customHeight="1" ht="14.25" hidden="1">
      <c r="O21" s="1375"/>
      <c r="AY21" s="1166">
        <v>0</v>
      </c>
    </row>
    <row customHeight="1" ht="14.25" hidden="1">
      <c r="O22" s="1375"/>
      <c r="AY22" s="1166">
        <v>0</v>
      </c>
    </row>
    <row customHeight="1" ht="14.699999999999998">
      <c r="Q23" s="387"/>
      <c r="R23" s="387"/>
      <c r="S23" s="1286"/>
      <c r="T23" s="374"/>
      <c r="U23" s="374"/>
      <c r="V23" s="520"/>
      <c r="W23" s="1646"/>
      <c r="X23" s="1646"/>
      <c r="Y23" s="1646"/>
      <c r="Z23" s="1646"/>
      <c r="AA23" s="1646"/>
      <c r="AB23" s="1646"/>
      <c r="AC23" s="520"/>
      <c r="AD23" s="520"/>
      <c r="AE23" s="520"/>
      <c r="AF23" s="520"/>
      <c r="AG23" s="520"/>
      <c r="AH23" s="1646"/>
      <c r="AI23" s="1646"/>
      <c r="AJ23" s="1646"/>
      <c r="AK23" s="1646"/>
      <c r="AL23" s="1646"/>
      <c r="AM23" s="520"/>
      <c r="AN23" s="520"/>
      <c r="AO23" s="520"/>
      <c r="AP23" s="520"/>
      <c r="AQ23" s="520"/>
      <c r="AY23" s="1166">
        <v>14</v>
      </c>
    </row>
    <row customHeight="1" ht="26.25">
      <c r="Q24" s="387"/>
      <c r="R24" s="387"/>
      <c r="S24" s="227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8"/>
      <c r="U24" s="2278"/>
      <c r="V24" s="2278"/>
      <c r="W24" s="2278"/>
      <c r="X24" s="2278"/>
      <c r="Y24" s="2278"/>
      <c r="Z24" s="2278"/>
      <c r="AA24" s="2278"/>
      <c r="AB24" s="2278"/>
      <c r="AC24" s="2278"/>
      <c r="AD24" s="2278"/>
      <c r="AE24" s="2278"/>
      <c r="AF24" s="2278"/>
      <c r="AG24" s="2278"/>
      <c r="AH24" s="2278"/>
      <c r="AI24" s="2278"/>
      <c r="AJ24" s="2278"/>
      <c r="AK24" s="2278"/>
      <c r="AL24" s="2278"/>
      <c r="AM24" s="2278"/>
      <c r="AN24" s="2278"/>
      <c r="AO24" s="2278"/>
      <c r="AP24" s="2278"/>
      <c r="AQ24" s="1254"/>
      <c r="AY24" s="1166">
        <v>25</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2279"/>
      <c r="AJ25" s="2279"/>
      <c r="AK25" s="2279"/>
      <c r="AL25" s="2279"/>
      <c r="AM25" s="2279"/>
      <c r="AN25" s="2279"/>
      <c r="AO25" s="2279"/>
      <c r="AP25" s="2279"/>
      <c r="AQ25" s="1254"/>
      <c r="AY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520"/>
      <c r="AY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2281"/>
      <c r="AC27" s="2281"/>
      <c r="AD27" s="2281"/>
      <c r="AE27" s="2281"/>
      <c r="AF27" s="337"/>
      <c r="AG27" s="2281" t="str">
        <f>IF(TITLE_NAME_OR_PR_CHANGE="",IF(TITLE_NAME_OR_PR="","",TITLE_NAME_OR_PR),TITLE_NAME_OR_PR_CHANGE)</f>
        <v/>
      </c>
      <c r="AH27" s="2281"/>
      <c r="AI27" s="2281"/>
      <c r="AJ27" s="2281"/>
      <c r="AK27" s="2281"/>
      <c r="AL27" s="2281"/>
      <c r="AM27" s="2281"/>
      <c r="AN27" s="2281"/>
      <c r="AO27" s="2281"/>
      <c r="AP27" s="2281"/>
      <c r="AQ27" s="337"/>
      <c r="AR27" s="337"/>
      <c r="AS27" s="291"/>
      <c r="AT27" s="379"/>
      <c r="AU27" s="379"/>
      <c r="AV27" s="379"/>
      <c r="AW27" s="379"/>
      <c r="AX27" s="379"/>
      <c r="AY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2294"/>
      <c r="AC28" s="2294"/>
      <c r="AD28" s="2294"/>
      <c r="AE28" s="2294"/>
      <c r="AF28" s="337"/>
      <c r="AG28" s="2294" t="str">
        <f>IF(TITLE_DATE_PR_CHANGE="",IF(TITLE_DATE_PR="","",TITLE_DATE_PR),TITLE_DATE_PR_CHANGE)</f>
        <v/>
      </c>
      <c r="AH28" s="2294"/>
      <c r="AI28" s="2294"/>
      <c r="AJ28" s="2294"/>
      <c r="AK28" s="2294"/>
      <c r="AL28" s="2294"/>
      <c r="AM28" s="2294"/>
      <c r="AN28" s="2294"/>
      <c r="AO28" s="2294"/>
      <c r="AP28" s="2294"/>
      <c r="AQ28" s="337"/>
      <c r="AR28" s="337"/>
      <c r="AS28" s="291"/>
      <c r="AT28" s="379"/>
      <c r="AU28" s="379"/>
      <c r="AV28" s="379"/>
      <c r="AW28" s="379"/>
      <c r="AX28" s="379"/>
      <c r="AY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2281"/>
      <c r="AC29" s="2281"/>
      <c r="AD29" s="2281"/>
      <c r="AE29" s="2281"/>
      <c r="AF29" s="337"/>
      <c r="AG29" s="2281" t="str">
        <f>IF(TITLE_NUMBER_PR_CHANGE="",IF(TITLE_NUMBER_PR="","",TITLE_NUMBER_PR),TITLE_NUMBER_PR_CHANGE)</f>
        <v/>
      </c>
      <c r="AH29" s="2281"/>
      <c r="AI29" s="2281"/>
      <c r="AJ29" s="2281"/>
      <c r="AK29" s="2281"/>
      <c r="AL29" s="2281"/>
      <c r="AM29" s="2281"/>
      <c r="AN29" s="2281"/>
      <c r="AO29" s="2281"/>
      <c r="AP29" s="2281"/>
      <c r="AQ29" s="337"/>
      <c r="AR29" s="337"/>
      <c r="AS29" s="291"/>
      <c r="AT29" s="379"/>
      <c r="AU29" s="379"/>
      <c r="AV29" s="379"/>
      <c r="AW29" s="379"/>
      <c r="AX29" s="379"/>
      <c r="AY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2281"/>
      <c r="AC30" s="2281"/>
      <c r="AD30" s="2281"/>
      <c r="AE30" s="2281"/>
      <c r="AF30" s="337"/>
      <c r="AG30" s="2281" t="str">
        <f>IF(TITLE_IST_PUB_CHANGE="",IF(TITLE_IST_PUB="","",TITLE_IST_PUB),TITLE_IST_PUB_CHANGE)</f>
        <v/>
      </c>
      <c r="AH30" s="2281"/>
      <c r="AI30" s="2281"/>
      <c r="AJ30" s="2281"/>
      <c r="AK30" s="2281"/>
      <c r="AL30" s="2281"/>
      <c r="AM30" s="2281"/>
      <c r="AN30" s="2281"/>
      <c r="AO30" s="2281"/>
      <c r="AP30" s="2281"/>
      <c r="AQ30" s="337"/>
      <c r="AR30" s="337"/>
      <c r="AS30" s="291"/>
      <c r="AT30" s="379"/>
      <c r="AU30" s="379"/>
      <c r="AV30" s="379"/>
      <c r="AW30" s="379"/>
      <c r="AX30" s="379"/>
      <c r="AY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520"/>
      <c r="AY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2294"/>
      <c r="AC32" s="2294"/>
      <c r="AD32" s="2294"/>
      <c r="AE32" s="2294"/>
      <c r="AF32" s="337"/>
      <c r="AG32" s="2294" t="str">
        <f>IF(TITLE_DATE_PR_CHANGE="",IF(TITLE_DATE_PR="","",TITLE_DATE_PR),TITLE_DATE_PR_CHANGE)</f>
        <v/>
      </c>
      <c r="AH32" s="2294"/>
      <c r="AI32" s="2294"/>
      <c r="AJ32" s="2294"/>
      <c r="AK32" s="2294"/>
      <c r="AL32" s="2294"/>
      <c r="AM32" s="2294"/>
      <c r="AN32" s="2294"/>
      <c r="AO32" s="2294"/>
      <c r="AP32" s="2294"/>
      <c r="AQ32" s="337"/>
      <c r="AR32" s="337"/>
      <c r="AS32" s="291"/>
      <c r="AT32" s="379"/>
      <c r="AU32" s="379"/>
      <c r="AV32" s="379"/>
      <c r="AW32" s="379"/>
      <c r="AX32" s="379"/>
      <c r="AY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2281"/>
      <c r="AC33" s="2281"/>
      <c r="AD33" s="2281"/>
      <c r="AE33" s="2281"/>
      <c r="AF33" s="337"/>
      <c r="AG33" s="2281" t="str">
        <f>IF(TITLE_NUMBER_PR_CHANGE="",IF(TITLE_NUMBER_PR="","",TITLE_NUMBER_PR),TITLE_NUMBER_PR_CHANGE)</f>
        <v/>
      </c>
      <c r="AH33" s="2281"/>
      <c r="AI33" s="2281"/>
      <c r="AJ33" s="2281"/>
      <c r="AK33" s="2281"/>
      <c r="AL33" s="2281"/>
      <c r="AM33" s="2281"/>
      <c r="AN33" s="2281"/>
      <c r="AO33" s="2281"/>
      <c r="AP33" s="2281"/>
      <c r="AQ33" s="337"/>
      <c r="AR33" s="337"/>
      <c r="AS33" s="291"/>
      <c r="AT33" s="379"/>
      <c r="AU33" s="379"/>
      <c r="AV33" s="379"/>
      <c r="AW33" s="379"/>
      <c r="AX33" s="379"/>
      <c r="AY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1646"/>
      <c r="X34" s="1646"/>
      <c r="Y34" s="1646"/>
      <c r="Z34" s="1646"/>
      <c r="AA34" s="1646"/>
      <c r="AB34" s="1646"/>
      <c r="AC34" s="337"/>
      <c r="AD34" s="337"/>
      <c r="AE34" s="337"/>
      <c r="AF34" s="289" t="s">
        <v>437</v>
      </c>
      <c r="AG34" s="337"/>
      <c r="AH34" s="1646"/>
      <c r="AI34" s="1646"/>
      <c r="AJ34" s="1646"/>
      <c r="AK34" s="1646"/>
      <c r="AL34" s="1646"/>
      <c r="AM34" s="337"/>
      <c r="AN34" s="337"/>
      <c r="AO34" s="337"/>
      <c r="AP34" s="337"/>
      <c r="AQ34" s="289" t="s">
        <v>437</v>
      </c>
      <c r="AT34" s="379"/>
      <c r="AU34" s="379"/>
      <c r="AV34" s="379"/>
      <c r="AW34" s="379"/>
      <c r="AX34" s="379"/>
      <c r="AY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J35" s="2282"/>
      <c r="AK35" s="2282"/>
      <c r="AL35" s="2282"/>
      <c r="AM35" s="2282"/>
      <c r="AN35" s="2282"/>
      <c r="AO35" s="2282"/>
      <c r="AP35" s="2282"/>
      <c r="AQ35" s="2282"/>
      <c r="AY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c r="AL36" s="2157"/>
      <c r="AM36" s="2157"/>
      <c r="AN36" s="2157"/>
      <c r="AO36" s="2157"/>
      <c r="AP36" s="2157"/>
      <c r="AQ36" s="2157"/>
      <c r="AR36" s="2157"/>
      <c r="AS36" s="2157" t="s">
        <v>315</v>
      </c>
      <c r="AY36" s="1166">
        <v>14</v>
      </c>
    </row>
    <row customHeight="1" ht="14.699999999999998">
      <c r="Q37" s="387"/>
      <c r="R37" s="387"/>
      <c r="S37" s="2303" t="s">
        <v>89</v>
      </c>
      <c r="T37" s="2239" t="s">
        <v>438</v>
      </c>
      <c r="U37" s="312"/>
      <c r="V37" s="2304" t="s">
        <v>439</v>
      </c>
      <c r="W37" s="2321"/>
      <c r="X37" s="2321"/>
      <c r="Y37" s="2321"/>
      <c r="Z37" s="2321"/>
      <c r="AA37" s="2321"/>
      <c r="AB37" s="2321"/>
      <c r="AC37" s="2305"/>
      <c r="AD37" s="2305"/>
      <c r="AE37" s="2306"/>
      <c r="AF37" s="2307" t="s">
        <v>440</v>
      </c>
      <c r="AG37" s="2304" t="s">
        <v>439</v>
      </c>
      <c r="AH37" s="2305"/>
      <c r="AI37" s="2305"/>
      <c r="AJ37" s="2305"/>
      <c r="AK37" s="2305"/>
      <c r="AL37" s="2305"/>
      <c r="AM37" s="2305"/>
      <c r="AN37" s="2305"/>
      <c r="AO37" s="2305"/>
      <c r="AP37" s="2306"/>
      <c r="AQ37" s="2307" t="s">
        <v>441</v>
      </c>
      <c r="AR37" s="2310" t="s">
        <v>442</v>
      </c>
      <c r="AS37" s="2157"/>
      <c r="AY37" s="1166">
        <v>14</v>
      </c>
    </row>
    <row customHeight="1" ht="19.95">
      <c r="Q38" s="387"/>
      <c r="R38" s="387"/>
      <c r="S38" s="2303"/>
      <c r="T38" s="2239"/>
      <c r="U38" s="1042"/>
      <c r="V38" s="2396" t="s">
        <v>544</v>
      </c>
      <c r="W38" s="2395" t="s">
        <v>545</v>
      </c>
      <c r="X38" s="2395"/>
      <c r="Y38" s="2395"/>
      <c r="Z38" s="2395" t="s">
        <v>546</v>
      </c>
      <c r="AA38" s="2395"/>
      <c r="AB38" s="2395"/>
      <c r="AC38" s="2324" t="s">
        <v>446</v>
      </c>
      <c r="AD38" s="2343"/>
      <c r="AE38" s="2344"/>
      <c r="AF38" s="2308"/>
      <c r="AG38" s="2396" t="s">
        <v>544</v>
      </c>
      <c r="AH38" s="2395" t="s">
        <v>545</v>
      </c>
      <c r="AI38" s="2395"/>
      <c r="AJ38" s="2395"/>
      <c r="AK38" s="2395" t="s">
        <v>546</v>
      </c>
      <c r="AL38" s="2395"/>
      <c r="AM38" s="2395"/>
      <c r="AN38" s="2324" t="s">
        <v>446</v>
      </c>
      <c r="AO38" s="2343"/>
      <c r="AP38" s="2344"/>
      <c r="AQ38" s="2308"/>
      <c r="AR38" s="2311"/>
      <c r="AS38" s="2157"/>
      <c r="AY38" s="1166">
        <v>19</v>
      </c>
    </row>
    <row s="1646" customFormat="1" customHeight="1" ht="19.95">
      <c r="A39" s="1377"/>
      <c r="B39" s="1377"/>
      <c r="C39" s="1377"/>
      <c r="D39" s="1377"/>
      <c r="E39" s="1377"/>
      <c r="F39" s="1377"/>
      <c r="G39" s="1377"/>
      <c r="H39" s="1377"/>
      <c r="I39" s="1377"/>
      <c r="J39" s="1377"/>
      <c r="K39" s="1377"/>
      <c r="L39" s="1959"/>
      <c r="M39" s="1373"/>
      <c r="N39" s="1373"/>
      <c r="O39" s="1373"/>
      <c r="P39" s="1973"/>
      <c r="Q39" s="387"/>
      <c r="R39" s="387"/>
      <c r="S39" s="2303"/>
      <c r="T39" s="2239"/>
      <c r="U39" s="1042"/>
      <c r="V39" s="2396"/>
      <c r="W39" s="2395" t="s">
        <v>547</v>
      </c>
      <c r="X39" s="2395" t="s">
        <v>548</v>
      </c>
      <c r="Y39" s="2395"/>
      <c r="Z39" s="2395" t="s">
        <v>549</v>
      </c>
      <c r="AA39" s="2395" t="s">
        <v>548</v>
      </c>
      <c r="AB39" s="2395"/>
      <c r="AC39" s="2325"/>
      <c r="AD39" s="2345"/>
      <c r="AE39" s="2346"/>
      <c r="AF39" s="2308"/>
      <c r="AG39" s="2396"/>
      <c r="AH39" s="2395" t="s">
        <v>547</v>
      </c>
      <c r="AI39" s="2395" t="s">
        <v>548</v>
      </c>
      <c r="AJ39" s="2395"/>
      <c r="AK39" s="2395" t="s">
        <v>549</v>
      </c>
      <c r="AL39" s="2395" t="s">
        <v>548</v>
      </c>
      <c r="AM39" s="2395"/>
      <c r="AN39" s="2325"/>
      <c r="AO39" s="2345"/>
      <c r="AP39" s="2346"/>
      <c r="AQ39" s="2308"/>
      <c r="AR39" s="2311"/>
      <c r="AS39" s="2157"/>
      <c r="AT39" s="1647"/>
      <c r="AU39" s="1647"/>
      <c r="AV39" s="1647"/>
      <c r="AW39" s="1647"/>
      <c r="AX39" s="1647"/>
      <c r="AY39" s="1642">
        <v>19</v>
      </c>
    </row>
    <row customHeight="1" ht="61.949999999999996">
      <c r="A40" s="1381"/>
      <c r="B40" s="1381" t="s">
        <v>151</v>
      </c>
      <c r="C40" s="1381" t="s">
        <v>152</v>
      </c>
      <c r="D40" s="1381" t="s">
        <v>153</v>
      </c>
      <c r="E40" s="1375" t="s">
        <v>447</v>
      </c>
      <c r="F40" s="1375" t="s">
        <v>448</v>
      </c>
      <c r="G40" s="1375" t="s">
        <v>449</v>
      </c>
      <c r="H40" s="1375"/>
      <c r="I40" s="1375" t="s">
        <v>502</v>
      </c>
      <c r="J40" s="1375" t="s">
        <v>452</v>
      </c>
      <c r="K40" s="1375" t="s">
        <v>503</v>
      </c>
      <c r="L40" s="1375" t="s">
        <v>432</v>
      </c>
      <c r="Q40" s="387"/>
      <c r="R40" s="387"/>
      <c r="S40" s="2303"/>
      <c r="T40" s="2239"/>
      <c r="U40" s="313"/>
      <c r="V40" s="2396"/>
      <c r="W40" s="2395"/>
      <c r="X40" s="1991" t="s">
        <v>550</v>
      </c>
      <c r="Y40" s="1991" t="s">
        <v>551</v>
      </c>
      <c r="Z40" s="2395"/>
      <c r="AA40" s="1991" t="s">
        <v>552</v>
      </c>
      <c r="AB40" s="1991" t="s">
        <v>553</v>
      </c>
      <c r="AC40" s="1500" t="s">
        <v>456</v>
      </c>
      <c r="AD40" s="2300" t="s">
        <v>457</v>
      </c>
      <c r="AE40" s="2301"/>
      <c r="AF40" s="2309"/>
      <c r="AG40" s="2396"/>
      <c r="AH40" s="2395"/>
      <c r="AI40" s="1991" t="s">
        <v>550</v>
      </c>
      <c r="AJ40" s="1991" t="s">
        <v>551</v>
      </c>
      <c r="AK40" s="2395"/>
      <c r="AL40" s="1991" t="s">
        <v>552</v>
      </c>
      <c r="AM40" s="1991" t="s">
        <v>553</v>
      </c>
      <c r="AN40" s="1500" t="s">
        <v>456</v>
      </c>
      <c r="AO40" s="2300" t="s">
        <v>457</v>
      </c>
      <c r="AP40" s="2301"/>
      <c r="AQ40" s="2309"/>
      <c r="AR40" s="2312"/>
      <c r="AS40" s="2157"/>
      <c r="AY40" s="1166">
        <v>59</v>
      </c>
    </row>
    <row s="1652" customFormat="1" customHeight="1" ht="11.25" hidden="1">
      <c r="A41" s="1381"/>
      <c r="B41" s="1381"/>
      <c r="C41" s="1381"/>
      <c r="D41" s="1381"/>
      <c r="E41" s="1381"/>
      <c r="F41" s="1381"/>
      <c r="G41" s="1381"/>
      <c r="H41" s="1381"/>
      <c r="I41" s="1381"/>
      <c r="J41" s="1381"/>
      <c r="K41" s="1381"/>
      <c r="L41" s="1375"/>
      <c r="M41" s="1373"/>
      <c r="N41" s="1373"/>
      <c r="O41" s="1373"/>
      <c r="P41" s="1257"/>
      <c r="Q41" s="1258"/>
      <c r="R41" s="1265">
        <v>1</v>
      </c>
      <c r="S41" s="1288" t="s">
        <v>120</v>
      </c>
      <c r="T41" s="1266" t="s">
        <v>104</v>
      </c>
      <c r="U41" s="1256" t="str">
        <f>OFFSET(U41,0,-1)</f>
        <v>2</v>
      </c>
      <c r="V41" s="1493">
        <f>OFFSET(V41,0,-1)+1</f>
        <v>3</v>
      </c>
      <c r="W41" s="1352"/>
      <c r="X41" s="1352"/>
      <c r="Y41" s="1352"/>
      <c r="Z41" s="1352"/>
      <c r="AA41" s="1352"/>
      <c r="AB41" s="1352"/>
      <c r="AC41" s="1493">
        <f>OFFSET(AC41,0,-1)+1</f>
        <v>1</v>
      </c>
      <c r="AD41" s="2302">
        <f>OFFSET(AD41,0,-1)+1</f>
        <v>2</v>
      </c>
      <c r="AE41" s="2302"/>
      <c r="AF41" s="1493">
        <f>OFFSET(AF41,0,-2)+1</f>
        <v>3</v>
      </c>
      <c r="AG41" s="1493">
        <f>OFFSET(AG41,0,-1)+1</f>
        <v>4</v>
      </c>
      <c r="AH41" s="1964"/>
      <c r="AI41" s="1964"/>
      <c r="AJ41" s="1964"/>
      <c r="AK41" s="1964"/>
      <c r="AL41" s="1964"/>
      <c r="AM41" s="1493">
        <f>OFFSET(AM41,0,-1)+1</f>
        <v>1</v>
      </c>
      <c r="AN41" s="1493">
        <f>OFFSET(AN41,0,-1)+1</f>
        <v>2</v>
      </c>
      <c r="AO41" s="2302">
        <f>OFFSET(AO41,0,-1)+1</f>
        <v>3</v>
      </c>
      <c r="AP41" s="2302"/>
      <c r="AQ41" s="1493">
        <f>OFFSET(AQ41,0,-2)+1</f>
        <v>4</v>
      </c>
      <c r="AR41" s="1256">
        <f>OFFSET(AR41,0,-1)</f>
        <v>4</v>
      </c>
      <c r="AS41" s="1493">
        <f>OFFSET(AS41,0,-1)+1</f>
        <v>5</v>
      </c>
      <c r="AT41" s="522"/>
      <c r="AU41" s="522"/>
      <c r="AV41" s="522"/>
      <c r="AW41" s="522"/>
      <c r="AX41" s="522"/>
      <c r="AY41" s="507">
        <v>0</v>
      </c>
    </row>
    <row customHeight="1" ht="24">
      <c r="A42" s="1374" t="s">
        <v>265</v>
      </c>
      <c r="B42" s="1374"/>
      <c r="C42" s="1374"/>
      <c r="D42" s="1374"/>
      <c r="E42" s="2288">
        <v>1</v>
      </c>
      <c r="F42" s="1374"/>
      <c r="G42" s="1374"/>
      <c r="H42" s="1374"/>
      <c r="I42" s="1374"/>
      <c r="J42" s="1374"/>
      <c r="K42" s="1374"/>
      <c r="L42" s="1375"/>
      <c r="M42" s="1376"/>
      <c r="N42" s="1376"/>
      <c r="O42" s="1376"/>
      <c r="P42" s="372"/>
      <c r="Q42" s="371"/>
      <c r="R42" s="366"/>
      <c r="S42" s="1504">
        <f>INDEX(PT_DIFFERENTIATION_NUM_NTAR,MATCH(A42,PT_DIFFERENTIATION_NTAR_ID,0))</f>
        <v>0</v>
      </c>
      <c r="T42" s="309" t="s">
        <v>139</v>
      </c>
      <c r="U42" s="311"/>
      <c r="V42" s="2272"/>
      <c r="W42" s="2273"/>
      <c r="X42" s="2273"/>
      <c r="Y42" s="2273"/>
      <c r="Z42" s="2273"/>
      <c r="AA42" s="2273"/>
      <c r="AB42" s="2273"/>
      <c r="AC42" s="2273"/>
      <c r="AD42" s="2273"/>
      <c r="AE42" s="2273"/>
      <c r="AF42" s="2274"/>
      <c r="AG42" s="2272" t="str">
        <f>INDEX(PT_DIFFERENTIATION_NTAR,MATCH(A42,PT_DIFFERENTIATION_NTAR_ID,0))</f>
        <v/>
      </c>
      <c r="AH42" s="2273"/>
      <c r="AI42" s="2273"/>
      <c r="AJ42" s="2273"/>
      <c r="AK42" s="2273"/>
      <c r="AL42" s="2273"/>
      <c r="AM42" s="2273"/>
      <c r="AN42" s="2273"/>
      <c r="AO42" s="2273"/>
      <c r="AP42" s="2273"/>
      <c r="AQ42" s="2273"/>
      <c r="AR42" s="2274"/>
      <c r="AS4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1"/>
      <c r="AV42" s="511" t="str">
        <f>IF(T42="","",T42)</f>
        <v>Наименование тарифа</v>
      </c>
      <c r="AW42" s="511"/>
      <c r="AX42" s="511"/>
      <c r="AY42" s="1166">
        <v>23</v>
      </c>
    </row>
    <row customHeight="1" ht="24">
      <c r="A43" s="1374" t="s">
        <v>265</v>
      </c>
      <c r="B43" s="1374" t="s">
        <v>266</v>
      </c>
      <c r="C43" s="1374"/>
      <c r="D43" s="1374"/>
      <c r="E43" s="2289"/>
      <c r="F43" s="2288">
        <v>1</v>
      </c>
      <c r="G43" s="1374"/>
      <c r="H43" s="1374"/>
      <c r="I43" s="1374"/>
      <c r="J43" s="1374"/>
      <c r="K43" s="1374"/>
      <c r="L43" s="1375"/>
      <c r="M43" s="1376"/>
      <c r="N43" s="1376"/>
      <c r="O43" s="1376"/>
      <c r="P43" s="1498"/>
      <c r="Q43" s="363"/>
      <c r="R43" s="364"/>
      <c r="S43" s="1504" t="str">
        <f>INDEX(PT_DIFFERENTIATION_NUM_TER,MATCH(B43,PT_DIFFERENTIATION_TER_ID,0))</f>
        <v>.</v>
      </c>
      <c r="T43" s="319" t="s">
        <v>411</v>
      </c>
      <c r="U43" s="311"/>
      <c r="V43" s="2272"/>
      <c r="W43" s="2273"/>
      <c r="X43" s="2273"/>
      <c r="Y43" s="2273"/>
      <c r="Z43" s="2273"/>
      <c r="AA43" s="2273"/>
      <c r="AB43" s="2273"/>
      <c r="AC43" s="2273"/>
      <c r="AD43" s="2273"/>
      <c r="AE43" s="2273"/>
      <c r="AF43" s="2274"/>
      <c r="AG43" s="2272" t="str">
        <f>INDEX(PT_DIFFERENTIATION_TER,MATCH(B43,PT_DIFFERENTIATION_TER_ID,0))</f>
        <v/>
      </c>
      <c r="AH43" s="2273"/>
      <c r="AI43" s="2273"/>
      <c r="AJ43" s="2273"/>
      <c r="AK43" s="2273"/>
      <c r="AL43" s="2273"/>
      <c r="AM43" s="2273"/>
      <c r="AN43" s="2273"/>
      <c r="AO43" s="2273"/>
      <c r="AP43" s="2273"/>
      <c r="AQ43" s="2273"/>
      <c r="AR43" s="2274"/>
      <c r="AS43" s="1269" t="s">
        <v>412</v>
      </c>
      <c r="AU43" s="511"/>
      <c r="AV43" s="511" t="str">
        <f>IF(T43="","",T43)</f>
        <v>Территория действия тарифа</v>
      </c>
      <c r="AW43" s="511"/>
      <c r="AX43" s="511"/>
      <c r="AY43" s="1166">
        <v>23</v>
      </c>
    </row>
    <row customHeight="1" ht="24">
      <c r="A44" s="1374" t="s">
        <v>265</v>
      </c>
      <c r="B44" s="1374" t="s">
        <v>266</v>
      </c>
      <c r="C44" s="1374" t="s">
        <v>267</v>
      </c>
      <c r="D44" s="1374"/>
      <c r="E44" s="2289"/>
      <c r="F44" s="2289"/>
      <c r="G44" s="2288">
        <v>1</v>
      </c>
      <c r="H44" s="1374"/>
      <c r="I44" s="1374"/>
      <c r="J44" s="1374"/>
      <c r="K44" s="1374"/>
      <c r="L44" s="1375"/>
      <c r="M44" s="1376"/>
      <c r="N44" s="1376"/>
      <c r="O44" s="1376"/>
      <c r="P44" s="365"/>
      <c r="Q44" s="363"/>
      <c r="R44" s="364"/>
      <c r="S44" s="1504" t="str">
        <f>INDEX(PT_DIFFERENTIATION_NUM_CS,MATCH(C44,PT_DIFFERENTIATION_CS_ID,0))</f>
        <v>..</v>
      </c>
      <c r="T44" s="320" t="s">
        <v>542</v>
      </c>
      <c r="U44" s="311"/>
      <c r="V44" s="2272"/>
      <c r="W44" s="2273"/>
      <c r="X44" s="2273"/>
      <c r="Y44" s="2273"/>
      <c r="Z44" s="2273"/>
      <c r="AA44" s="2273"/>
      <c r="AB44" s="2273"/>
      <c r="AC44" s="2273"/>
      <c r="AD44" s="2273"/>
      <c r="AE44" s="2273"/>
      <c r="AF44" s="2274"/>
      <c r="AG44" s="2272" t="str">
        <f>INDEX(PT_DIFFERENTIATION_CS,MATCH(C44,PT_DIFFERENTIATION_CS_ID,0))</f>
        <v/>
      </c>
      <c r="AH44" s="2273"/>
      <c r="AI44" s="2273"/>
      <c r="AJ44" s="2273"/>
      <c r="AK44" s="2273"/>
      <c r="AL44" s="2273"/>
      <c r="AM44" s="2273"/>
      <c r="AN44" s="2273"/>
      <c r="AO44" s="2273"/>
      <c r="AP44" s="2273"/>
      <c r="AQ44" s="2273"/>
      <c r="AR44" s="2274"/>
      <c r="AS44" s="1269" t="s">
        <v>543</v>
      </c>
      <c r="AU44" s="511"/>
      <c r="AV44" s="511" t="str">
        <f>IF(T44="","",T44)</f>
        <v>Наименование централизованной системы горячего водоснабжения</v>
      </c>
      <c r="AW44" s="511"/>
      <c r="AX44" s="511"/>
      <c r="AY44" s="1166">
        <v>23</v>
      </c>
    </row>
    <row customHeight="1" ht="24">
      <c r="A45" s="1374" t="s">
        <v>265</v>
      </c>
      <c r="B45" s="1374" t="s">
        <v>266</v>
      </c>
      <c r="C45" s="1374" t="s">
        <v>267</v>
      </c>
      <c r="D45" s="1374" t="s">
        <v>554</v>
      </c>
      <c r="E45" s="2289"/>
      <c r="F45" s="2289"/>
      <c r="G45" s="2289"/>
      <c r="H45" s="2289"/>
      <c r="I45" s="2286" t="str">
        <f>S44&amp;".1"</f>
        <v>...1</v>
      </c>
      <c r="J45" s="1374"/>
      <c r="K45" s="1374"/>
      <c r="L45" s="1375"/>
      <c r="P45" s="2287">
        <v>1</v>
      </c>
      <c r="Q45" s="1492"/>
      <c r="R45" s="367"/>
      <c r="S45" s="1504" t="str">
        <f>$I45</f>
        <v>...1</v>
      </c>
      <c r="T45" s="296" t="s">
        <v>495</v>
      </c>
      <c r="U45" s="311"/>
      <c r="V45" s="2380"/>
      <c r="W45" s="2381"/>
      <c r="X45" s="2381"/>
      <c r="Y45" s="2381"/>
      <c r="Z45" s="2381"/>
      <c r="AA45" s="2381"/>
      <c r="AB45" s="2381"/>
      <c r="AC45" s="2381"/>
      <c r="AD45" s="2381"/>
      <c r="AE45" s="2381"/>
      <c r="AF45" s="2382"/>
      <c r="AG45" s="2383"/>
      <c r="AH45" s="2384"/>
      <c r="AI45" s="2384"/>
      <c r="AJ45" s="2384"/>
      <c r="AK45" s="2384"/>
      <c r="AL45" s="2384"/>
      <c r="AM45" s="2384"/>
      <c r="AN45" s="2384"/>
      <c r="AO45" s="2384"/>
      <c r="AP45" s="2384"/>
      <c r="AQ45" s="2384"/>
      <c r="AR45" s="2385"/>
      <c r="AS45" s="1269" t="s">
        <v>496</v>
      </c>
      <c r="AU45" s="511"/>
      <c r="AV45" s="511" t="str">
        <f>IF(T45="","",T45)</f>
        <v>Наименование признака дифференциации</v>
      </c>
      <c r="AW45" s="511"/>
      <c r="AX45" s="511"/>
      <c r="AY45" s="1166">
        <v>23</v>
      </c>
    </row>
    <row customHeight="1" ht="24">
      <c r="A46" s="1374" t="s">
        <v>265</v>
      </c>
      <c r="B46" s="1374" t="s">
        <v>266</v>
      </c>
      <c r="C46" s="1374" t="s">
        <v>267</v>
      </c>
      <c r="D46" s="1374" t="s">
        <v>554</v>
      </c>
      <c r="E46" s="2289"/>
      <c r="F46" s="2289"/>
      <c r="G46" s="2289"/>
      <c r="H46" s="2289"/>
      <c r="I46" s="2316"/>
      <c r="J46" s="2286" t="str">
        <f>I45&amp;".1"</f>
        <v>...1.1</v>
      </c>
      <c r="K46" s="1374"/>
      <c r="L46" s="1375" t="s">
        <v>420</v>
      </c>
      <c r="P46" s="2287"/>
      <c r="Q46" s="2287">
        <v>1</v>
      </c>
      <c r="R46" s="368"/>
      <c r="S46" s="1504" t="str">
        <f>$J46</f>
        <v>...1.1</v>
      </c>
      <c r="T46" s="297" t="s">
        <v>421</v>
      </c>
      <c r="U46" s="311"/>
      <c r="V46" s="2275"/>
      <c r="W46" s="2276"/>
      <c r="X46" s="2276"/>
      <c r="Y46" s="2276"/>
      <c r="Z46" s="2276"/>
      <c r="AA46" s="2276"/>
      <c r="AB46" s="2276"/>
      <c r="AC46" s="2276"/>
      <c r="AD46" s="2276"/>
      <c r="AE46" s="2276"/>
      <c r="AF46" s="2277"/>
      <c r="AG46" s="2275"/>
      <c r="AH46" s="2276"/>
      <c r="AI46" s="2276"/>
      <c r="AJ46" s="2276"/>
      <c r="AK46" s="2276"/>
      <c r="AL46" s="2276"/>
      <c r="AM46" s="2276"/>
      <c r="AN46" s="2276"/>
      <c r="AO46" s="2276"/>
      <c r="AP46" s="2276"/>
      <c r="AQ46" s="2276"/>
      <c r="AR46" s="2277"/>
      <c r="AS46" s="1318" t="s">
        <v>497</v>
      </c>
      <c r="AU46" s="511"/>
      <c r="AV46" s="511" t="str">
        <f>IF(T46="","",T46)</f>
        <v>Группа потребителей</v>
      </c>
      <c r="AW46" s="511"/>
      <c r="AX46" s="511"/>
      <c r="AY46" s="1166">
        <v>23</v>
      </c>
    </row>
    <row customHeight="1" ht="24">
      <c r="A47" s="1374" t="s">
        <v>265</v>
      </c>
      <c r="B47" s="1374" t="s">
        <v>266</v>
      </c>
      <c r="C47" s="1374" t="s">
        <v>267</v>
      </c>
      <c r="D47" s="1374" t="s">
        <v>554</v>
      </c>
      <c r="E47" s="2289"/>
      <c r="F47" s="2289"/>
      <c r="G47" s="2289"/>
      <c r="H47" s="2289"/>
      <c r="I47" s="2316"/>
      <c r="J47" s="2316"/>
      <c r="K47" s="2286" t="str">
        <f>J46&amp;".1"</f>
        <v>...1.1.1</v>
      </c>
      <c r="L47" s="1375"/>
      <c r="P47" s="2287"/>
      <c r="Q47" s="2287"/>
      <c r="R47" s="368">
        <v>1</v>
      </c>
      <c r="S47" s="1504" t="str">
        <f>$K47</f>
        <v>...1.1.1</v>
      </c>
      <c r="T47" s="1448"/>
      <c r="U47" s="311"/>
      <c r="V47" s="762"/>
      <c r="W47" s="762"/>
      <c r="X47" s="762"/>
      <c r="Y47" s="762"/>
      <c r="Z47" s="762"/>
      <c r="AA47" s="762"/>
      <c r="AB47" s="762"/>
      <c r="AC47" s="2297"/>
      <c r="AD47" s="2298" t="s">
        <v>63</v>
      </c>
      <c r="AE47" s="2297"/>
      <c r="AF47" s="2298" t="s">
        <v>63</v>
      </c>
      <c r="AG47" s="762"/>
      <c r="AH47" s="762"/>
      <c r="AI47" s="762"/>
      <c r="AJ47" s="762"/>
      <c r="AK47" s="762"/>
      <c r="AL47" s="762"/>
      <c r="AM47" s="762"/>
      <c r="AN47" s="2295"/>
      <c r="AO47" s="2137" t="s">
        <v>63</v>
      </c>
      <c r="AP47" s="2317"/>
      <c r="AQ47" s="2137" t="s">
        <v>19</v>
      </c>
      <c r="AR47" s="1449"/>
      <c r="AS4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2">
        <f>STRCHECKDATE(V48:AR48)</f>
      </c>
      <c r="AU47" s="511"/>
      <c r="AV47" s="511" t="str">
        <f>IF(T47="","",T47)</f>
        <v/>
      </c>
      <c r="AW47" s="511"/>
      <c r="AX47" s="511"/>
      <c r="AY47" s="1166">
        <v>23</v>
      </c>
    </row>
    <row customHeight="1" ht="0">
      <c r="A48" s="1374" t="s">
        <v>265</v>
      </c>
      <c r="B48" s="1374" t="s">
        <v>266</v>
      </c>
      <c r="C48" s="1374" t="s">
        <v>267</v>
      </c>
      <c r="D48" s="1374" t="s">
        <v>554</v>
      </c>
      <c r="E48" s="2289"/>
      <c r="F48" s="2289"/>
      <c r="G48" s="2289"/>
      <c r="H48" s="2289"/>
      <c r="I48" s="2316"/>
      <c r="J48" s="2316"/>
      <c r="K48" s="2286"/>
      <c r="L48" s="1375"/>
      <c r="P48" s="2287"/>
      <c r="Q48" s="2287"/>
      <c r="R48" s="368"/>
      <c r="S48" s="1501"/>
      <c r="T48" s="311"/>
      <c r="U48" s="311"/>
      <c r="V48" s="1371"/>
      <c r="W48" s="1371"/>
      <c r="X48" s="1371"/>
      <c r="Y48" s="1371"/>
      <c r="Z48" s="1371"/>
      <c r="AA48" s="1371"/>
      <c r="AB48" s="1371"/>
      <c r="AC48" s="2298"/>
      <c r="AD48" s="2298"/>
      <c r="AE48" s="2298"/>
      <c r="AF48" s="2298"/>
      <c r="AG48" s="336"/>
      <c r="AH48" s="336"/>
      <c r="AI48" s="336"/>
      <c r="AJ48" s="336"/>
      <c r="AK48" s="336"/>
      <c r="AL48" s="336"/>
      <c r="AM48" s="336"/>
      <c r="AN48" s="2296"/>
      <c r="AO48" s="2137"/>
      <c r="AP48" s="2318"/>
      <c r="AQ48" s="2137"/>
      <c r="AR48" s="1450"/>
      <c r="AS48" s="2379"/>
      <c r="AU48" s="511"/>
      <c r="AV48" s="511" t="str">
        <f>IF(T48="","",T48)</f>
        <v/>
      </c>
      <c r="AW48" s="511"/>
      <c r="AX48" s="511"/>
      <c r="AY48" s="1166">
        <v>0</v>
      </c>
    </row>
    <row customHeight="1" ht="21">
      <c r="A49" s="1374" t="s">
        <v>265</v>
      </c>
      <c r="B49" s="1374" t="s">
        <v>266</v>
      </c>
      <c r="C49" s="1374" t="s">
        <v>267</v>
      </c>
      <c r="D49" s="1374" t="s">
        <v>554</v>
      </c>
      <c r="E49" s="2289"/>
      <c r="F49" s="2289"/>
      <c r="G49" s="2289"/>
      <c r="H49" s="2289"/>
      <c r="I49" s="2316"/>
      <c r="J49" s="2286"/>
      <c r="K49" s="1374"/>
      <c r="L49" s="1375"/>
      <c r="P49" s="2287"/>
      <c r="Q49" s="2287"/>
      <c r="R49" s="367"/>
      <c r="S49" s="1289"/>
      <c r="T49" s="298" t="s">
        <v>498</v>
      </c>
      <c r="U49" s="378"/>
      <c r="V49" s="378"/>
      <c r="W49" s="611"/>
      <c r="X49" s="611"/>
      <c r="Y49" s="611"/>
      <c r="Z49" s="611"/>
      <c r="AA49" s="611"/>
      <c r="AB49" s="611"/>
      <c r="AC49" s="378"/>
      <c r="AD49" s="378"/>
      <c r="AE49" s="378"/>
      <c r="AF49" s="378"/>
      <c r="AG49" s="378"/>
      <c r="AH49" s="611"/>
      <c r="AI49" s="611"/>
      <c r="AJ49" s="611"/>
      <c r="AK49" s="611"/>
      <c r="AL49" s="611"/>
      <c r="AM49" s="378"/>
      <c r="AN49" s="378"/>
      <c r="AO49" s="378"/>
      <c r="AP49" s="378"/>
      <c r="AQ49" s="378"/>
      <c r="AR49" s="378"/>
      <c r="AS49" s="1269" t="s">
        <v>499</v>
      </c>
      <c r="AU49" s="511"/>
      <c r="AV49" s="511" t="str">
        <f>IF(T49="","",T49)</f>
        <v>Добавить значение признака дифференциации</v>
      </c>
      <c r="AW49" s="511"/>
      <c r="AX49" s="511"/>
      <c r="AY49" s="1166">
        <v>20</v>
      </c>
    </row>
    <row customHeight="1" ht="22.049999999999997">
      <c r="A50" s="1374" t="s">
        <v>265</v>
      </c>
      <c r="B50" s="1374" t="s">
        <v>266</v>
      </c>
      <c r="C50" s="1374" t="s">
        <v>267</v>
      </c>
      <c r="D50" s="1374" t="s">
        <v>554</v>
      </c>
      <c r="E50" s="2289"/>
      <c r="F50" s="2289"/>
      <c r="G50" s="2289"/>
      <c r="H50" s="2289"/>
      <c r="I50" s="2286"/>
      <c r="J50" s="1374"/>
      <c r="K50" s="1374"/>
      <c r="L50" s="1375"/>
      <c r="P50" s="2287"/>
      <c r="Q50" s="1492"/>
      <c r="R50" s="367"/>
      <c r="S50" s="1289"/>
      <c r="T50" s="376" t="s">
        <v>426</v>
      </c>
      <c r="U50" s="378"/>
      <c r="V50" s="378"/>
      <c r="W50" s="611"/>
      <c r="X50" s="611"/>
      <c r="Y50" s="611"/>
      <c r="Z50" s="611"/>
      <c r="AA50" s="611"/>
      <c r="AB50" s="611"/>
      <c r="AC50" s="378"/>
      <c r="AD50" s="378"/>
      <c r="AE50" s="378"/>
      <c r="AF50" s="377"/>
      <c r="AG50" s="378"/>
      <c r="AH50" s="611"/>
      <c r="AI50" s="611"/>
      <c r="AJ50" s="611"/>
      <c r="AK50" s="611"/>
      <c r="AL50" s="611"/>
      <c r="AM50" s="378"/>
      <c r="AN50" s="378"/>
      <c r="AO50" s="378"/>
      <c r="AP50" s="378"/>
      <c r="AQ50" s="377"/>
      <c r="AR50" s="378"/>
      <c r="AS50" s="1451"/>
      <c r="AU50" s="511"/>
      <c r="AV50" s="511" t="str">
        <f>IF(T50="","",T50)</f>
        <v>Добавить группу потребителей</v>
      </c>
      <c r="AW50" s="511"/>
      <c r="AX50" s="511"/>
      <c r="AY50" s="1166">
        <v>21</v>
      </c>
    </row>
    <row customHeight="1" ht="22.049999999999997">
      <c r="A51" s="1374" t="s">
        <v>265</v>
      </c>
      <c r="B51" s="1374" t="s">
        <v>266</v>
      </c>
      <c r="C51" s="1374" t="s">
        <v>267</v>
      </c>
      <c r="D51" s="1374" t="s">
        <v>554</v>
      </c>
      <c r="E51" s="2289"/>
      <c r="F51" s="2289"/>
      <c r="G51" s="2289"/>
      <c r="H51" s="2288"/>
      <c r="I51" s="1374"/>
      <c r="J51" s="1374"/>
      <c r="K51" s="1374"/>
      <c r="L51" s="1375"/>
      <c r="M51" s="1376"/>
      <c r="N51" s="1376"/>
      <c r="O51" s="548"/>
      <c r="P51" s="371"/>
      <c r="Q51" s="386"/>
      <c r="R51" s="366"/>
      <c r="S51" s="1289"/>
      <c r="T51" s="383" t="s">
        <v>500</v>
      </c>
      <c r="U51" s="378"/>
      <c r="V51" s="378"/>
      <c r="W51" s="611"/>
      <c r="X51" s="611"/>
      <c r="Y51" s="611"/>
      <c r="Z51" s="611"/>
      <c r="AA51" s="611"/>
      <c r="AB51" s="611"/>
      <c r="AC51" s="378"/>
      <c r="AD51" s="378"/>
      <c r="AE51" s="378"/>
      <c r="AF51" s="377"/>
      <c r="AG51" s="378"/>
      <c r="AH51" s="611"/>
      <c r="AI51" s="611"/>
      <c r="AJ51" s="611"/>
      <c r="AK51" s="611"/>
      <c r="AL51" s="611"/>
      <c r="AM51" s="378"/>
      <c r="AN51" s="378"/>
      <c r="AO51" s="378"/>
      <c r="AP51" s="378"/>
      <c r="AQ51" s="377"/>
      <c r="AR51" s="378"/>
      <c r="AS51" s="314"/>
      <c r="AU51" s="511"/>
      <c r="AV51" s="511" t="str">
        <f>IF(T51="","",T51)</f>
        <v>Добавить наименование признака дифференциации</v>
      </c>
      <c r="AW51" s="511"/>
      <c r="AX51" s="511"/>
      <c r="AY51" s="1166">
        <v>21</v>
      </c>
    </row>
    <row s="1653" customFormat="1" customHeight="1" ht="0">
      <c r="A52" s="1354" t="s">
        <v>265</v>
      </c>
      <c r="B52" s="1354" t="s">
        <v>266</v>
      </c>
      <c r="C52" s="1325"/>
      <c r="D52" s="1325"/>
      <c r="E52" s="2289"/>
      <c r="F52" s="2288"/>
      <c r="G52" s="1325"/>
      <c r="H52" s="1325"/>
      <c r="I52" s="1325"/>
      <c r="J52" s="1325"/>
      <c r="K52" s="1325"/>
      <c r="L52" s="1505"/>
      <c r="M52" s="1332"/>
      <c r="N52" s="1332"/>
      <c r="P52" s="1327"/>
      <c r="Q52" s="1328"/>
      <c r="R52" s="1327"/>
      <c r="S52" s="1333"/>
      <c r="T52" s="1336" t="s">
        <v>429</v>
      </c>
      <c r="U52" s="1335"/>
      <c r="V52" s="1335"/>
      <c r="W52" s="1335"/>
      <c r="X52" s="1335"/>
      <c r="Y52" s="1335"/>
      <c r="Z52" s="1335"/>
      <c r="AA52" s="1335"/>
      <c r="AB52" s="1335"/>
      <c r="AC52" s="1335"/>
      <c r="AD52" s="1335"/>
      <c r="AE52" s="1335"/>
      <c r="AF52" s="1335"/>
      <c r="AG52" s="1335"/>
      <c r="AH52" s="1335"/>
      <c r="AI52" s="1335"/>
      <c r="AJ52" s="1335"/>
      <c r="AK52" s="1335"/>
      <c r="AL52" s="1335"/>
      <c r="AM52" s="1335"/>
      <c r="AN52" s="1335"/>
      <c r="AO52" s="1335"/>
      <c r="AP52" s="1335"/>
      <c r="AQ52" s="1335"/>
      <c r="AR52" s="1335"/>
      <c r="AS52" s="1335"/>
      <c r="AU52" s="800"/>
      <c r="AV52" s="800" t="str">
        <f>IF(T52="","",T52)</f>
        <v>Добавить централизованную систему для дифференциации</v>
      </c>
      <c r="AW52" s="800"/>
      <c r="AX52" s="800"/>
      <c r="AY52" s="529">
        <v>0</v>
      </c>
    </row>
    <row s="1653" customFormat="1" customHeight="1" ht="0">
      <c r="A53" s="1354" t="s">
        <v>265</v>
      </c>
      <c r="B53" s="1354"/>
      <c r="C53" s="1354"/>
      <c r="D53" s="1354"/>
      <c r="E53" s="2288"/>
      <c r="F53" s="1354"/>
      <c r="G53" s="1354"/>
      <c r="H53" s="1354"/>
      <c r="I53" s="1354"/>
      <c r="J53" s="1354"/>
      <c r="K53" s="1354"/>
      <c r="L53" s="1357"/>
      <c r="M53" s="1332"/>
      <c r="N53" s="1332"/>
      <c r="O53" s="529"/>
      <c r="P53" s="391"/>
      <c r="Q53" s="1355"/>
      <c r="R53" s="391"/>
      <c r="S53" s="1333"/>
      <c r="T53" s="1336" t="s">
        <v>430</v>
      </c>
      <c r="U53" s="1335"/>
      <c r="V53" s="1335"/>
      <c r="W53" s="1335"/>
      <c r="X53" s="1335"/>
      <c r="Y53" s="1335"/>
      <c r="Z53" s="1335"/>
      <c r="AA53" s="1335"/>
      <c r="AB53" s="1335"/>
      <c r="AC53" s="1335"/>
      <c r="AD53" s="1335"/>
      <c r="AE53" s="1335"/>
      <c r="AF53" s="1335"/>
      <c r="AG53" s="1335"/>
      <c r="AH53" s="1335"/>
      <c r="AI53" s="1335"/>
      <c r="AJ53" s="1335"/>
      <c r="AK53" s="1335"/>
      <c r="AL53" s="1335"/>
      <c r="AM53" s="1335"/>
      <c r="AN53" s="1335"/>
      <c r="AO53" s="1335"/>
      <c r="AP53" s="1335"/>
      <c r="AQ53" s="1335"/>
      <c r="AR53" s="1335"/>
      <c r="AS53" s="1335"/>
      <c r="AU53" s="511"/>
      <c r="AV53" s="511" t="str">
        <f>IF(T53="","",T53)</f>
        <v>Добавить территорию для дифференциации</v>
      </c>
      <c r="AW53" s="511"/>
      <c r="AX53" s="511"/>
      <c r="AY53" s="522">
        <v>0</v>
      </c>
    </row>
    <row s="1653" customFormat="1" customHeight="1" ht="0">
      <c r="A54" s="1325"/>
      <c r="B54" s="1325"/>
      <c r="C54" s="1325"/>
      <c r="D54" s="1325"/>
      <c r="E54" s="1354"/>
      <c r="F54" s="1325"/>
      <c r="G54" s="1325"/>
      <c r="H54" s="1325"/>
      <c r="I54" s="1325"/>
      <c r="J54" s="1325"/>
      <c r="K54" s="1325"/>
      <c r="L54" s="1505"/>
      <c r="M54" s="1332"/>
      <c r="N54" s="1332"/>
      <c r="P54" s="1327"/>
      <c r="Q54" s="1328"/>
      <c r="R54" s="1327"/>
      <c r="S54" s="1333"/>
      <c r="T54" s="1336" t="s">
        <v>458</v>
      </c>
      <c r="U54" s="1335"/>
      <c r="V54" s="1335"/>
      <c r="W54" s="1335"/>
      <c r="X54" s="1335"/>
      <c r="Y54" s="1335"/>
      <c r="Z54" s="1335"/>
      <c r="AA54" s="1335"/>
      <c r="AB54" s="1335"/>
      <c r="AC54" s="1335"/>
      <c r="AD54" s="1335"/>
      <c r="AE54" s="1335"/>
      <c r="AF54" s="1335"/>
      <c r="AG54" s="1335"/>
      <c r="AH54" s="1335"/>
      <c r="AI54" s="1335"/>
      <c r="AJ54" s="1335"/>
      <c r="AK54" s="1335"/>
      <c r="AL54" s="1335"/>
      <c r="AM54" s="1335"/>
      <c r="AN54" s="1335"/>
      <c r="AO54" s="1335"/>
      <c r="AP54" s="1335"/>
      <c r="AQ54" s="1335"/>
      <c r="AR54" s="1335"/>
      <c r="AS54" s="1335"/>
      <c r="AU54" s="800"/>
      <c r="AV54" s="800" t="str">
        <f>IF(T54="","",T54)</f>
        <v>Добавить наименование тарифа</v>
      </c>
      <c r="AW54" s="800"/>
      <c r="AX54" s="800"/>
      <c r="AY54" s="529">
        <v>0</v>
      </c>
    </row>
    <row customHeight="1" ht="11.549999999999999">
      <c r="M55" s="1171"/>
      <c r="N55" s="1171"/>
      <c r="O55" s="548"/>
      <c r="P55" s="1166"/>
      <c r="Q55" s="1166"/>
      <c r="R55" s="1166"/>
      <c r="S55" s="1166"/>
      <c r="AT55" s="1166"/>
      <c r="AU55" s="1166"/>
      <c r="AV55" s="1166"/>
      <c r="AW55" s="1166"/>
      <c r="AX55" s="1166"/>
      <c r="AY55" s="1166">
        <v>11</v>
      </c>
    </row>
    <row customHeight="1" ht="14.699999999999998">
      <c r="O56" s="548"/>
      <c r="S56" s="1264"/>
      <c r="T56" s="2315"/>
      <c r="U56" s="2315"/>
      <c r="V56" s="2315"/>
      <c r="W56" s="2315"/>
      <c r="X56" s="2315"/>
      <c r="Y56" s="2315"/>
      <c r="Z56" s="2315"/>
      <c r="AA56" s="2315"/>
      <c r="AB56" s="2315"/>
      <c r="AC56" s="2315"/>
      <c r="AD56" s="2315"/>
      <c r="AE56" s="2315"/>
      <c r="AF56" s="2315"/>
      <c r="AG56" s="2315"/>
      <c r="AH56" s="2315"/>
      <c r="AI56" s="2315"/>
      <c r="AJ56" s="2315"/>
      <c r="AK56" s="2315"/>
      <c r="AL56" s="2315"/>
      <c r="AM56" s="2315"/>
      <c r="AN56" s="2315"/>
      <c r="AO56" s="2315"/>
      <c r="AP56" s="2315"/>
      <c r="AQ56" s="2315"/>
      <c r="AR56" s="2315"/>
      <c r="AS56" s="2315"/>
      <c r="AY56" s="1166">
        <v>14</v>
      </c>
    </row>
    <row customHeight="1" ht="14.699999999999998">
      <c r="O57" s="548"/>
      <c r="AY57" s="1166">
        <v>14</v>
      </c>
    </row>
    <row customHeight="1" ht="14.699999999999998">
      <c r="O58" s="548"/>
      <c r="S58" s="1264"/>
      <c r="T58" s="2315"/>
      <c r="U58" s="2315"/>
      <c r="V58" s="2315"/>
      <c r="W58" s="2315"/>
      <c r="X58" s="2315"/>
      <c r="Y58" s="2315"/>
      <c r="Z58" s="2315"/>
      <c r="AA58" s="2315"/>
      <c r="AB58" s="2315"/>
      <c r="AC58" s="2315"/>
      <c r="AD58" s="2315"/>
      <c r="AE58" s="2315"/>
      <c r="AF58" s="2315"/>
      <c r="AG58" s="2315"/>
      <c r="AH58" s="2315"/>
      <c r="AI58" s="2315"/>
      <c r="AJ58" s="2315"/>
      <c r="AK58" s="2315"/>
      <c r="AL58" s="2315"/>
      <c r="AM58" s="2315"/>
      <c r="AN58" s="2315"/>
      <c r="AO58" s="2315"/>
      <c r="AP58" s="2315"/>
      <c r="AQ58" s="2315"/>
      <c r="AR58" s="2315"/>
      <c r="AS58" s="2315"/>
      <c r="AY58" s="1166">
        <v>14</v>
      </c>
    </row>
    <row customHeight="1" ht="22.5" hidden="1">
      <c r="A59" s="1171" t="s">
        <v>83</v>
      </c>
      <c r="B59" s="1171">
        <v>0</v>
      </c>
      <c r="C59" s="1171">
        <v>0</v>
      </c>
      <c r="D59" s="1171">
        <v>0</v>
      </c>
      <c r="E59" s="1171">
        <v>0</v>
      </c>
      <c r="F59" s="1171">
        <v>0</v>
      </c>
      <c r="G59" s="1171">
        <v>0</v>
      </c>
      <c r="H59" s="1171">
        <v>0</v>
      </c>
      <c r="I59" s="1171">
        <v>0</v>
      </c>
      <c r="J59" s="1171">
        <v>0</v>
      </c>
      <c r="K59" s="1171">
        <v>0</v>
      </c>
      <c r="L59" s="1489">
        <v>0</v>
      </c>
      <c r="M59" s="1373">
        <v>0</v>
      </c>
      <c r="N59" s="1373">
        <v>0</v>
      </c>
      <c r="O59" s="1373">
        <v>0</v>
      </c>
      <c r="P59" s="1484">
        <v>3</v>
      </c>
      <c r="Q59" s="355">
        <v>3</v>
      </c>
      <c r="R59" s="355">
        <v>3</v>
      </c>
      <c r="S59" s="592">
        <v>12</v>
      </c>
      <c r="T59" s="1166">
        <v>35</v>
      </c>
      <c r="U59" s="1166">
        <v>0</v>
      </c>
      <c r="V59" s="1166">
        <v>0</v>
      </c>
      <c r="W59" s="1642">
        <v>0</v>
      </c>
      <c r="X59" s="1642">
        <v>0</v>
      </c>
      <c r="Y59" s="1642">
        <v>0</v>
      </c>
      <c r="Z59" s="1642">
        <v>0</v>
      </c>
      <c r="AA59" s="1642">
        <v>0</v>
      </c>
      <c r="AB59" s="1642">
        <v>0</v>
      </c>
      <c r="AC59" s="1166">
        <v>0</v>
      </c>
      <c r="AD59" s="1166">
        <v>0</v>
      </c>
      <c r="AE59" s="1166">
        <v>0</v>
      </c>
      <c r="AF59" s="1166">
        <v>0</v>
      </c>
      <c r="AG59" s="1166">
        <v>19</v>
      </c>
      <c r="AH59" s="1642">
        <v>19</v>
      </c>
      <c r="AI59" s="1642">
        <v>19</v>
      </c>
      <c r="AJ59" s="1642">
        <v>19</v>
      </c>
      <c r="AK59" s="1642">
        <v>19</v>
      </c>
      <c r="AL59" s="1642">
        <v>19</v>
      </c>
      <c r="AM59" s="1166">
        <v>19</v>
      </c>
      <c r="AN59" s="1166">
        <v>11</v>
      </c>
      <c r="AO59" s="1166">
        <v>3</v>
      </c>
      <c r="AP59" s="1166">
        <v>11</v>
      </c>
      <c r="AQ59" s="1166">
        <v>0</v>
      </c>
      <c r="AR59" s="1166">
        <v>4</v>
      </c>
      <c r="AS59" s="1166">
        <v>115</v>
      </c>
      <c r="AT59" s="522">
        <v>10</v>
      </c>
      <c r="AU59" s="522">
        <v>10</v>
      </c>
      <c r="AV59" s="522">
        <v>10</v>
      </c>
      <c r="AW59" s="522">
        <v>10</v>
      </c>
      <c r="AX59" s="522">
        <v>10</v>
      </c>
      <c r="AY59" s="116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2C87F-FD39-ED84-B05A-B601EA6ECB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4.140625" hidden="1" customWidth="1"/>
    <col min="10" max="10" style="1377" width="9.8515625" hidden="1" customWidth="1"/>
    <col min="11" max="11" style="1377" width="14.7109375" hidden="1" customWidth="1"/>
    <col min="12" max="12" style="2637" width="19.140625" hidden="1" customWidth="1"/>
    <col min="13" max="14" style="1786" width="12.28125" hidden="1" customWidth="1"/>
    <col min="15" max="15" style="1786" width="23.421875" hidden="1" customWidth="1"/>
    <col min="16" max="16" style="2427" width="3.00390625" customWidth="1"/>
    <col min="17" max="18" style="355" width="3.00390625" customWidth="1"/>
    <col min="19" max="19" style="2437" width="12.00390625" customWidth="1"/>
    <col min="20" max="20" style="1646" width="35.00390625" customWidth="1"/>
    <col min="21" max="21" style="1646" width="0.140625" customWidth="1"/>
    <col min="22" max="28" style="1646" width="19.7109375" hidden="1" customWidth="1"/>
    <col min="29" max="29" style="1646" width="11.7109375" hidden="1" customWidth="1"/>
    <col min="30" max="30" style="1646" width="3.7109375" hidden="1" customWidth="1"/>
    <col min="31" max="31" style="1646" width="11.7109375" hidden="1" customWidth="1"/>
    <col min="32" max="32" style="1646" width="8.57421875" hidden="1" customWidth="1"/>
    <col min="33" max="33" style="1646" width="19.7109375" customWidth="1"/>
    <col min="34" max="39" style="1646" width="19.00390625" customWidth="1"/>
    <col min="40" max="40" style="1646" width="11.00390625" customWidth="1"/>
    <col min="41" max="41" style="1646" width="3.7109375" customWidth="1"/>
    <col min="42" max="42" style="1646" width="11.00390625" customWidth="1"/>
    <col min="43" max="43" style="1646" width="8.57421875" hidden="1" customWidth="1"/>
    <col min="44" max="44" style="1646" width="4.00390625" customWidth="1"/>
    <col min="45" max="45" style="1646" width="115.00390625" customWidth="1"/>
    <col min="46" max="50" style="1653" width="10.00390625" customWidth="1"/>
    <col min="51" max="51" style="1646" width="10.57421875" hidden="1"/>
  </cols>
  <sheetData>
    <row customHeight="1" ht="22.5" hidden="1">
      <c r="AB1" s="338"/>
      <c r="AC1" s="338"/>
      <c r="AM1" s="338"/>
      <c r="AN1" s="338"/>
      <c r="AY1" s="1166" t="s">
        <v>14</v>
      </c>
    </row>
    <row customHeight="1" ht="23.25" hidden="1">
      <c r="A2" s="1374"/>
      <c r="B2" s="1374"/>
      <c r="C2" s="1374"/>
      <c r="D2" s="1374"/>
      <c r="E2" s="2288">
        <v>1</v>
      </c>
      <c r="F2" s="1374"/>
      <c r="G2" s="1374"/>
      <c r="H2" s="1374"/>
      <c r="I2" s="1374"/>
      <c r="J2" s="1374"/>
      <c r="K2" s="1374"/>
      <c r="L2" s="1375"/>
      <c r="M2" s="1376"/>
      <c r="N2" s="1376"/>
      <c r="O2" s="1376"/>
      <c r="P2" s="372"/>
      <c r="Q2" s="371"/>
      <c r="R2" s="366"/>
      <c r="S2" s="1504">
        <f>INDEX(PT_DIFFERENTIATION_NUM_NTAR,MATCH(A2,PT_DIFFERENTIATION_NTAR_ID,0))</f>
      </c>
      <c r="T2" s="309" t="s">
        <v>139</v>
      </c>
      <c r="U2" s="311"/>
      <c r="V2" s="2272"/>
      <c r="W2" s="2273"/>
      <c r="X2" s="2273"/>
      <c r="Y2" s="2273"/>
      <c r="Z2" s="2273"/>
      <c r="AA2" s="2273"/>
      <c r="AB2" s="2273"/>
      <c r="AC2" s="2273"/>
      <c r="AD2" s="2273"/>
      <c r="AE2" s="2273"/>
      <c r="AF2" s="2274"/>
      <c r="AG2" s="2272">
        <f>INDEX(PT_DIFFERENTIATION_NTAR,MATCH(A2,PT_DIFFERENTIATION_NTAR_ID,0))</f>
      </c>
      <c r="AH2" s="2273"/>
      <c r="AI2" s="2273"/>
      <c r="AJ2" s="2273"/>
      <c r="AK2" s="2273"/>
      <c r="AL2" s="2273"/>
      <c r="AM2" s="2273"/>
      <c r="AN2" s="2273"/>
      <c r="AO2" s="2273"/>
      <c r="AP2" s="2273"/>
      <c r="AQ2" s="2273"/>
      <c r="AR2" s="2274"/>
      <c r="AS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1"/>
      <c r="AV2" s="511" t="str">
        <f>IF(T2="","",T2)</f>
        <v>Наименование тарифа</v>
      </c>
      <c r="AW2" s="511"/>
      <c r="AX2" s="511"/>
      <c r="AY2" s="1166">
        <v>0</v>
      </c>
    </row>
    <row customHeight="1" ht="23.25" hidden="1">
      <c r="A3" s="1374"/>
      <c r="B3" s="1374"/>
      <c r="C3" s="1374"/>
      <c r="D3" s="1374"/>
      <c r="E3" s="2289"/>
      <c r="F3" s="2288">
        <v>1</v>
      </c>
      <c r="G3" s="1374"/>
      <c r="H3" s="1374"/>
      <c r="I3" s="1374"/>
      <c r="J3" s="1374"/>
      <c r="K3" s="1374"/>
      <c r="L3" s="1375"/>
      <c r="M3" s="1376"/>
      <c r="N3" s="1376"/>
      <c r="O3" s="1376"/>
      <c r="P3" s="1498"/>
      <c r="Q3" s="363"/>
      <c r="R3" s="364"/>
      <c r="S3" s="1504">
        <f>INDEX(PT_DIFFERENTIATION_NUM_TER,MATCH(B3,PT_DIFFERENTIATION_TER_ID,0))</f>
      </c>
      <c r="T3" s="319" t="s">
        <v>411</v>
      </c>
      <c r="U3" s="311"/>
      <c r="V3" s="2272"/>
      <c r="W3" s="2273"/>
      <c r="X3" s="2273"/>
      <c r="Y3" s="2273"/>
      <c r="Z3" s="2273"/>
      <c r="AA3" s="2273"/>
      <c r="AB3" s="2273"/>
      <c r="AC3" s="2273"/>
      <c r="AD3" s="2273"/>
      <c r="AE3" s="2273"/>
      <c r="AF3" s="2274"/>
      <c r="AG3" s="2272">
        <f>INDEX(PT_DIFFERENTIATION_TER,MATCH(B3,PT_DIFFERENTIATION_TER_ID,0))</f>
      </c>
      <c r="AH3" s="2273"/>
      <c r="AI3" s="2273"/>
      <c r="AJ3" s="2273"/>
      <c r="AK3" s="2273"/>
      <c r="AL3" s="2273"/>
      <c r="AM3" s="2273"/>
      <c r="AN3" s="2273"/>
      <c r="AO3" s="2273"/>
      <c r="AP3" s="2273"/>
      <c r="AQ3" s="2273"/>
      <c r="AR3" s="2274"/>
      <c r="AS3" s="1269" t="s">
        <v>412</v>
      </c>
      <c r="AU3" s="511"/>
      <c r="AV3" s="511" t="str">
        <f>IF(T3="","",T3)</f>
        <v>Территория действия тарифа</v>
      </c>
      <c r="AW3" s="511"/>
      <c r="AX3" s="511"/>
      <c r="AY3" s="1166">
        <v>0</v>
      </c>
    </row>
    <row customHeight="1" ht="23.25" hidden="1">
      <c r="A4" s="1374"/>
      <c r="B4" s="1374"/>
      <c r="C4" s="1374"/>
      <c r="D4" s="1374"/>
      <c r="E4" s="2289"/>
      <c r="F4" s="2289"/>
      <c r="G4" s="2288">
        <v>1</v>
      </c>
      <c r="H4" s="1374"/>
      <c r="I4" s="1374"/>
      <c r="J4" s="1374"/>
      <c r="K4" s="1374"/>
      <c r="L4" s="1375"/>
      <c r="M4" s="1376"/>
      <c r="N4" s="1376"/>
      <c r="O4" s="1376"/>
      <c r="P4" s="365"/>
      <c r="Q4" s="363"/>
      <c r="R4" s="364"/>
      <c r="S4" s="1504">
        <f>INDEX(PT_DIFFERENTIATION_NUM_CS,MATCH(C4,PT_DIFFERENTIATION_CS_ID,0))</f>
      </c>
      <c r="T4" s="320" t="s">
        <v>542</v>
      </c>
      <c r="U4" s="311"/>
      <c r="V4" s="2272"/>
      <c r="W4" s="2273"/>
      <c r="X4" s="2273"/>
      <c r="Y4" s="2273"/>
      <c r="Z4" s="2273"/>
      <c r="AA4" s="2273"/>
      <c r="AB4" s="2273"/>
      <c r="AC4" s="2273"/>
      <c r="AD4" s="2273"/>
      <c r="AE4" s="2273"/>
      <c r="AF4" s="2274"/>
      <c r="AG4" s="2272">
        <f>INDEX(PT_DIFFERENTIATION_CS,MATCH(C4,PT_DIFFERENTIATION_CS_ID,0))</f>
      </c>
      <c r="AH4" s="2273"/>
      <c r="AI4" s="2273"/>
      <c r="AJ4" s="2273"/>
      <c r="AK4" s="2273"/>
      <c r="AL4" s="2273"/>
      <c r="AM4" s="2273"/>
      <c r="AN4" s="2273"/>
      <c r="AO4" s="2273"/>
      <c r="AP4" s="2273"/>
      <c r="AQ4" s="2273"/>
      <c r="AR4" s="2274"/>
      <c r="AS4" s="1269" t="s">
        <v>543</v>
      </c>
      <c r="AU4" s="511"/>
      <c r="AV4" s="511" t="str">
        <f>IF(T4="","",T4)</f>
        <v>Наименование централизованной системы горячего водоснабжения</v>
      </c>
      <c r="AW4" s="511"/>
      <c r="AX4" s="511"/>
      <c r="AY4" s="1166">
        <v>0</v>
      </c>
    </row>
    <row customHeight="1" ht="23.25" hidden="1">
      <c r="A5" s="1374"/>
      <c r="B5" s="1374"/>
      <c r="C5" s="1374"/>
      <c r="D5" s="1374"/>
      <c r="E5" s="2289"/>
      <c r="F5" s="2289"/>
      <c r="G5" s="2289"/>
      <c r="H5" s="2289"/>
      <c r="I5" s="2286">
        <f>S4&amp;".1"</f>
      </c>
      <c r="J5" s="1374"/>
      <c r="K5" s="1374"/>
      <c r="L5" s="1375"/>
      <c r="P5" s="2287">
        <v>1</v>
      </c>
      <c r="Q5" s="1492"/>
      <c r="R5" s="367"/>
      <c r="S5" s="1504">
        <f>$I5</f>
      </c>
      <c r="T5" s="296" t="s">
        <v>495</v>
      </c>
      <c r="U5" s="311"/>
      <c r="V5" s="2380"/>
      <c r="W5" s="2381"/>
      <c r="X5" s="2381"/>
      <c r="Y5" s="2381"/>
      <c r="Z5" s="2381"/>
      <c r="AA5" s="2381"/>
      <c r="AB5" s="2381"/>
      <c r="AC5" s="2381"/>
      <c r="AD5" s="2381"/>
      <c r="AE5" s="2381"/>
      <c r="AF5" s="2382"/>
      <c r="AG5" s="2383"/>
      <c r="AH5" s="2384"/>
      <c r="AI5" s="2384"/>
      <c r="AJ5" s="2384"/>
      <c r="AK5" s="2384"/>
      <c r="AL5" s="2384"/>
      <c r="AM5" s="2384"/>
      <c r="AN5" s="2384"/>
      <c r="AO5" s="2384"/>
      <c r="AP5" s="2384"/>
      <c r="AQ5" s="2384"/>
      <c r="AR5" s="2385"/>
      <c r="AS5" s="1269" t="s">
        <v>496</v>
      </c>
      <c r="AU5" s="511"/>
      <c r="AV5" s="511" t="str">
        <f>IF(T5="","",T5)</f>
        <v>Наименование признака дифференциации</v>
      </c>
      <c r="AW5" s="511"/>
      <c r="AX5" s="511"/>
      <c r="AY5" s="1166">
        <v>0</v>
      </c>
    </row>
    <row customHeight="1" ht="23.25" hidden="1">
      <c r="A6" s="1374"/>
      <c r="B6" s="1374"/>
      <c r="C6" s="1374"/>
      <c r="D6" s="1374"/>
      <c r="E6" s="2289"/>
      <c r="F6" s="2289"/>
      <c r="G6" s="2289"/>
      <c r="H6" s="2289"/>
      <c r="I6" s="2316"/>
      <c r="J6" s="2286">
        <f>I5&amp;".1"</f>
      </c>
      <c r="K6" s="1374"/>
      <c r="L6" s="1375" t="s">
        <v>420</v>
      </c>
      <c r="P6" s="2287"/>
      <c r="Q6" s="2287">
        <v>1</v>
      </c>
      <c r="R6" s="368"/>
      <c r="S6" s="1504">
        <f>$J6</f>
      </c>
      <c r="T6" s="297" t="s">
        <v>421</v>
      </c>
      <c r="U6" s="311"/>
      <c r="V6" s="2275"/>
      <c r="W6" s="2276"/>
      <c r="X6" s="2276"/>
      <c r="Y6" s="2276"/>
      <c r="Z6" s="2276"/>
      <c r="AA6" s="2276"/>
      <c r="AB6" s="2276"/>
      <c r="AC6" s="2276"/>
      <c r="AD6" s="2276"/>
      <c r="AE6" s="2276"/>
      <c r="AF6" s="2277"/>
      <c r="AG6" s="2275"/>
      <c r="AH6" s="2276"/>
      <c r="AI6" s="2276"/>
      <c r="AJ6" s="2276"/>
      <c r="AK6" s="2276"/>
      <c r="AL6" s="2276"/>
      <c r="AM6" s="2276"/>
      <c r="AN6" s="2276"/>
      <c r="AO6" s="2276"/>
      <c r="AP6" s="2276"/>
      <c r="AQ6" s="2276"/>
      <c r="AR6" s="2277"/>
      <c r="AS6" s="1318" t="s">
        <v>497</v>
      </c>
      <c r="AU6" s="511"/>
      <c r="AV6" s="511" t="str">
        <f>IF(T6="","",T6)</f>
        <v>Группа потребителей</v>
      </c>
      <c r="AW6" s="511"/>
      <c r="AX6" s="511"/>
      <c r="AY6" s="1166">
        <v>0</v>
      </c>
    </row>
    <row customHeight="1" ht="23.25" hidden="1">
      <c r="A7" s="1374"/>
      <c r="B7" s="1374"/>
      <c r="C7" s="1374"/>
      <c r="D7" s="1374"/>
      <c r="E7" s="2289"/>
      <c r="F7" s="2289"/>
      <c r="G7" s="2289"/>
      <c r="H7" s="2289"/>
      <c r="I7" s="2316"/>
      <c r="J7" s="2316"/>
      <c r="K7" s="2286">
        <f>J6&amp;".1"</f>
      </c>
      <c r="L7" s="1375"/>
      <c r="P7" s="2287"/>
      <c r="Q7" s="2287"/>
      <c r="R7" s="368">
        <v>1</v>
      </c>
      <c r="S7" s="1504">
        <f>$K7</f>
      </c>
      <c r="T7" s="1448"/>
      <c r="U7" s="311"/>
      <c r="V7" s="762"/>
      <c r="W7" s="762"/>
      <c r="X7" s="762"/>
      <c r="Y7" s="762"/>
      <c r="Z7" s="762"/>
      <c r="AA7" s="762"/>
      <c r="AB7" s="1268"/>
      <c r="AC7" s="2295"/>
      <c r="AD7" s="2137" t="s">
        <v>63</v>
      </c>
      <c r="AE7" s="2295"/>
      <c r="AF7" s="2137" t="s">
        <v>63</v>
      </c>
      <c r="AG7" s="762"/>
      <c r="AH7" s="762"/>
      <c r="AI7" s="762"/>
      <c r="AJ7" s="762"/>
      <c r="AK7" s="762"/>
      <c r="AL7" s="762"/>
      <c r="AM7" s="1268"/>
      <c r="AN7" s="2295"/>
      <c r="AO7" s="2137" t="s">
        <v>63</v>
      </c>
      <c r="AP7" s="2317"/>
      <c r="AQ7" s="2137" t="s">
        <v>63</v>
      </c>
      <c r="AR7" s="1449"/>
      <c r="AS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2">
        <f>STRCHECKDATE(V8:AR8)</f>
      </c>
      <c r="AU7" s="511"/>
      <c r="AV7" s="511" t="str">
        <f>IF(T7="","",T7)</f>
        <v/>
      </c>
      <c r="AW7" s="511"/>
      <c r="AX7" s="511"/>
      <c r="AY7" s="1166">
        <v>0</v>
      </c>
    </row>
    <row customHeight="1" ht="14.25" hidden="1">
      <c r="A8" s="1374"/>
      <c r="B8" s="1374"/>
      <c r="C8" s="1374"/>
      <c r="D8" s="1374"/>
      <c r="E8" s="2289"/>
      <c r="F8" s="2289"/>
      <c r="G8" s="2289"/>
      <c r="H8" s="2289"/>
      <c r="I8" s="2316"/>
      <c r="J8" s="2316"/>
      <c r="K8" s="2286"/>
      <c r="L8" s="1375"/>
      <c r="P8" s="2287"/>
      <c r="Q8" s="2287"/>
      <c r="R8" s="368"/>
      <c r="S8" s="1501"/>
      <c r="T8" s="311"/>
      <c r="U8" s="311"/>
      <c r="V8" s="336"/>
      <c r="W8" s="336"/>
      <c r="X8" s="336"/>
      <c r="Y8" s="336"/>
      <c r="Z8" s="336"/>
      <c r="AA8" s="336"/>
      <c r="AB8" s="339" t="str">
        <f>AC7&amp;"-"&amp;AE7</f>
        <v>-</v>
      </c>
      <c r="AC8" s="2296"/>
      <c r="AD8" s="2137"/>
      <c r="AE8" s="2296"/>
      <c r="AF8" s="2137"/>
      <c r="AG8" s="336"/>
      <c r="AH8" s="336"/>
      <c r="AI8" s="336"/>
      <c r="AJ8" s="336"/>
      <c r="AK8" s="336"/>
      <c r="AL8" s="336"/>
      <c r="AM8" s="339" t="str">
        <f>AN7&amp;"-"&amp;AP7</f>
        <v>-</v>
      </c>
      <c r="AN8" s="2296"/>
      <c r="AO8" s="2137"/>
      <c r="AP8" s="2318"/>
      <c r="AQ8" s="2137"/>
      <c r="AR8" s="1450"/>
      <c r="AS8" s="2379"/>
      <c r="AU8" s="511"/>
      <c r="AV8" s="511" t="str">
        <f>IF(T8="","",T8)</f>
        <v/>
      </c>
      <c r="AW8" s="511"/>
      <c r="AX8" s="511"/>
      <c r="AY8" s="1166">
        <v>0</v>
      </c>
    </row>
    <row customHeight="1" ht="21" hidden="1">
      <c r="A9" s="1374"/>
      <c r="B9" s="1374"/>
      <c r="C9" s="1374"/>
      <c r="D9" s="1374"/>
      <c r="E9" s="2289"/>
      <c r="F9" s="2289"/>
      <c r="G9" s="2289"/>
      <c r="H9" s="2289"/>
      <c r="I9" s="2316"/>
      <c r="J9" s="2286"/>
      <c r="K9" s="1374"/>
      <c r="L9" s="1375"/>
      <c r="P9" s="2287"/>
      <c r="Q9" s="2287"/>
      <c r="R9" s="367"/>
      <c r="S9" s="1289"/>
      <c r="T9" s="298" t="s">
        <v>498</v>
      </c>
      <c r="U9" s="378"/>
      <c r="V9" s="378"/>
      <c r="W9" s="611"/>
      <c r="X9" s="611"/>
      <c r="Y9" s="611"/>
      <c r="Z9" s="611"/>
      <c r="AA9" s="611"/>
      <c r="AB9" s="378"/>
      <c r="AC9" s="378"/>
      <c r="AD9" s="378"/>
      <c r="AE9" s="378"/>
      <c r="AF9" s="378"/>
      <c r="AG9" s="378"/>
      <c r="AH9" s="611"/>
      <c r="AI9" s="611"/>
      <c r="AJ9" s="611"/>
      <c r="AK9" s="611"/>
      <c r="AL9" s="611"/>
      <c r="AM9" s="378"/>
      <c r="AN9" s="378"/>
      <c r="AO9" s="378"/>
      <c r="AP9" s="378"/>
      <c r="AQ9" s="378"/>
      <c r="AR9" s="378"/>
      <c r="AS9" s="1269" t="s">
        <v>499</v>
      </c>
      <c r="AU9" s="511"/>
      <c r="AV9" s="511" t="str">
        <f>IF(T9="","",T9)</f>
        <v>Добавить значение признака дифференциации</v>
      </c>
      <c r="AW9" s="511"/>
      <c r="AX9" s="511"/>
      <c r="AY9" s="1166">
        <v>0</v>
      </c>
    </row>
    <row customHeight="1" ht="21" hidden="1">
      <c r="A10" s="1374"/>
      <c r="B10" s="1374"/>
      <c r="C10" s="1374"/>
      <c r="D10" s="1374"/>
      <c r="E10" s="2289"/>
      <c r="F10" s="2289"/>
      <c r="G10" s="2289"/>
      <c r="H10" s="2289"/>
      <c r="I10" s="2286"/>
      <c r="J10" s="1374"/>
      <c r="K10" s="1374"/>
      <c r="L10" s="1375"/>
      <c r="P10" s="2287"/>
      <c r="Q10" s="1492"/>
      <c r="R10" s="367"/>
      <c r="S10" s="1289"/>
      <c r="T10" s="376" t="s">
        <v>426</v>
      </c>
      <c r="U10" s="378"/>
      <c r="V10" s="378"/>
      <c r="W10" s="611"/>
      <c r="X10" s="611"/>
      <c r="Y10" s="611"/>
      <c r="Z10" s="611"/>
      <c r="AA10" s="611"/>
      <c r="AB10" s="378"/>
      <c r="AC10" s="378"/>
      <c r="AD10" s="378"/>
      <c r="AE10" s="378"/>
      <c r="AF10" s="377"/>
      <c r="AG10" s="378"/>
      <c r="AH10" s="611"/>
      <c r="AI10" s="611"/>
      <c r="AJ10" s="611"/>
      <c r="AK10" s="611"/>
      <c r="AL10" s="611"/>
      <c r="AM10" s="378"/>
      <c r="AN10" s="378"/>
      <c r="AO10" s="378"/>
      <c r="AP10" s="378"/>
      <c r="AQ10" s="377"/>
      <c r="AR10" s="378"/>
      <c r="AS10" s="1451"/>
      <c r="AU10" s="511"/>
      <c r="AV10" s="511" t="str">
        <f>IF(T10="","",T10)</f>
        <v>Добавить группу потребителей</v>
      </c>
      <c r="AW10" s="511"/>
      <c r="AX10" s="511"/>
      <c r="AY10" s="1166">
        <v>0</v>
      </c>
    </row>
    <row customHeight="1" ht="21" hidden="1">
      <c r="A11" s="1374"/>
      <c r="B11" s="1374"/>
      <c r="C11" s="1374"/>
      <c r="D11" s="1374"/>
      <c r="E11" s="2289"/>
      <c r="F11" s="2289"/>
      <c r="G11" s="2289"/>
      <c r="H11" s="2288"/>
      <c r="I11" s="1374"/>
      <c r="J11" s="1374"/>
      <c r="K11" s="1374"/>
      <c r="L11" s="1375"/>
      <c r="M11" s="1376"/>
      <c r="N11" s="1376"/>
      <c r="O11" s="548"/>
      <c r="P11" s="371"/>
      <c r="Q11" s="386"/>
      <c r="R11" s="366"/>
      <c r="S11" s="1289"/>
      <c r="T11" s="383" t="s">
        <v>500</v>
      </c>
      <c r="U11" s="378"/>
      <c r="V11" s="378"/>
      <c r="W11" s="611"/>
      <c r="X11" s="611"/>
      <c r="Y11" s="611"/>
      <c r="Z11" s="611"/>
      <c r="AA11" s="611"/>
      <c r="AB11" s="378"/>
      <c r="AC11" s="378"/>
      <c r="AD11" s="378"/>
      <c r="AE11" s="378"/>
      <c r="AF11" s="377"/>
      <c r="AG11" s="378"/>
      <c r="AH11" s="611"/>
      <c r="AI11" s="611"/>
      <c r="AJ11" s="611"/>
      <c r="AK11" s="611"/>
      <c r="AL11" s="611"/>
      <c r="AM11" s="378"/>
      <c r="AN11" s="378"/>
      <c r="AO11" s="378"/>
      <c r="AP11" s="378"/>
      <c r="AQ11" s="377"/>
      <c r="AR11" s="378"/>
      <c r="AS11" s="314"/>
      <c r="AU11" s="511"/>
      <c r="AV11" s="511" t="str">
        <f>IF(T11="","",T11)</f>
        <v>Добавить наименование признака дифференциации</v>
      </c>
      <c r="AW11" s="511"/>
      <c r="AX11" s="511"/>
      <c r="AY11" s="1166">
        <v>0</v>
      </c>
    </row>
    <row s="1653" customFormat="1" customHeight="1" ht="14.25" hidden="1">
      <c r="A12" s="1354"/>
      <c r="B12" s="1354"/>
      <c r="C12" s="1325"/>
      <c r="D12" s="1325"/>
      <c r="E12" s="2289"/>
      <c r="F12" s="2288"/>
      <c r="G12" s="1325"/>
      <c r="H12" s="1325"/>
      <c r="I12" s="1325"/>
      <c r="J12" s="1325"/>
      <c r="K12" s="1325"/>
      <c r="L12" s="1505"/>
      <c r="M12" s="1332"/>
      <c r="N12" s="1332"/>
      <c r="P12" s="1327"/>
      <c r="Q12" s="1328"/>
      <c r="R12" s="1327"/>
      <c r="S12" s="1333"/>
      <c r="T12" s="1336" t="s">
        <v>429</v>
      </c>
      <c r="U12" s="1335"/>
      <c r="V12" s="1335"/>
      <c r="W12" s="1335"/>
      <c r="X12" s="1335"/>
      <c r="Y12" s="1335"/>
      <c r="Z12" s="1335"/>
      <c r="AA12" s="1335"/>
      <c r="AB12" s="1335"/>
      <c r="AC12" s="1335"/>
      <c r="AD12" s="1335"/>
      <c r="AE12" s="1335"/>
      <c r="AF12" s="1335"/>
      <c r="AG12" s="1335"/>
      <c r="AH12" s="1335"/>
      <c r="AI12" s="1335"/>
      <c r="AJ12" s="1335"/>
      <c r="AK12" s="1335"/>
      <c r="AL12" s="1335"/>
      <c r="AM12" s="1335"/>
      <c r="AN12" s="1335"/>
      <c r="AO12" s="1335"/>
      <c r="AP12" s="1335"/>
      <c r="AQ12" s="1335"/>
      <c r="AR12" s="1335"/>
      <c r="AS12" s="1335"/>
      <c r="AU12" s="800"/>
      <c r="AV12" s="800" t="str">
        <f>IF(T12="","",T12)</f>
        <v>Добавить централизованную систему для дифференциации</v>
      </c>
      <c r="AW12" s="800"/>
      <c r="AX12" s="800"/>
      <c r="AY12" s="529">
        <v>0</v>
      </c>
    </row>
    <row s="1653" customFormat="1" customHeight="1" ht="14.25" hidden="1">
      <c r="A13" s="1354"/>
      <c r="B13" s="1354"/>
      <c r="C13" s="1354"/>
      <c r="D13" s="1354"/>
      <c r="E13" s="2288"/>
      <c r="F13" s="1354"/>
      <c r="G13" s="1354"/>
      <c r="H13" s="1354"/>
      <c r="I13" s="1354"/>
      <c r="J13" s="1354"/>
      <c r="K13" s="1354"/>
      <c r="L13" s="1357"/>
      <c r="M13" s="1332"/>
      <c r="N13" s="1332"/>
      <c r="O13" s="529"/>
      <c r="P13" s="391"/>
      <c r="Q13" s="1355"/>
      <c r="R13" s="391"/>
      <c r="S13" s="1333"/>
      <c r="T13" s="1336" t="s">
        <v>430</v>
      </c>
      <c r="U13" s="1335"/>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U13" s="511"/>
      <c r="AV13" s="511" t="str">
        <f>IF(T13="","",T13)</f>
        <v>Добавить территорию для дифференциации</v>
      </c>
      <c r="AW13" s="511"/>
      <c r="AX13" s="511"/>
      <c r="AY13" s="522">
        <v>0</v>
      </c>
    </row>
    <row customHeight="1" ht="14.25" hidden="1">
      <c r="AF14" s="338"/>
      <c r="AQ14" s="338"/>
      <c r="AY14" s="1166">
        <v>0</v>
      </c>
    </row>
    <row customHeight="1" ht="14.25" hidden="1">
      <c r="AG15" s="1371"/>
      <c r="AH15" s="1371"/>
      <c r="AI15" s="1371"/>
      <c r="AJ15" s="1371"/>
      <c r="AK15" s="1371"/>
      <c r="AL15" s="1371"/>
      <c r="AM15" s="1372"/>
      <c r="AN15" s="2297"/>
      <c r="AO15" s="2298" t="s">
        <v>63</v>
      </c>
      <c r="AP15" s="2297"/>
      <c r="AQ15" s="2298" t="s">
        <v>63</v>
      </c>
      <c r="AY15" s="1166">
        <v>0</v>
      </c>
    </row>
    <row customHeight="1" ht="14.25" hidden="1">
      <c r="AG16" s="1371"/>
      <c r="AH16" s="1371"/>
      <c r="AI16" s="1371"/>
      <c r="AJ16" s="1371"/>
      <c r="AK16" s="1371"/>
      <c r="AL16" s="1371"/>
      <c r="AM16" s="339" t="str">
        <f>AN15&amp;"-"&amp;AP15</f>
        <v>-</v>
      </c>
      <c r="AN16" s="2298"/>
      <c r="AO16" s="2298"/>
      <c r="AP16" s="2298"/>
      <c r="AQ16" s="2298"/>
      <c r="AY16" s="1166">
        <v>0</v>
      </c>
    </row>
    <row customHeight="1" ht="14.25" hidden="1">
      <c r="AQ17" s="338"/>
      <c r="AY17" s="1166">
        <v>0</v>
      </c>
    </row>
    <row s="1377" customFormat="1" customHeight="1" ht="22.5" hidden="1">
      <c r="L18" s="1489"/>
      <c r="M18" s="1373"/>
      <c r="N18" s="1373"/>
      <c r="O18" s="1378" t="s">
        <v>431</v>
      </c>
      <c r="P18" s="1373"/>
      <c r="Q18" s="1382"/>
      <c r="R18" s="1382"/>
      <c r="S18" s="740"/>
      <c r="W18" s="1377"/>
      <c r="X18" s="1377"/>
      <c r="Y18" s="1377"/>
      <c r="Z18" s="1377"/>
      <c r="AA18" s="1377"/>
      <c r="AC18" s="1378"/>
      <c r="AE18" s="1378"/>
      <c r="AF18" s="1377"/>
      <c r="AH18" s="1377"/>
      <c r="AI18" s="1377"/>
      <c r="AJ18" s="1377"/>
      <c r="AK18" s="1377"/>
      <c r="AL18" s="1377"/>
      <c r="AN18" s="1378"/>
      <c r="AP18" s="1378"/>
      <c r="AQ18" s="1377"/>
      <c r="AT18" s="522"/>
      <c r="AU18" s="522"/>
      <c r="AV18" s="522"/>
      <c r="AW18" s="522"/>
      <c r="AX18" s="522"/>
      <c r="AY18" s="1171">
        <v>0</v>
      </c>
    </row>
    <row s="1377" customFormat="1" customHeight="1" ht="14.25" hidden="1">
      <c r="L19" s="1489"/>
      <c r="M19" s="1373"/>
      <c r="N19" s="1373"/>
      <c r="O19" s="1373"/>
      <c r="P19" s="1373"/>
      <c r="Q19" s="1382"/>
      <c r="R19" s="1382"/>
      <c r="S19" s="740"/>
      <c r="W19" s="1377"/>
      <c r="X19" s="1377"/>
      <c r="Y19" s="1377"/>
      <c r="Z19" s="1377"/>
      <c r="AA19" s="1377"/>
      <c r="AF19" s="1377"/>
      <c r="AH19" s="1377"/>
      <c r="AI19" s="1377"/>
      <c r="AJ19" s="1377"/>
      <c r="AK19" s="1377"/>
      <c r="AL19" s="1377"/>
      <c r="AQ19" s="1377"/>
      <c r="AT19" s="522"/>
      <c r="AU19" s="522"/>
      <c r="AV19" s="522"/>
      <c r="AW19" s="522"/>
      <c r="AX19" s="522"/>
      <c r="AY19" s="1171">
        <v>0</v>
      </c>
    </row>
    <row s="1377" customFormat="1" customHeight="1" ht="12" hidden="1">
      <c r="L20" s="1489"/>
      <c r="M20" s="1373"/>
      <c r="N20" s="1373"/>
      <c r="O20" s="1375" t="s">
        <v>432</v>
      </c>
      <c r="P20" s="1373"/>
      <c r="Q20" s="1453"/>
      <c r="R20" s="1453"/>
      <c r="S20" s="740"/>
      <c r="T20" s="1171" t="s">
        <v>433</v>
      </c>
      <c r="W20" s="1377"/>
      <c r="X20" s="1377"/>
      <c r="Y20" s="1377"/>
      <c r="Z20" s="1377"/>
      <c r="AA20" s="1377"/>
      <c r="AD20" s="197" t="s">
        <v>434</v>
      </c>
      <c r="AF20" s="197" t="s">
        <v>435</v>
      </c>
      <c r="AG20" s="1171" t="s">
        <v>433</v>
      </c>
      <c r="AH20" s="1377"/>
      <c r="AI20" s="1377"/>
      <c r="AJ20" s="1377"/>
      <c r="AK20" s="1377"/>
      <c r="AL20" s="1377"/>
      <c r="AO20" s="197" t="s">
        <v>436</v>
      </c>
      <c r="AQ20" s="197" t="s">
        <v>435</v>
      </c>
      <c r="AY20" s="1171">
        <v>0</v>
      </c>
    </row>
    <row customHeight="1" ht="14.25" hidden="1">
      <c r="O21" s="1375"/>
      <c r="AY21" s="1166">
        <v>0</v>
      </c>
    </row>
    <row customHeight="1" ht="14.25" hidden="1">
      <c r="O22" s="1375"/>
      <c r="AY22" s="1166">
        <v>0</v>
      </c>
    </row>
    <row customHeight="1" ht="14.699999999999998">
      <c r="Q23" s="387"/>
      <c r="R23" s="387"/>
      <c r="S23" s="1286"/>
      <c r="T23" s="374"/>
      <c r="U23" s="374"/>
      <c r="V23" s="520"/>
      <c r="W23" s="1646"/>
      <c r="X23" s="1646"/>
      <c r="Y23" s="1646"/>
      <c r="Z23" s="1646"/>
      <c r="AA23" s="1646"/>
      <c r="AB23" s="520"/>
      <c r="AC23" s="520"/>
      <c r="AD23" s="520"/>
      <c r="AE23" s="520"/>
      <c r="AF23" s="520"/>
      <c r="AG23" s="520"/>
      <c r="AH23" s="1646"/>
      <c r="AI23" s="1646"/>
      <c r="AJ23" s="1646"/>
      <c r="AK23" s="1646"/>
      <c r="AL23" s="1646"/>
      <c r="AM23" s="520"/>
      <c r="AN23" s="520"/>
      <c r="AO23" s="520"/>
      <c r="AP23" s="520"/>
      <c r="AQ23" s="520"/>
      <c r="AY23" s="1166">
        <v>14</v>
      </c>
    </row>
    <row customHeight="1" ht="26.25">
      <c r="Q24" s="387"/>
      <c r="R24" s="387"/>
      <c r="S24" s="227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8"/>
      <c r="U24" s="2278"/>
      <c r="V24" s="2278"/>
      <c r="W24" s="2278"/>
      <c r="X24" s="2278"/>
      <c r="Y24" s="2278"/>
      <c r="Z24" s="2278"/>
      <c r="AA24" s="2278"/>
      <c r="AB24" s="2278"/>
      <c r="AC24" s="2278"/>
      <c r="AD24" s="2278"/>
      <c r="AE24" s="2278"/>
      <c r="AF24" s="2278"/>
      <c r="AG24" s="2278"/>
      <c r="AH24" s="2278"/>
      <c r="AI24" s="2278"/>
      <c r="AJ24" s="2278"/>
      <c r="AK24" s="2278"/>
      <c r="AL24" s="2278"/>
      <c r="AM24" s="2278"/>
      <c r="AN24" s="2278"/>
      <c r="AO24" s="2278"/>
      <c r="AP24" s="2278"/>
      <c r="AQ24" s="1254"/>
      <c r="AY24" s="1166">
        <v>25</v>
      </c>
    </row>
    <row customHeight="1" ht="14.699999999999998">
      <c r="Q25" s="387"/>
      <c r="R25" s="387"/>
      <c r="S25" s="2279" t="str">
        <f>IF(org=0,"Не определено",org)</f>
        <v>ПАО "КГК"</v>
      </c>
      <c r="T25" s="2279"/>
      <c r="U25" s="2279"/>
      <c r="V25" s="2279"/>
      <c r="W25" s="2279"/>
      <c r="X25" s="2279"/>
      <c r="Y25" s="2279"/>
      <c r="Z25" s="2279"/>
      <c r="AA25" s="2279"/>
      <c r="AB25" s="2279"/>
      <c r="AC25" s="2279"/>
      <c r="AD25" s="2279"/>
      <c r="AE25" s="2279"/>
      <c r="AF25" s="2279"/>
      <c r="AG25" s="2279"/>
      <c r="AH25" s="2279"/>
      <c r="AI25" s="2279"/>
      <c r="AJ25" s="2279"/>
      <c r="AK25" s="2279"/>
      <c r="AL25" s="2279"/>
      <c r="AM25" s="2279"/>
      <c r="AN25" s="2279"/>
      <c r="AO25" s="2279"/>
      <c r="AP25" s="2279"/>
      <c r="AQ25" s="1254"/>
      <c r="AY25" s="1166">
        <v>14</v>
      </c>
    </row>
    <row customHeight="1" ht="14.25" hidden="1">
      <c r="Q26" s="387"/>
      <c r="R26" s="387"/>
      <c r="S26" s="1286"/>
      <c r="T26" s="374"/>
      <c r="U26" s="374"/>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520"/>
      <c r="AY26" s="1166">
        <v>0</v>
      </c>
    </row>
    <row s="1861" customFormat="1" customHeight="1" ht="25.5" hidden="1">
      <c r="A27" s="1379"/>
      <c r="B27" s="1379"/>
      <c r="C27" s="1379"/>
      <c r="D27" s="1379"/>
      <c r="E27" s="1379"/>
      <c r="F27" s="1379"/>
      <c r="G27" s="1379"/>
      <c r="H27" s="1379"/>
      <c r="I27" s="1379"/>
      <c r="J27" s="1379"/>
      <c r="K27" s="1379"/>
      <c r="L27" s="1380"/>
      <c r="M27" s="1379"/>
      <c r="N27" s="1379"/>
      <c r="O27" s="1379"/>
      <c r="S27"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0"/>
      <c r="U27" s="1383"/>
      <c r="V27" s="2281" t="str">
        <f>IF(TITLE_NAME_OR_PR_CHANGE="",IF(TITLE_NAME_OR_PR="","",TITLE_NAME_OR_PR),TITLE_NAME_OR_PR_CHANGE)</f>
        <v/>
      </c>
      <c r="W27" s="2281"/>
      <c r="X27" s="2281"/>
      <c r="Y27" s="2281"/>
      <c r="Z27" s="2281"/>
      <c r="AA27" s="2281"/>
      <c r="AB27" s="2281"/>
      <c r="AC27" s="2281"/>
      <c r="AD27" s="2281"/>
      <c r="AE27" s="2281"/>
      <c r="AF27" s="337"/>
      <c r="AG27" s="2281" t="str">
        <f>IF(TITLE_NAME_OR_PR_CHANGE="",IF(TITLE_NAME_OR_PR="","",TITLE_NAME_OR_PR),TITLE_NAME_OR_PR_CHANGE)</f>
        <v/>
      </c>
      <c r="AH27" s="2281"/>
      <c r="AI27" s="2281"/>
      <c r="AJ27" s="2281"/>
      <c r="AK27" s="2281"/>
      <c r="AL27" s="2281"/>
      <c r="AM27" s="2281"/>
      <c r="AN27" s="2281"/>
      <c r="AO27" s="2281"/>
      <c r="AP27" s="2281"/>
      <c r="AQ27" s="337"/>
      <c r="AR27" s="337"/>
      <c r="AS27" s="291"/>
      <c r="AT27" s="379"/>
      <c r="AU27" s="379"/>
      <c r="AV27" s="379"/>
      <c r="AW27" s="379"/>
      <c r="AX27" s="379"/>
      <c r="AY27" s="429">
        <v>0</v>
      </c>
    </row>
    <row s="1861" customFormat="1" customHeight="1" ht="18.75" hidden="1">
      <c r="A28" s="1379"/>
      <c r="B28" s="1379"/>
      <c r="C28" s="1379"/>
      <c r="D28" s="1379"/>
      <c r="E28" s="1379"/>
      <c r="F28" s="1379"/>
      <c r="G28" s="1379"/>
      <c r="H28" s="1379"/>
      <c r="I28" s="1379"/>
      <c r="J28" s="1379"/>
      <c r="K28" s="1379"/>
      <c r="L28" s="1380"/>
      <c r="M28" s="1379"/>
      <c r="N28" s="1379"/>
      <c r="O28" s="1379"/>
      <c r="S28" s="2280" t="str">
        <f>"Дата документа об "&amp;IF(TITLE_DATE_PR_CHANGE="","утверждении","изменении")&amp;" тарифов"</f>
        <v>Дата документа об утверждении тарифов</v>
      </c>
      <c r="T28" s="2280"/>
      <c r="U28" s="1383"/>
      <c r="V28" s="2294" t="str">
        <f>IF(TITLE_DATE_PR_CHANGE="",IF(TITLE_DATE_PR="","",TITLE_DATE_PR),TITLE_DATE_PR_CHANGE)</f>
        <v/>
      </c>
      <c r="W28" s="2294"/>
      <c r="X28" s="2294"/>
      <c r="Y28" s="2294"/>
      <c r="Z28" s="2294"/>
      <c r="AA28" s="2294"/>
      <c r="AB28" s="2294"/>
      <c r="AC28" s="2294"/>
      <c r="AD28" s="2294"/>
      <c r="AE28" s="2294"/>
      <c r="AF28" s="337"/>
      <c r="AG28" s="2294" t="str">
        <f>IF(TITLE_DATE_PR_CHANGE="",IF(TITLE_DATE_PR="","",TITLE_DATE_PR),TITLE_DATE_PR_CHANGE)</f>
        <v/>
      </c>
      <c r="AH28" s="2294"/>
      <c r="AI28" s="2294"/>
      <c r="AJ28" s="2294"/>
      <c r="AK28" s="2294"/>
      <c r="AL28" s="2294"/>
      <c r="AM28" s="2294"/>
      <c r="AN28" s="2294"/>
      <c r="AO28" s="2294"/>
      <c r="AP28" s="2294"/>
      <c r="AQ28" s="337"/>
      <c r="AR28" s="337"/>
      <c r="AS28" s="291"/>
      <c r="AT28" s="379"/>
      <c r="AU28" s="379"/>
      <c r="AV28" s="379"/>
      <c r="AW28" s="379"/>
      <c r="AX28" s="379"/>
      <c r="AY28" s="429">
        <v>0</v>
      </c>
    </row>
    <row s="1861" customFormat="1" customHeight="1" ht="18.75" hidden="1">
      <c r="A29" s="1379"/>
      <c r="B29" s="1379"/>
      <c r="C29" s="1379"/>
      <c r="D29" s="1379"/>
      <c r="E29" s="1379"/>
      <c r="F29" s="1379"/>
      <c r="G29" s="1379"/>
      <c r="H29" s="1379"/>
      <c r="I29" s="1379"/>
      <c r="J29" s="1379"/>
      <c r="K29" s="1379"/>
      <c r="L29" s="1380"/>
      <c r="M29" s="1379"/>
      <c r="N29" s="1379"/>
      <c r="O29" s="1379"/>
      <c r="S29" s="2280" t="str">
        <f>"Номер документа об "&amp;IF(TITLE_DATE_PR_CHANGE="","утверждении","изменении")&amp;" тарифов"</f>
        <v>Номер документа об утверждении тарифов</v>
      </c>
      <c r="T29" s="2280"/>
      <c r="U29" s="1383"/>
      <c r="V29" s="2281" t="str">
        <f>IF(TITLE_NUMBER_PR_CHANGE="",IF(TITLE_NUMBER_PR="","",TITLE_NUMBER_PR),TITLE_NUMBER_PR_CHANGE)</f>
        <v/>
      </c>
      <c r="W29" s="2281"/>
      <c r="X29" s="2281"/>
      <c r="Y29" s="2281"/>
      <c r="Z29" s="2281"/>
      <c r="AA29" s="2281"/>
      <c r="AB29" s="2281"/>
      <c r="AC29" s="2281"/>
      <c r="AD29" s="2281"/>
      <c r="AE29" s="2281"/>
      <c r="AF29" s="337"/>
      <c r="AG29" s="2281" t="str">
        <f>IF(TITLE_NUMBER_PR_CHANGE="",IF(TITLE_NUMBER_PR="","",TITLE_NUMBER_PR),TITLE_NUMBER_PR_CHANGE)</f>
        <v/>
      </c>
      <c r="AH29" s="2281"/>
      <c r="AI29" s="2281"/>
      <c r="AJ29" s="2281"/>
      <c r="AK29" s="2281"/>
      <c r="AL29" s="2281"/>
      <c r="AM29" s="2281"/>
      <c r="AN29" s="2281"/>
      <c r="AO29" s="2281"/>
      <c r="AP29" s="2281"/>
      <c r="AQ29" s="337"/>
      <c r="AR29" s="337"/>
      <c r="AS29" s="291"/>
      <c r="AT29" s="379"/>
      <c r="AU29" s="379"/>
      <c r="AV29" s="379"/>
      <c r="AW29" s="379"/>
      <c r="AX29" s="379"/>
      <c r="AY29" s="429">
        <v>0</v>
      </c>
    </row>
    <row s="1861" customFormat="1" customHeight="1" ht="18.75" hidden="1">
      <c r="A30" s="1379"/>
      <c r="B30" s="1379"/>
      <c r="C30" s="1379"/>
      <c r="D30" s="1379"/>
      <c r="E30" s="1379"/>
      <c r="F30" s="1379"/>
      <c r="G30" s="1379"/>
      <c r="H30" s="1379"/>
      <c r="I30" s="1379"/>
      <c r="J30" s="1379"/>
      <c r="K30" s="1379"/>
      <c r="L30" s="1380"/>
      <c r="M30" s="1379"/>
      <c r="N30" s="1379"/>
      <c r="O30" s="1379"/>
      <c r="S30" s="2280" t="s">
        <v>43</v>
      </c>
      <c r="T30" s="2280"/>
      <c r="U30" s="1383"/>
      <c r="V30" s="2281" t="str">
        <f>IF(TITLE_IST_PUB_CHANGE="",IF(TITLE_IST_PUB="","",TITLE_IST_PUB),TITLE_IST_PUB_CHANGE)</f>
        <v/>
      </c>
      <c r="W30" s="2281"/>
      <c r="X30" s="2281"/>
      <c r="Y30" s="2281"/>
      <c r="Z30" s="2281"/>
      <c r="AA30" s="2281"/>
      <c r="AB30" s="2281"/>
      <c r="AC30" s="2281"/>
      <c r="AD30" s="2281"/>
      <c r="AE30" s="2281"/>
      <c r="AF30" s="337"/>
      <c r="AG30" s="2281" t="str">
        <f>IF(TITLE_IST_PUB_CHANGE="",IF(TITLE_IST_PUB="","",TITLE_IST_PUB),TITLE_IST_PUB_CHANGE)</f>
        <v/>
      </c>
      <c r="AH30" s="2281"/>
      <c r="AI30" s="2281"/>
      <c r="AJ30" s="2281"/>
      <c r="AK30" s="2281"/>
      <c r="AL30" s="2281"/>
      <c r="AM30" s="2281"/>
      <c r="AN30" s="2281"/>
      <c r="AO30" s="2281"/>
      <c r="AP30" s="2281"/>
      <c r="AQ30" s="337"/>
      <c r="AR30" s="337"/>
      <c r="AS30" s="291"/>
      <c r="AT30" s="379"/>
      <c r="AU30" s="379"/>
      <c r="AV30" s="379"/>
      <c r="AW30" s="379"/>
      <c r="AX30" s="379"/>
      <c r="AY30" s="429">
        <v>0</v>
      </c>
    </row>
    <row customHeight="1" ht="14.25" hidden="1">
      <c r="Q31" s="387"/>
      <c r="R31" s="387"/>
      <c r="S31" s="1286"/>
      <c r="T31" s="468"/>
      <c r="U31" s="374"/>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520"/>
      <c r="AY31" s="1166">
        <v>0</v>
      </c>
    </row>
    <row s="1861" customFormat="1" customHeight="1" ht="18.75" hidden="1">
      <c r="A32" s="1379"/>
      <c r="B32" s="1379"/>
      <c r="C32" s="1379"/>
      <c r="D32" s="1379"/>
      <c r="E32" s="1379"/>
      <c r="F32" s="1379"/>
      <c r="G32" s="1379"/>
      <c r="H32" s="1379"/>
      <c r="I32" s="1379"/>
      <c r="J32" s="1379"/>
      <c r="K32" s="1379"/>
      <c r="L32" s="1380"/>
      <c r="M32" s="1379"/>
      <c r="N32" s="1379"/>
      <c r="O32" s="1379"/>
      <c r="S32" s="2280" t="str">
        <f>"Дата подачи заявления об "&amp;IF(TITLE_DATE_PR_CHANGE="","утверждении","изменении")&amp;" тарифов"</f>
        <v>Дата подачи заявления об утверждении тарифов</v>
      </c>
      <c r="T32" s="2280"/>
      <c r="U32" s="1383"/>
      <c r="V32" s="2294" t="str">
        <f>IF(TITLE_DATE_PR_CHANGE="",IF(TITLE_DATE_PR="","",TITLE_DATE_PR),TITLE_DATE_PR_CHANGE)</f>
        <v/>
      </c>
      <c r="W32" s="2294"/>
      <c r="X32" s="2294"/>
      <c r="Y32" s="2294"/>
      <c r="Z32" s="2294"/>
      <c r="AA32" s="2294"/>
      <c r="AB32" s="2294"/>
      <c r="AC32" s="2294"/>
      <c r="AD32" s="2294"/>
      <c r="AE32" s="2294"/>
      <c r="AF32" s="337"/>
      <c r="AG32" s="2294" t="str">
        <f>IF(TITLE_DATE_PR_CHANGE="",IF(TITLE_DATE_PR="","",TITLE_DATE_PR),TITLE_DATE_PR_CHANGE)</f>
        <v/>
      </c>
      <c r="AH32" s="2294"/>
      <c r="AI32" s="2294"/>
      <c r="AJ32" s="2294"/>
      <c r="AK32" s="2294"/>
      <c r="AL32" s="2294"/>
      <c r="AM32" s="2294"/>
      <c r="AN32" s="2294"/>
      <c r="AO32" s="2294"/>
      <c r="AP32" s="2294"/>
      <c r="AQ32" s="337"/>
      <c r="AR32" s="337"/>
      <c r="AS32" s="291"/>
      <c r="AT32" s="379"/>
      <c r="AU32" s="379"/>
      <c r="AV32" s="379"/>
      <c r="AW32" s="379"/>
      <c r="AX32" s="379"/>
      <c r="AY32" s="429">
        <v>0</v>
      </c>
    </row>
    <row s="1861" customFormat="1" customHeight="1" ht="18.75" hidden="1">
      <c r="A33" s="1379"/>
      <c r="B33" s="1379"/>
      <c r="C33" s="1379"/>
      <c r="D33" s="1379"/>
      <c r="E33" s="1379"/>
      <c r="F33" s="1379"/>
      <c r="G33" s="1379"/>
      <c r="H33" s="1379"/>
      <c r="I33" s="1379"/>
      <c r="J33" s="1379"/>
      <c r="K33" s="1379"/>
      <c r="L33" s="1380"/>
      <c r="M33" s="1379"/>
      <c r="N33" s="1379"/>
      <c r="O33" s="1379"/>
      <c r="S33" s="2280" t="str">
        <f>"Номер подачи заявления об "&amp;IF(TITLE_DATE_PR_CHANGE="","утверждении","изменении")&amp;" тарифов"</f>
        <v>Номер подачи заявления об утверждении тарифов</v>
      </c>
      <c r="T33" s="2280"/>
      <c r="U33" s="1383"/>
      <c r="V33" s="2281" t="str">
        <f>IF(TITLE_NUMBER_PR_CHANGE="",IF(TITLE_NUMBER_PR="","",TITLE_NUMBER_PR),TITLE_NUMBER_PR_CHANGE)</f>
        <v/>
      </c>
      <c r="W33" s="2281"/>
      <c r="X33" s="2281"/>
      <c r="Y33" s="2281"/>
      <c r="Z33" s="2281"/>
      <c r="AA33" s="2281"/>
      <c r="AB33" s="2281"/>
      <c r="AC33" s="2281"/>
      <c r="AD33" s="2281"/>
      <c r="AE33" s="2281"/>
      <c r="AF33" s="337"/>
      <c r="AG33" s="2281" t="str">
        <f>IF(TITLE_NUMBER_PR_CHANGE="",IF(TITLE_NUMBER_PR="","",TITLE_NUMBER_PR),TITLE_NUMBER_PR_CHANGE)</f>
        <v/>
      </c>
      <c r="AH33" s="2281"/>
      <c r="AI33" s="2281"/>
      <c r="AJ33" s="2281"/>
      <c r="AK33" s="2281"/>
      <c r="AL33" s="2281"/>
      <c r="AM33" s="2281"/>
      <c r="AN33" s="2281"/>
      <c r="AO33" s="2281"/>
      <c r="AP33" s="2281"/>
      <c r="AQ33" s="337"/>
      <c r="AR33" s="337"/>
      <c r="AS33" s="291"/>
      <c r="AT33" s="379"/>
      <c r="AU33" s="379"/>
      <c r="AV33" s="379"/>
      <c r="AW33" s="379"/>
      <c r="AX33" s="379"/>
      <c r="AY33" s="429">
        <v>0</v>
      </c>
    </row>
    <row s="1861" customFormat="1" customHeight="1" ht="1.05">
      <c r="A34" s="1379"/>
      <c r="B34" s="1379"/>
      <c r="C34" s="1379"/>
      <c r="D34" s="1379"/>
      <c r="E34" s="1379"/>
      <c r="F34" s="1379"/>
      <c r="G34" s="1379"/>
      <c r="H34" s="1379"/>
      <c r="I34" s="1379"/>
      <c r="J34" s="1379"/>
      <c r="K34" s="1379"/>
      <c r="L34" s="1380"/>
      <c r="M34" s="1379"/>
      <c r="N34" s="1379"/>
      <c r="O34" s="1379"/>
      <c r="S34" s="334"/>
      <c r="T34" s="334"/>
      <c r="U34" s="1499"/>
      <c r="V34" s="337"/>
      <c r="W34" s="1646"/>
      <c r="X34" s="1646"/>
      <c r="Y34" s="1646"/>
      <c r="Z34" s="1646"/>
      <c r="AA34" s="1646"/>
      <c r="AB34" s="337"/>
      <c r="AC34" s="337"/>
      <c r="AD34" s="337"/>
      <c r="AE34" s="337"/>
      <c r="AF34" s="289" t="s">
        <v>437</v>
      </c>
      <c r="AG34" s="337"/>
      <c r="AH34" s="1646"/>
      <c r="AI34" s="1646"/>
      <c r="AJ34" s="1646"/>
      <c r="AK34" s="1646"/>
      <c r="AL34" s="1646"/>
      <c r="AM34" s="337"/>
      <c r="AN34" s="337"/>
      <c r="AO34" s="337"/>
      <c r="AP34" s="337"/>
      <c r="AQ34" s="289" t="s">
        <v>437</v>
      </c>
      <c r="AT34" s="379"/>
      <c r="AU34" s="379"/>
      <c r="AV34" s="379"/>
      <c r="AW34" s="379"/>
      <c r="AX34" s="379"/>
      <c r="AY34" s="429">
        <v>1</v>
      </c>
    </row>
    <row customHeight="1" ht="14.699999999999998">
      <c r="Q35" s="387"/>
      <c r="R35" s="387"/>
      <c r="S35" s="1286"/>
      <c r="T35" s="374"/>
      <c r="U35" s="1255"/>
      <c r="V35" s="2282"/>
      <c r="W35" s="2282"/>
      <c r="X35" s="2282"/>
      <c r="Y35" s="2282"/>
      <c r="Z35" s="2282"/>
      <c r="AA35" s="2282"/>
      <c r="AB35" s="2282"/>
      <c r="AC35" s="2282"/>
      <c r="AD35" s="2282"/>
      <c r="AE35" s="2282"/>
      <c r="AF35" s="2282"/>
      <c r="AG35" s="2282"/>
      <c r="AH35" s="2282"/>
      <c r="AI35" s="2282"/>
      <c r="AJ35" s="2282"/>
      <c r="AK35" s="2282"/>
      <c r="AL35" s="2282"/>
      <c r="AM35" s="2282"/>
      <c r="AN35" s="2282"/>
      <c r="AO35" s="2282"/>
      <c r="AP35" s="2282"/>
      <c r="AQ35" s="2282"/>
      <c r="AY35" s="1166">
        <v>14</v>
      </c>
    </row>
    <row customHeight="1" ht="14.699999999999998">
      <c r="Q36" s="387"/>
      <c r="R36" s="387"/>
      <c r="S36" s="2157" t="s">
        <v>314</v>
      </c>
      <c r="T36" s="2157"/>
      <c r="U36" s="2157"/>
      <c r="V36" s="2157"/>
      <c r="W36" s="2157"/>
      <c r="X36" s="2157"/>
      <c r="Y36" s="2157"/>
      <c r="Z36" s="2157"/>
      <c r="AA36" s="2157"/>
      <c r="AB36" s="2157"/>
      <c r="AC36" s="2157"/>
      <c r="AD36" s="2157"/>
      <c r="AE36" s="2157"/>
      <c r="AF36" s="2157"/>
      <c r="AG36" s="2157"/>
      <c r="AH36" s="2157"/>
      <c r="AI36" s="2157"/>
      <c r="AJ36" s="2157"/>
      <c r="AK36" s="2157"/>
      <c r="AL36" s="2157"/>
      <c r="AM36" s="2157"/>
      <c r="AN36" s="2157"/>
      <c r="AO36" s="2157"/>
      <c r="AP36" s="2157"/>
      <c r="AQ36" s="2157"/>
      <c r="AR36" s="2157"/>
      <c r="AS36" s="2157" t="s">
        <v>315</v>
      </c>
      <c r="AY36" s="1166">
        <v>14</v>
      </c>
    </row>
    <row customHeight="1" ht="14.699999999999998">
      <c r="Q37" s="387"/>
      <c r="R37" s="387"/>
      <c r="S37" s="2303" t="s">
        <v>89</v>
      </c>
      <c r="T37" s="2239" t="s">
        <v>438</v>
      </c>
      <c r="U37" s="312"/>
      <c r="V37" s="2304" t="s">
        <v>439</v>
      </c>
      <c r="W37" s="2305"/>
      <c r="X37" s="2305"/>
      <c r="Y37" s="2305"/>
      <c r="Z37" s="2305"/>
      <c r="AA37" s="2305"/>
      <c r="AB37" s="2305"/>
      <c r="AC37" s="2305"/>
      <c r="AD37" s="2305"/>
      <c r="AE37" s="2306"/>
      <c r="AF37" s="2307" t="s">
        <v>440</v>
      </c>
      <c r="AG37" s="2304" t="s">
        <v>439</v>
      </c>
      <c r="AH37" s="2305"/>
      <c r="AI37" s="2305"/>
      <c r="AJ37" s="2305"/>
      <c r="AK37" s="2305"/>
      <c r="AL37" s="2305"/>
      <c r="AM37" s="2305"/>
      <c r="AN37" s="2305"/>
      <c r="AO37" s="2305"/>
      <c r="AP37" s="2306"/>
      <c r="AQ37" s="2307" t="s">
        <v>441</v>
      </c>
      <c r="AR37" s="2310" t="s">
        <v>442</v>
      </c>
      <c r="AS37" s="2157"/>
      <c r="AY37" s="1166">
        <v>14</v>
      </c>
    </row>
    <row s="1646" customFormat="1" customHeight="1" ht="19.95">
      <c r="A38" s="1377"/>
      <c r="B38" s="1377"/>
      <c r="C38" s="1377"/>
      <c r="D38" s="1377"/>
      <c r="E38" s="1377"/>
      <c r="F38" s="1377"/>
      <c r="G38" s="1377"/>
      <c r="H38" s="1377"/>
      <c r="I38" s="1377"/>
      <c r="J38" s="1377"/>
      <c r="K38" s="1377"/>
      <c r="L38" s="1988"/>
      <c r="M38" s="1373"/>
      <c r="N38" s="1373"/>
      <c r="O38" s="1373"/>
      <c r="P38" s="1989"/>
      <c r="Q38" s="387"/>
      <c r="R38" s="387"/>
      <c r="S38" s="2303"/>
      <c r="T38" s="2239"/>
      <c r="U38" s="1042"/>
      <c r="V38" s="2396" t="s">
        <v>544</v>
      </c>
      <c r="W38" s="2395" t="s">
        <v>545</v>
      </c>
      <c r="X38" s="2395"/>
      <c r="Y38" s="2395"/>
      <c r="Z38" s="2395" t="s">
        <v>546</v>
      </c>
      <c r="AA38" s="2395"/>
      <c r="AB38" s="2395"/>
      <c r="AC38" s="2324" t="s">
        <v>446</v>
      </c>
      <c r="AD38" s="2343"/>
      <c r="AE38" s="2344"/>
      <c r="AF38" s="2308"/>
      <c r="AG38" s="2396" t="s">
        <v>544</v>
      </c>
      <c r="AH38" s="2395" t="s">
        <v>545</v>
      </c>
      <c r="AI38" s="2395"/>
      <c r="AJ38" s="2395"/>
      <c r="AK38" s="2395" t="s">
        <v>546</v>
      </c>
      <c r="AL38" s="2395"/>
      <c r="AM38" s="2395"/>
      <c r="AN38" s="2324" t="s">
        <v>446</v>
      </c>
      <c r="AO38" s="2343"/>
      <c r="AP38" s="2344"/>
      <c r="AQ38" s="2308"/>
      <c r="AR38" s="2311"/>
      <c r="AS38" s="2157"/>
      <c r="AT38" s="1647"/>
      <c r="AU38" s="1647"/>
      <c r="AV38" s="1647"/>
      <c r="AW38" s="1647"/>
      <c r="AX38" s="1647"/>
      <c r="AY38" s="1642">
        <v>19</v>
      </c>
    </row>
    <row customHeight="1" ht="19.95">
      <c r="Q39" s="387"/>
      <c r="R39" s="387"/>
      <c r="S39" s="2303"/>
      <c r="T39" s="2239"/>
      <c r="U39" s="1042"/>
      <c r="V39" s="2396"/>
      <c r="W39" s="2395" t="s">
        <v>547</v>
      </c>
      <c r="X39" s="2395" t="s">
        <v>548</v>
      </c>
      <c r="Y39" s="2395"/>
      <c r="Z39" s="2395" t="s">
        <v>549</v>
      </c>
      <c r="AA39" s="2395" t="s">
        <v>548</v>
      </c>
      <c r="AB39" s="2395"/>
      <c r="AC39" s="2325"/>
      <c r="AD39" s="2345"/>
      <c r="AE39" s="2346"/>
      <c r="AF39" s="2308"/>
      <c r="AG39" s="2396"/>
      <c r="AH39" s="2395" t="s">
        <v>547</v>
      </c>
      <c r="AI39" s="2395" t="s">
        <v>548</v>
      </c>
      <c r="AJ39" s="2395"/>
      <c r="AK39" s="2395" t="s">
        <v>549</v>
      </c>
      <c r="AL39" s="2395" t="s">
        <v>548</v>
      </c>
      <c r="AM39" s="2395"/>
      <c r="AN39" s="2325"/>
      <c r="AO39" s="2345"/>
      <c r="AP39" s="2346"/>
      <c r="AQ39" s="2308"/>
      <c r="AR39" s="2311"/>
      <c r="AS39" s="2157"/>
      <c r="AY39" s="1166">
        <v>19</v>
      </c>
    </row>
    <row customHeight="1" ht="61.949999999999996">
      <c r="A40" s="1381"/>
      <c r="B40" s="1381" t="s">
        <v>151</v>
      </c>
      <c r="C40" s="1381" t="s">
        <v>152</v>
      </c>
      <c r="D40" s="1381" t="s">
        <v>153</v>
      </c>
      <c r="E40" s="1375" t="s">
        <v>447</v>
      </c>
      <c r="F40" s="1375" t="s">
        <v>448</v>
      </c>
      <c r="G40" s="1375" t="s">
        <v>449</v>
      </c>
      <c r="H40" s="1375"/>
      <c r="I40" s="1375" t="s">
        <v>502</v>
      </c>
      <c r="J40" s="1375" t="s">
        <v>452</v>
      </c>
      <c r="K40" s="1375" t="s">
        <v>503</v>
      </c>
      <c r="L40" s="1375" t="s">
        <v>432</v>
      </c>
      <c r="Q40" s="387"/>
      <c r="R40" s="387"/>
      <c r="S40" s="2303"/>
      <c r="T40" s="2239"/>
      <c r="U40" s="313"/>
      <c r="V40" s="2396"/>
      <c r="W40" s="2395"/>
      <c r="X40" s="1991" t="s">
        <v>550</v>
      </c>
      <c r="Y40" s="1991" t="s">
        <v>551</v>
      </c>
      <c r="Z40" s="2395"/>
      <c r="AA40" s="1991" t="s">
        <v>552</v>
      </c>
      <c r="AB40" s="1991" t="s">
        <v>553</v>
      </c>
      <c r="AC40" s="1500" t="s">
        <v>456</v>
      </c>
      <c r="AD40" s="2300" t="s">
        <v>457</v>
      </c>
      <c r="AE40" s="2301"/>
      <c r="AF40" s="2309"/>
      <c r="AG40" s="2396"/>
      <c r="AH40" s="2395"/>
      <c r="AI40" s="1991" t="s">
        <v>550</v>
      </c>
      <c r="AJ40" s="1991" t="s">
        <v>551</v>
      </c>
      <c r="AK40" s="2395"/>
      <c r="AL40" s="1991" t="s">
        <v>552</v>
      </c>
      <c r="AM40" s="1991" t="s">
        <v>553</v>
      </c>
      <c r="AN40" s="1500" t="s">
        <v>456</v>
      </c>
      <c r="AO40" s="2300" t="s">
        <v>457</v>
      </c>
      <c r="AP40" s="2301"/>
      <c r="AQ40" s="2309"/>
      <c r="AR40" s="2312"/>
      <c r="AS40" s="2157"/>
      <c r="AY40" s="1166">
        <v>59</v>
      </c>
    </row>
    <row s="1652" customFormat="1" customHeight="1" ht="11.25" hidden="1">
      <c r="A41" s="1381"/>
      <c r="B41" s="1381"/>
      <c r="C41" s="1381"/>
      <c r="D41" s="1381"/>
      <c r="E41" s="1381"/>
      <c r="F41" s="1381"/>
      <c r="G41" s="1381"/>
      <c r="H41" s="1381"/>
      <c r="I41" s="1381"/>
      <c r="J41" s="1381"/>
      <c r="K41" s="1381"/>
      <c r="L41" s="1375"/>
      <c r="M41" s="1373"/>
      <c r="N41" s="1373"/>
      <c r="O41" s="1373"/>
      <c r="P41" s="1257"/>
      <c r="Q41" s="1258"/>
      <c r="R41" s="1265">
        <v>1</v>
      </c>
      <c r="S41" s="1288" t="s">
        <v>120</v>
      </c>
      <c r="T41" s="1266" t="s">
        <v>104</v>
      </c>
      <c r="U41" s="1256" t="str">
        <f>OFFSET(U41,0,-1)</f>
        <v>2</v>
      </c>
      <c r="V41" s="1493">
        <f>OFFSET(V41,0,-1)+1</f>
        <v>3</v>
      </c>
      <c r="W41" s="1987"/>
      <c r="X41" s="1987"/>
      <c r="Y41" s="1987"/>
      <c r="Z41" s="1987"/>
      <c r="AA41" s="1987"/>
      <c r="AB41" s="1493">
        <f>OFFSET(AB41,0,-1)+1</f>
        <v>1</v>
      </c>
      <c r="AC41" s="1493">
        <f>OFFSET(AC41,0,-1)+1</f>
        <v>2</v>
      </c>
      <c r="AD41" s="2302">
        <f>OFFSET(AD41,0,-1)+1</f>
        <v>3</v>
      </c>
      <c r="AE41" s="2302"/>
      <c r="AF41" s="1493">
        <f>OFFSET(AF41,0,-2)+1</f>
        <v>4</v>
      </c>
      <c r="AG41" s="1493">
        <f>OFFSET(AG41,0,-1)+1</f>
        <v>5</v>
      </c>
      <c r="AH41" s="1987"/>
      <c r="AI41" s="1987"/>
      <c r="AJ41" s="1987"/>
      <c r="AK41" s="1987"/>
      <c r="AL41" s="1987"/>
      <c r="AM41" s="1493">
        <f>OFFSET(AM41,0,-1)+1</f>
        <v>1</v>
      </c>
      <c r="AN41" s="1493">
        <f>OFFSET(AN41,0,-1)+1</f>
        <v>2</v>
      </c>
      <c r="AO41" s="2302">
        <f>OFFSET(AO41,0,-1)+1</f>
        <v>3</v>
      </c>
      <c r="AP41" s="2302"/>
      <c r="AQ41" s="1493">
        <f>OFFSET(AQ41,0,-2)+1</f>
        <v>4</v>
      </c>
      <c r="AR41" s="1256">
        <f>OFFSET(AR41,0,-1)</f>
        <v>4</v>
      </c>
      <c r="AS41" s="1493">
        <f>OFFSET(AS41,0,-1)+1</f>
        <v>5</v>
      </c>
      <c r="AT41" s="522"/>
      <c r="AU41" s="522"/>
      <c r="AV41" s="522"/>
      <c r="AW41" s="522"/>
      <c r="AX41" s="522"/>
      <c r="AY41" s="507">
        <v>0</v>
      </c>
    </row>
    <row customHeight="1" ht="24">
      <c r="A42" s="1374" t="s">
        <v>270</v>
      </c>
      <c r="B42" s="1374"/>
      <c r="C42" s="1374"/>
      <c r="D42" s="1374"/>
      <c r="E42" s="2288">
        <v>1</v>
      </c>
      <c r="F42" s="1374"/>
      <c r="G42" s="1374"/>
      <c r="H42" s="1374"/>
      <c r="I42" s="1374"/>
      <c r="J42" s="1374"/>
      <c r="K42" s="1374"/>
      <c r="L42" s="1375"/>
      <c r="M42" s="1376"/>
      <c r="N42" s="1376"/>
      <c r="O42" s="1376"/>
      <c r="P42" s="372"/>
      <c r="Q42" s="371"/>
      <c r="R42" s="366"/>
      <c r="S42" s="1504">
        <f>INDEX(PT_DIFFERENTIATION_NUM_NTAR,MATCH(A42,PT_DIFFERENTIATION_NTAR_ID,0))</f>
        <v>0</v>
      </c>
      <c r="T42" s="309" t="s">
        <v>139</v>
      </c>
      <c r="U42" s="311"/>
      <c r="V42" s="2272"/>
      <c r="W42" s="2273"/>
      <c r="X42" s="2273"/>
      <c r="Y42" s="2273"/>
      <c r="Z42" s="2273"/>
      <c r="AA42" s="2273"/>
      <c r="AB42" s="2273"/>
      <c r="AC42" s="2273"/>
      <c r="AD42" s="2273"/>
      <c r="AE42" s="2273"/>
      <c r="AF42" s="2274"/>
      <c r="AG42" s="2272" t="str">
        <f>INDEX(PT_DIFFERENTIATION_NTAR,MATCH(A42,PT_DIFFERENTIATION_NTAR_ID,0))</f>
        <v/>
      </c>
      <c r="AH42" s="2273"/>
      <c r="AI42" s="2273"/>
      <c r="AJ42" s="2273"/>
      <c r="AK42" s="2273"/>
      <c r="AL42" s="2273"/>
      <c r="AM42" s="2273"/>
      <c r="AN42" s="2273"/>
      <c r="AO42" s="2273"/>
      <c r="AP42" s="2273"/>
      <c r="AQ42" s="2273"/>
      <c r="AR42" s="2274"/>
      <c r="AS4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1"/>
      <c r="AV42" s="511" t="str">
        <f>IF(T42="","",T42)</f>
        <v>Наименование тарифа</v>
      </c>
      <c r="AW42" s="511"/>
      <c r="AX42" s="511"/>
      <c r="AY42" s="1166">
        <v>23</v>
      </c>
    </row>
    <row customHeight="1" ht="24">
      <c r="A43" s="1374" t="s">
        <v>270</v>
      </c>
      <c r="B43" s="1374" t="s">
        <v>271</v>
      </c>
      <c r="C43" s="1374"/>
      <c r="D43" s="1374"/>
      <c r="E43" s="2289"/>
      <c r="F43" s="2288">
        <v>1</v>
      </c>
      <c r="G43" s="1374"/>
      <c r="H43" s="1374"/>
      <c r="I43" s="1374"/>
      <c r="J43" s="1374"/>
      <c r="K43" s="1374"/>
      <c r="L43" s="1375"/>
      <c r="M43" s="1376"/>
      <c r="N43" s="1376"/>
      <c r="O43" s="1376"/>
      <c r="P43" s="1498"/>
      <c r="Q43" s="363"/>
      <c r="R43" s="364"/>
      <c r="S43" s="1504" t="str">
        <f>INDEX(PT_DIFFERENTIATION_NUM_TER,MATCH(B43,PT_DIFFERENTIATION_TER_ID,0))</f>
        <v>.</v>
      </c>
      <c r="T43" s="319" t="s">
        <v>411</v>
      </c>
      <c r="U43" s="311"/>
      <c r="V43" s="2272"/>
      <c r="W43" s="2273"/>
      <c r="X43" s="2273"/>
      <c r="Y43" s="2273"/>
      <c r="Z43" s="2273"/>
      <c r="AA43" s="2273"/>
      <c r="AB43" s="2273"/>
      <c r="AC43" s="2273"/>
      <c r="AD43" s="2273"/>
      <c r="AE43" s="2273"/>
      <c r="AF43" s="2274"/>
      <c r="AG43" s="2272" t="str">
        <f>INDEX(PT_DIFFERENTIATION_TER,MATCH(B43,PT_DIFFERENTIATION_TER_ID,0))</f>
        <v/>
      </c>
      <c r="AH43" s="2273"/>
      <c r="AI43" s="2273"/>
      <c r="AJ43" s="2273"/>
      <c r="AK43" s="2273"/>
      <c r="AL43" s="2273"/>
      <c r="AM43" s="2273"/>
      <c r="AN43" s="2273"/>
      <c r="AO43" s="2273"/>
      <c r="AP43" s="2273"/>
      <c r="AQ43" s="2273"/>
      <c r="AR43" s="2274"/>
      <c r="AS43" s="1269" t="s">
        <v>412</v>
      </c>
      <c r="AU43" s="511"/>
      <c r="AV43" s="511" t="str">
        <f>IF(T43="","",T43)</f>
        <v>Территория действия тарифа</v>
      </c>
      <c r="AW43" s="511"/>
      <c r="AX43" s="511"/>
      <c r="AY43" s="1166">
        <v>23</v>
      </c>
    </row>
    <row customHeight="1" ht="24">
      <c r="A44" s="1374" t="s">
        <v>270</v>
      </c>
      <c r="B44" s="1374" t="s">
        <v>271</v>
      </c>
      <c r="C44" s="1374" t="s">
        <v>272</v>
      </c>
      <c r="D44" s="1374"/>
      <c r="E44" s="2289"/>
      <c r="F44" s="2289"/>
      <c r="G44" s="2288">
        <v>1</v>
      </c>
      <c r="H44" s="1374"/>
      <c r="I44" s="1374"/>
      <c r="J44" s="1374"/>
      <c r="K44" s="1374"/>
      <c r="L44" s="1375"/>
      <c r="M44" s="1376"/>
      <c r="N44" s="1376"/>
      <c r="O44" s="1376"/>
      <c r="P44" s="365"/>
      <c r="Q44" s="363"/>
      <c r="R44" s="364"/>
      <c r="S44" s="1504" t="str">
        <f>INDEX(PT_DIFFERENTIATION_NUM_CS,MATCH(C44,PT_DIFFERENTIATION_CS_ID,0))</f>
        <v>..</v>
      </c>
      <c r="T44" s="320" t="s">
        <v>542</v>
      </c>
      <c r="U44" s="311"/>
      <c r="V44" s="2272"/>
      <c r="W44" s="2273"/>
      <c r="X44" s="2273"/>
      <c r="Y44" s="2273"/>
      <c r="Z44" s="2273"/>
      <c r="AA44" s="2273"/>
      <c r="AB44" s="2273"/>
      <c r="AC44" s="2273"/>
      <c r="AD44" s="2273"/>
      <c r="AE44" s="2273"/>
      <c r="AF44" s="2274"/>
      <c r="AG44" s="2272" t="str">
        <f>INDEX(PT_DIFFERENTIATION_CS,MATCH(C44,PT_DIFFERENTIATION_CS_ID,0))</f>
        <v/>
      </c>
      <c r="AH44" s="2273"/>
      <c r="AI44" s="2273"/>
      <c r="AJ44" s="2273"/>
      <c r="AK44" s="2273"/>
      <c r="AL44" s="2273"/>
      <c r="AM44" s="2273"/>
      <c r="AN44" s="2273"/>
      <c r="AO44" s="2273"/>
      <c r="AP44" s="2273"/>
      <c r="AQ44" s="2273"/>
      <c r="AR44" s="2274"/>
      <c r="AS44" s="1269" t="s">
        <v>543</v>
      </c>
      <c r="AU44" s="511"/>
      <c r="AV44" s="511" t="str">
        <f>IF(T44="","",T44)</f>
        <v>Наименование централизованной системы горячего водоснабжения</v>
      </c>
      <c r="AW44" s="511"/>
      <c r="AX44" s="511"/>
      <c r="AY44" s="1166">
        <v>23</v>
      </c>
    </row>
    <row customHeight="1" ht="24">
      <c r="A45" s="1374" t="s">
        <v>270</v>
      </c>
      <c r="B45" s="1374" t="s">
        <v>271</v>
      </c>
      <c r="C45" s="1374" t="s">
        <v>272</v>
      </c>
      <c r="D45" s="1374" t="s">
        <v>555</v>
      </c>
      <c r="E45" s="2289"/>
      <c r="F45" s="2289"/>
      <c r="G45" s="2289"/>
      <c r="H45" s="2289"/>
      <c r="I45" s="2286" t="str">
        <f>S44&amp;".1"</f>
        <v>...1</v>
      </c>
      <c r="J45" s="1374"/>
      <c r="K45" s="1374"/>
      <c r="L45" s="1375"/>
      <c r="P45" s="2287">
        <v>1</v>
      </c>
      <c r="Q45" s="1492"/>
      <c r="R45" s="367"/>
      <c r="S45" s="1504" t="str">
        <f>$I45</f>
        <v>...1</v>
      </c>
      <c r="T45" s="296" t="s">
        <v>495</v>
      </c>
      <c r="U45" s="311"/>
      <c r="V45" s="2380"/>
      <c r="W45" s="2381"/>
      <c r="X45" s="2381"/>
      <c r="Y45" s="2381"/>
      <c r="Z45" s="2381"/>
      <c r="AA45" s="2381"/>
      <c r="AB45" s="2381"/>
      <c r="AC45" s="2381"/>
      <c r="AD45" s="2381"/>
      <c r="AE45" s="2381"/>
      <c r="AF45" s="2382"/>
      <c r="AG45" s="2383"/>
      <c r="AH45" s="2384"/>
      <c r="AI45" s="2384"/>
      <c r="AJ45" s="2384"/>
      <c r="AK45" s="2384"/>
      <c r="AL45" s="2384"/>
      <c r="AM45" s="2384"/>
      <c r="AN45" s="2384"/>
      <c r="AO45" s="2384"/>
      <c r="AP45" s="2384"/>
      <c r="AQ45" s="2384"/>
      <c r="AR45" s="2385"/>
      <c r="AS45" s="1269" t="s">
        <v>496</v>
      </c>
      <c r="AU45" s="511"/>
      <c r="AV45" s="511" t="str">
        <f>IF(T45="","",T45)</f>
        <v>Наименование признака дифференциации</v>
      </c>
      <c r="AW45" s="511"/>
      <c r="AX45" s="511"/>
      <c r="AY45" s="1166">
        <v>23</v>
      </c>
    </row>
    <row customHeight="1" ht="24">
      <c r="A46" s="1374" t="s">
        <v>270</v>
      </c>
      <c r="B46" s="1374" t="s">
        <v>271</v>
      </c>
      <c r="C46" s="1374" t="s">
        <v>272</v>
      </c>
      <c r="D46" s="1374" t="s">
        <v>555</v>
      </c>
      <c r="E46" s="2289"/>
      <c r="F46" s="2289"/>
      <c r="G46" s="2289"/>
      <c r="H46" s="2289"/>
      <c r="I46" s="2316"/>
      <c r="J46" s="2286" t="str">
        <f>I45&amp;".1"</f>
        <v>...1.1</v>
      </c>
      <c r="K46" s="1374"/>
      <c r="L46" s="1375" t="s">
        <v>420</v>
      </c>
      <c r="P46" s="2287"/>
      <c r="Q46" s="2287">
        <v>1</v>
      </c>
      <c r="R46" s="368"/>
      <c r="S46" s="1504" t="str">
        <f>$J46</f>
        <v>...1.1</v>
      </c>
      <c r="T46" s="297" t="s">
        <v>421</v>
      </c>
      <c r="U46" s="311"/>
      <c r="V46" s="2275"/>
      <c r="W46" s="2276"/>
      <c r="X46" s="2276"/>
      <c r="Y46" s="2276"/>
      <c r="Z46" s="2276"/>
      <c r="AA46" s="2276"/>
      <c r="AB46" s="2276"/>
      <c r="AC46" s="2276"/>
      <c r="AD46" s="2276"/>
      <c r="AE46" s="2276"/>
      <c r="AF46" s="2277"/>
      <c r="AG46" s="2275"/>
      <c r="AH46" s="2276"/>
      <c r="AI46" s="2276"/>
      <c r="AJ46" s="2276"/>
      <c r="AK46" s="2276"/>
      <c r="AL46" s="2276"/>
      <c r="AM46" s="2276"/>
      <c r="AN46" s="2276"/>
      <c r="AO46" s="2276"/>
      <c r="AP46" s="2276"/>
      <c r="AQ46" s="2276"/>
      <c r="AR46" s="2277"/>
      <c r="AS46" s="1318" t="s">
        <v>497</v>
      </c>
      <c r="AU46" s="511"/>
      <c r="AV46" s="511" t="str">
        <f>IF(T46="","",T46)</f>
        <v>Группа потребителей</v>
      </c>
      <c r="AW46" s="511"/>
      <c r="AX46" s="511"/>
      <c r="AY46" s="1166">
        <v>23</v>
      </c>
    </row>
    <row customHeight="1" ht="24">
      <c r="A47" s="1374" t="s">
        <v>270</v>
      </c>
      <c r="B47" s="1374" t="s">
        <v>271</v>
      </c>
      <c r="C47" s="1374" t="s">
        <v>272</v>
      </c>
      <c r="D47" s="1374" t="s">
        <v>555</v>
      </c>
      <c r="E47" s="2289"/>
      <c r="F47" s="2289"/>
      <c r="G47" s="2289"/>
      <c r="H47" s="2289"/>
      <c r="I47" s="2316"/>
      <c r="J47" s="2316"/>
      <c r="K47" s="2286" t="str">
        <f>J46&amp;".1"</f>
        <v>...1.1.1</v>
      </c>
      <c r="L47" s="1375"/>
      <c r="P47" s="2287"/>
      <c r="Q47" s="2287"/>
      <c r="R47" s="368">
        <v>1</v>
      </c>
      <c r="S47" s="1504" t="str">
        <f>$K47</f>
        <v>...1.1.1</v>
      </c>
      <c r="T47" s="1448"/>
      <c r="U47" s="311"/>
      <c r="V47" s="1371"/>
      <c r="W47" s="1371"/>
      <c r="X47" s="1371"/>
      <c r="Y47" s="1371"/>
      <c r="Z47" s="1371"/>
      <c r="AA47" s="1371"/>
      <c r="AB47" s="1372"/>
      <c r="AC47" s="2297"/>
      <c r="AD47" s="2298" t="s">
        <v>63</v>
      </c>
      <c r="AE47" s="2297"/>
      <c r="AF47" s="2298" t="s">
        <v>63</v>
      </c>
      <c r="AG47" s="762"/>
      <c r="AH47" s="762"/>
      <c r="AI47" s="762"/>
      <c r="AJ47" s="762"/>
      <c r="AK47" s="762"/>
      <c r="AL47" s="762"/>
      <c r="AM47" s="1268"/>
      <c r="AN47" s="2295"/>
      <c r="AO47" s="2137" t="s">
        <v>63</v>
      </c>
      <c r="AP47" s="2317"/>
      <c r="AQ47" s="2137" t="s">
        <v>19</v>
      </c>
      <c r="AR47" s="1449"/>
      <c r="AS47" s="23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2">
        <f>STRCHECKDATE(V48:AR48)</f>
      </c>
      <c r="AU47" s="511"/>
      <c r="AV47" s="511" t="str">
        <f>IF(T47="","",T47)</f>
        <v/>
      </c>
      <c r="AW47" s="511"/>
      <c r="AX47" s="511"/>
      <c r="AY47" s="1166">
        <v>23</v>
      </c>
    </row>
    <row customHeight="1" ht="0">
      <c r="A48" s="1374" t="s">
        <v>270</v>
      </c>
      <c r="B48" s="1374" t="s">
        <v>271</v>
      </c>
      <c r="C48" s="1374" t="s">
        <v>272</v>
      </c>
      <c r="D48" s="1374" t="s">
        <v>555</v>
      </c>
      <c r="E48" s="2289"/>
      <c r="F48" s="2289"/>
      <c r="G48" s="2289"/>
      <c r="H48" s="2289"/>
      <c r="I48" s="2316"/>
      <c r="J48" s="2316"/>
      <c r="K48" s="2286"/>
      <c r="L48" s="1375"/>
      <c r="P48" s="2287"/>
      <c r="Q48" s="2287"/>
      <c r="R48" s="368"/>
      <c r="S48" s="1501"/>
      <c r="T48" s="311"/>
      <c r="U48" s="311"/>
      <c r="V48" s="1371"/>
      <c r="W48" s="1371"/>
      <c r="X48" s="1371"/>
      <c r="Y48" s="1371"/>
      <c r="Z48" s="1371"/>
      <c r="AA48" s="1371"/>
      <c r="AB48" s="339" t="str">
        <f>AC47&amp;"-"&amp;AE47</f>
        <v>-</v>
      </c>
      <c r="AC48" s="2298"/>
      <c r="AD48" s="2298"/>
      <c r="AE48" s="2298"/>
      <c r="AF48" s="2298"/>
      <c r="AG48" s="336"/>
      <c r="AH48" s="336"/>
      <c r="AI48" s="336"/>
      <c r="AJ48" s="336"/>
      <c r="AK48" s="336"/>
      <c r="AL48" s="336"/>
      <c r="AM48" s="339" t="str">
        <f>AN47&amp;"-"&amp;AP47</f>
        <v>-</v>
      </c>
      <c r="AN48" s="2296"/>
      <c r="AO48" s="2137"/>
      <c r="AP48" s="2318"/>
      <c r="AQ48" s="2137"/>
      <c r="AR48" s="1450"/>
      <c r="AS48" s="2379"/>
      <c r="AU48" s="511"/>
      <c r="AV48" s="511" t="str">
        <f>IF(T48="","",T48)</f>
        <v/>
      </c>
      <c r="AW48" s="511"/>
      <c r="AX48" s="511"/>
      <c r="AY48" s="1166">
        <v>0</v>
      </c>
    </row>
    <row customHeight="1" ht="21">
      <c r="A49" s="1374" t="s">
        <v>270</v>
      </c>
      <c r="B49" s="1374" t="s">
        <v>271</v>
      </c>
      <c r="C49" s="1374" t="s">
        <v>272</v>
      </c>
      <c r="D49" s="1374" t="s">
        <v>555</v>
      </c>
      <c r="E49" s="2289"/>
      <c r="F49" s="2289"/>
      <c r="G49" s="2289"/>
      <c r="H49" s="2289"/>
      <c r="I49" s="2316"/>
      <c r="J49" s="2286"/>
      <c r="K49" s="1374"/>
      <c r="L49" s="1375"/>
      <c r="P49" s="2287"/>
      <c r="Q49" s="2287"/>
      <c r="R49" s="367"/>
      <c r="S49" s="1289"/>
      <c r="T49" s="298" t="s">
        <v>498</v>
      </c>
      <c r="U49" s="378"/>
      <c r="V49" s="378"/>
      <c r="W49" s="611"/>
      <c r="X49" s="611"/>
      <c r="Y49" s="611"/>
      <c r="Z49" s="611"/>
      <c r="AA49" s="611"/>
      <c r="AB49" s="378"/>
      <c r="AC49" s="378"/>
      <c r="AD49" s="378"/>
      <c r="AE49" s="378"/>
      <c r="AF49" s="378"/>
      <c r="AG49" s="378"/>
      <c r="AH49" s="611"/>
      <c r="AI49" s="611"/>
      <c r="AJ49" s="611"/>
      <c r="AK49" s="611"/>
      <c r="AL49" s="611"/>
      <c r="AM49" s="378"/>
      <c r="AN49" s="378"/>
      <c r="AO49" s="378"/>
      <c r="AP49" s="378"/>
      <c r="AQ49" s="378"/>
      <c r="AR49" s="378"/>
      <c r="AS49" s="1269" t="s">
        <v>499</v>
      </c>
      <c r="AU49" s="511"/>
      <c r="AV49" s="511" t="str">
        <f>IF(T49="","",T49)</f>
        <v>Добавить значение признака дифференциации</v>
      </c>
      <c r="AW49" s="511"/>
      <c r="AX49" s="511"/>
      <c r="AY49" s="1166">
        <v>20</v>
      </c>
    </row>
    <row customHeight="1" ht="22.049999999999997">
      <c r="A50" s="1374" t="s">
        <v>270</v>
      </c>
      <c r="B50" s="1374" t="s">
        <v>271</v>
      </c>
      <c r="C50" s="1374" t="s">
        <v>272</v>
      </c>
      <c r="D50" s="1374" t="s">
        <v>555</v>
      </c>
      <c r="E50" s="2289"/>
      <c r="F50" s="2289"/>
      <c r="G50" s="2289"/>
      <c r="H50" s="2289"/>
      <c r="I50" s="2286"/>
      <c r="J50" s="1374"/>
      <c r="K50" s="1374"/>
      <c r="L50" s="1375"/>
      <c r="P50" s="2287"/>
      <c r="Q50" s="1492"/>
      <c r="R50" s="367"/>
      <c r="S50" s="1289"/>
      <c r="T50" s="376" t="s">
        <v>426</v>
      </c>
      <c r="U50" s="378"/>
      <c r="V50" s="378"/>
      <c r="W50" s="611"/>
      <c r="X50" s="611"/>
      <c r="Y50" s="611"/>
      <c r="Z50" s="611"/>
      <c r="AA50" s="611"/>
      <c r="AB50" s="378"/>
      <c r="AC50" s="378"/>
      <c r="AD50" s="378"/>
      <c r="AE50" s="378"/>
      <c r="AF50" s="377"/>
      <c r="AG50" s="378"/>
      <c r="AH50" s="611"/>
      <c r="AI50" s="611"/>
      <c r="AJ50" s="611"/>
      <c r="AK50" s="611"/>
      <c r="AL50" s="611"/>
      <c r="AM50" s="378"/>
      <c r="AN50" s="378"/>
      <c r="AO50" s="378"/>
      <c r="AP50" s="378"/>
      <c r="AQ50" s="377"/>
      <c r="AR50" s="378"/>
      <c r="AS50" s="1451"/>
      <c r="AU50" s="511"/>
      <c r="AV50" s="511" t="str">
        <f>IF(T50="","",T50)</f>
        <v>Добавить группу потребителей</v>
      </c>
      <c r="AW50" s="511"/>
      <c r="AX50" s="511"/>
      <c r="AY50" s="1166">
        <v>21</v>
      </c>
    </row>
    <row customHeight="1" ht="22.049999999999997">
      <c r="A51" s="1374" t="s">
        <v>270</v>
      </c>
      <c r="B51" s="1374" t="s">
        <v>271</v>
      </c>
      <c r="C51" s="1374" t="s">
        <v>272</v>
      </c>
      <c r="D51" s="1374" t="s">
        <v>555</v>
      </c>
      <c r="E51" s="2289"/>
      <c r="F51" s="2289"/>
      <c r="G51" s="2289"/>
      <c r="H51" s="2288"/>
      <c r="I51" s="1374"/>
      <c r="J51" s="1374"/>
      <c r="K51" s="1374"/>
      <c r="L51" s="1375"/>
      <c r="M51" s="1376"/>
      <c r="N51" s="1376"/>
      <c r="O51" s="548"/>
      <c r="P51" s="371"/>
      <c r="Q51" s="386"/>
      <c r="R51" s="366"/>
      <c r="S51" s="1289"/>
      <c r="T51" s="383" t="s">
        <v>500</v>
      </c>
      <c r="U51" s="378"/>
      <c r="V51" s="378"/>
      <c r="W51" s="611"/>
      <c r="X51" s="611"/>
      <c r="Y51" s="611"/>
      <c r="Z51" s="611"/>
      <c r="AA51" s="611"/>
      <c r="AB51" s="378"/>
      <c r="AC51" s="378"/>
      <c r="AD51" s="378"/>
      <c r="AE51" s="378"/>
      <c r="AF51" s="377"/>
      <c r="AG51" s="378"/>
      <c r="AH51" s="611"/>
      <c r="AI51" s="611"/>
      <c r="AJ51" s="611"/>
      <c r="AK51" s="611"/>
      <c r="AL51" s="611"/>
      <c r="AM51" s="378"/>
      <c r="AN51" s="378"/>
      <c r="AO51" s="378"/>
      <c r="AP51" s="378"/>
      <c r="AQ51" s="377"/>
      <c r="AR51" s="378"/>
      <c r="AS51" s="314"/>
      <c r="AU51" s="511"/>
      <c r="AV51" s="511" t="str">
        <f>IF(T51="","",T51)</f>
        <v>Добавить наименование признака дифференциации</v>
      </c>
      <c r="AW51" s="511"/>
      <c r="AX51" s="511"/>
      <c r="AY51" s="1166">
        <v>21</v>
      </c>
    </row>
    <row s="1653" customFormat="1" customHeight="1" ht="0">
      <c r="A52" s="1354" t="s">
        <v>270</v>
      </c>
      <c r="B52" s="1354" t="s">
        <v>271</v>
      </c>
      <c r="C52" s="1325"/>
      <c r="D52" s="1325"/>
      <c r="E52" s="2289"/>
      <c r="F52" s="2288"/>
      <c r="G52" s="1325"/>
      <c r="H52" s="1325"/>
      <c r="I52" s="1325"/>
      <c r="J52" s="1325"/>
      <c r="K52" s="1325"/>
      <c r="L52" s="1505"/>
      <c r="M52" s="1332"/>
      <c r="N52" s="1332"/>
      <c r="P52" s="1327"/>
      <c r="Q52" s="1328"/>
      <c r="R52" s="1327"/>
      <c r="S52" s="1333"/>
      <c r="T52" s="1336" t="s">
        <v>429</v>
      </c>
      <c r="U52" s="1335"/>
      <c r="V52" s="1335"/>
      <c r="W52" s="1335"/>
      <c r="X52" s="1335"/>
      <c r="Y52" s="1335"/>
      <c r="Z52" s="1335"/>
      <c r="AA52" s="1335"/>
      <c r="AB52" s="1335"/>
      <c r="AC52" s="1335"/>
      <c r="AD52" s="1335"/>
      <c r="AE52" s="1335"/>
      <c r="AF52" s="1335"/>
      <c r="AG52" s="1335"/>
      <c r="AH52" s="1335"/>
      <c r="AI52" s="1335"/>
      <c r="AJ52" s="1335"/>
      <c r="AK52" s="1335"/>
      <c r="AL52" s="1335"/>
      <c r="AM52" s="1335"/>
      <c r="AN52" s="1335"/>
      <c r="AO52" s="1335"/>
      <c r="AP52" s="1335"/>
      <c r="AQ52" s="1335"/>
      <c r="AR52" s="1335"/>
      <c r="AS52" s="1335"/>
      <c r="AU52" s="800"/>
      <c r="AV52" s="800" t="str">
        <f>IF(T52="","",T52)</f>
        <v>Добавить централизованную систему для дифференциации</v>
      </c>
      <c r="AW52" s="800"/>
      <c r="AX52" s="800"/>
      <c r="AY52" s="529">
        <v>0</v>
      </c>
    </row>
    <row s="1653" customFormat="1" customHeight="1" ht="0">
      <c r="A53" s="1354" t="s">
        <v>270</v>
      </c>
      <c r="B53" s="1354"/>
      <c r="C53" s="1354"/>
      <c r="D53" s="1354"/>
      <c r="E53" s="2288"/>
      <c r="F53" s="1354"/>
      <c r="G53" s="1354"/>
      <c r="H53" s="1354"/>
      <c r="I53" s="1354"/>
      <c r="J53" s="1354"/>
      <c r="K53" s="1354"/>
      <c r="L53" s="1357"/>
      <c r="M53" s="1332"/>
      <c r="N53" s="1332"/>
      <c r="O53" s="529"/>
      <c r="P53" s="391"/>
      <c r="Q53" s="1355"/>
      <c r="R53" s="391"/>
      <c r="S53" s="1333"/>
      <c r="T53" s="1336" t="s">
        <v>430</v>
      </c>
      <c r="U53" s="1335"/>
      <c r="V53" s="1335"/>
      <c r="W53" s="1335"/>
      <c r="X53" s="1335"/>
      <c r="Y53" s="1335"/>
      <c r="Z53" s="1335"/>
      <c r="AA53" s="1335"/>
      <c r="AB53" s="1335"/>
      <c r="AC53" s="1335"/>
      <c r="AD53" s="1335"/>
      <c r="AE53" s="1335"/>
      <c r="AF53" s="1335"/>
      <c r="AG53" s="1335"/>
      <c r="AH53" s="1335"/>
      <c r="AI53" s="1335"/>
      <c r="AJ53" s="1335"/>
      <c r="AK53" s="1335"/>
      <c r="AL53" s="1335"/>
      <c r="AM53" s="1335"/>
      <c r="AN53" s="1335"/>
      <c r="AO53" s="1335"/>
      <c r="AP53" s="1335"/>
      <c r="AQ53" s="1335"/>
      <c r="AR53" s="1335"/>
      <c r="AS53" s="1335"/>
      <c r="AU53" s="511"/>
      <c r="AV53" s="511" t="str">
        <f>IF(T53="","",T53)</f>
        <v>Добавить территорию для дифференциации</v>
      </c>
      <c r="AW53" s="511"/>
      <c r="AX53" s="511"/>
      <c r="AY53" s="522">
        <v>0</v>
      </c>
    </row>
    <row s="1653" customFormat="1" customHeight="1" ht="0">
      <c r="A54" s="1325"/>
      <c r="B54" s="1325"/>
      <c r="C54" s="1325"/>
      <c r="D54" s="1325"/>
      <c r="E54" s="1354"/>
      <c r="F54" s="1325"/>
      <c r="G54" s="1325"/>
      <c r="H54" s="1325"/>
      <c r="I54" s="1325"/>
      <c r="J54" s="1325"/>
      <c r="K54" s="1325"/>
      <c r="L54" s="1505"/>
      <c r="M54" s="1332"/>
      <c r="N54" s="1332"/>
      <c r="P54" s="1327"/>
      <c r="Q54" s="1328"/>
      <c r="R54" s="1327"/>
      <c r="S54" s="1333"/>
      <c r="T54" s="1336" t="s">
        <v>458</v>
      </c>
      <c r="U54" s="1335"/>
      <c r="V54" s="1335"/>
      <c r="W54" s="1335"/>
      <c r="X54" s="1335"/>
      <c r="Y54" s="1335"/>
      <c r="Z54" s="1335"/>
      <c r="AA54" s="1335"/>
      <c r="AB54" s="1335"/>
      <c r="AC54" s="1335"/>
      <c r="AD54" s="1335"/>
      <c r="AE54" s="1335"/>
      <c r="AF54" s="1335"/>
      <c r="AG54" s="1335"/>
      <c r="AH54" s="1335"/>
      <c r="AI54" s="1335"/>
      <c r="AJ54" s="1335"/>
      <c r="AK54" s="1335"/>
      <c r="AL54" s="1335"/>
      <c r="AM54" s="1335"/>
      <c r="AN54" s="1335"/>
      <c r="AO54" s="1335"/>
      <c r="AP54" s="1335"/>
      <c r="AQ54" s="1335"/>
      <c r="AR54" s="1335"/>
      <c r="AS54" s="1335"/>
      <c r="AU54" s="800"/>
      <c r="AV54" s="800" t="str">
        <f>IF(T54="","",T54)</f>
        <v>Добавить наименование тарифа</v>
      </c>
      <c r="AW54" s="800"/>
      <c r="AX54" s="800"/>
      <c r="AY54" s="529">
        <v>0</v>
      </c>
    </row>
    <row customHeight="1" ht="11.549999999999999">
      <c r="M55" s="1171"/>
      <c r="N55" s="1171"/>
      <c r="O55" s="548"/>
      <c r="P55" s="1166"/>
      <c r="Q55" s="1166"/>
      <c r="R55" s="1166"/>
      <c r="S55" s="1166"/>
      <c r="AT55" s="1166"/>
      <c r="AU55" s="1166"/>
      <c r="AV55" s="1166"/>
      <c r="AW55" s="1166"/>
      <c r="AX55" s="1166"/>
      <c r="AY55" s="1166">
        <v>11</v>
      </c>
    </row>
    <row customHeight="1" ht="14.699999999999998">
      <c r="O56" s="548"/>
      <c r="S56" s="1264"/>
      <c r="T56" s="2315"/>
      <c r="U56" s="2315"/>
      <c r="V56" s="2315"/>
      <c r="W56" s="2315"/>
      <c r="X56" s="2315"/>
      <c r="Y56" s="2315"/>
      <c r="Z56" s="2315"/>
      <c r="AA56" s="2315"/>
      <c r="AB56" s="2315"/>
      <c r="AC56" s="2315"/>
      <c r="AD56" s="2315"/>
      <c r="AE56" s="2315"/>
      <c r="AF56" s="2315"/>
      <c r="AG56" s="2315"/>
      <c r="AH56" s="2315"/>
      <c r="AI56" s="2315"/>
      <c r="AJ56" s="2315"/>
      <c r="AK56" s="2315"/>
      <c r="AL56" s="2315"/>
      <c r="AM56" s="2315"/>
      <c r="AN56" s="2315"/>
      <c r="AO56" s="2315"/>
      <c r="AP56" s="2315"/>
      <c r="AQ56" s="2315"/>
      <c r="AR56" s="2315"/>
      <c r="AS56" s="2315"/>
      <c r="AY56" s="1166">
        <v>14</v>
      </c>
    </row>
    <row customHeight="1" ht="14.699999999999998">
      <c r="O57" s="548"/>
      <c r="AY57" s="1166">
        <v>14</v>
      </c>
    </row>
    <row customHeight="1" ht="14.699999999999998">
      <c r="O58" s="548"/>
      <c r="S58" s="1264"/>
      <c r="T58" s="2315"/>
      <c r="U58" s="2315"/>
      <c r="V58" s="2315"/>
      <c r="W58" s="2315"/>
      <c r="X58" s="2315"/>
      <c r="Y58" s="2315"/>
      <c r="Z58" s="2315"/>
      <c r="AA58" s="2315"/>
      <c r="AB58" s="2315"/>
      <c r="AC58" s="2315"/>
      <c r="AD58" s="2315"/>
      <c r="AE58" s="2315"/>
      <c r="AF58" s="2315"/>
      <c r="AG58" s="2315"/>
      <c r="AH58" s="2315"/>
      <c r="AI58" s="2315"/>
      <c r="AJ58" s="2315"/>
      <c r="AK58" s="2315"/>
      <c r="AL58" s="2315"/>
      <c r="AM58" s="2315"/>
      <c r="AN58" s="2315"/>
      <c r="AO58" s="2315"/>
      <c r="AP58" s="2315"/>
      <c r="AQ58" s="2315"/>
      <c r="AR58" s="2315"/>
      <c r="AS58" s="2315"/>
      <c r="AY58" s="1166">
        <v>14</v>
      </c>
    </row>
    <row customHeight="1" ht="22.5" hidden="1">
      <c r="A59" s="1171" t="s">
        <v>83</v>
      </c>
      <c r="B59" s="1171">
        <v>0</v>
      </c>
      <c r="C59" s="1171">
        <v>0</v>
      </c>
      <c r="D59" s="1171">
        <v>0</v>
      </c>
      <c r="E59" s="1171">
        <v>0</v>
      </c>
      <c r="F59" s="1171">
        <v>0</v>
      </c>
      <c r="G59" s="1171">
        <v>0</v>
      </c>
      <c r="H59" s="1171">
        <v>0</v>
      </c>
      <c r="I59" s="1171">
        <v>0</v>
      </c>
      <c r="J59" s="1171">
        <v>0</v>
      </c>
      <c r="K59" s="1171">
        <v>0</v>
      </c>
      <c r="L59" s="1489">
        <v>0</v>
      </c>
      <c r="M59" s="1373">
        <v>0</v>
      </c>
      <c r="N59" s="1373">
        <v>0</v>
      </c>
      <c r="O59" s="1373">
        <v>0</v>
      </c>
      <c r="P59" s="1484">
        <v>3</v>
      </c>
      <c r="Q59" s="355">
        <v>3</v>
      </c>
      <c r="R59" s="355">
        <v>3</v>
      </c>
      <c r="S59" s="592">
        <v>12</v>
      </c>
      <c r="T59" s="1166">
        <v>35</v>
      </c>
      <c r="U59" s="1166">
        <v>0</v>
      </c>
      <c r="V59" s="1166">
        <v>0</v>
      </c>
      <c r="W59" s="1642">
        <v>0</v>
      </c>
      <c r="X59" s="1642">
        <v>0</v>
      </c>
      <c r="Y59" s="1642">
        <v>0</v>
      </c>
      <c r="Z59" s="1642">
        <v>0</v>
      </c>
      <c r="AA59" s="1642">
        <v>0</v>
      </c>
      <c r="AB59" s="1166">
        <v>0</v>
      </c>
      <c r="AC59" s="1166">
        <v>0</v>
      </c>
      <c r="AD59" s="1166">
        <v>0</v>
      </c>
      <c r="AE59" s="1166">
        <v>0</v>
      </c>
      <c r="AF59" s="1166">
        <v>0</v>
      </c>
      <c r="AG59" s="1166">
        <v>19</v>
      </c>
      <c r="AH59" s="1642">
        <v>19</v>
      </c>
      <c r="AI59" s="1642">
        <v>19</v>
      </c>
      <c r="AJ59" s="1642">
        <v>19</v>
      </c>
      <c r="AK59" s="1642">
        <v>19</v>
      </c>
      <c r="AL59" s="1642">
        <v>19</v>
      </c>
      <c r="AM59" s="1166">
        <v>19</v>
      </c>
      <c r="AN59" s="1166">
        <v>11</v>
      </c>
      <c r="AO59" s="1166">
        <v>3</v>
      </c>
      <c r="AP59" s="1166">
        <v>11</v>
      </c>
      <c r="AQ59" s="1166">
        <v>0</v>
      </c>
      <c r="AR59" s="1166">
        <v>4</v>
      </c>
      <c r="AS59" s="1166">
        <v>115</v>
      </c>
      <c r="AT59" s="522">
        <v>10</v>
      </c>
      <c r="AU59" s="522">
        <v>10</v>
      </c>
      <c r="AV59" s="522">
        <v>10</v>
      </c>
      <c r="AW59" s="522">
        <v>10</v>
      </c>
      <c r="AX59" s="522">
        <v>10</v>
      </c>
      <c r="AY59" s="116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B0B68-93E8-E8E8-7D28-C0515267563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7" width="11.57421875" hidden="1" customWidth="1"/>
    <col min="2" max="2" style="1377" width="11.00390625" hidden="1" customWidth="1"/>
    <col min="3" max="3" style="1377" width="10.57421875" hidden="1"/>
    <col min="4" max="4" style="1377" width="12.8515625" hidden="1" customWidth="1"/>
    <col min="5" max="5" style="1377" width="10.00390625" hidden="1" customWidth="1"/>
    <col min="6" max="6" style="1377" width="8.7109375" hidden="1" customWidth="1"/>
    <col min="7" max="7" style="1377" width="7.57421875" hidden="1" customWidth="1"/>
    <col min="8" max="8" style="1377" width="11.421875" hidden="1" customWidth="1"/>
    <col min="9" max="9" style="1377" width="12.00390625" hidden="1" customWidth="1"/>
    <col min="10" max="10" style="1377" width="9.8515625" hidden="1" customWidth="1"/>
    <col min="11" max="11" style="1377" width="11.421875" hidden="1" customWidth="1"/>
    <col min="12" max="12" style="2637" width="19.140625" hidden="1" customWidth="1"/>
    <col min="13" max="14" style="1786" width="12.28125" hidden="1" customWidth="1"/>
    <col min="15" max="15" style="1786" width="23.421875" hidden="1" customWidth="1"/>
    <col min="16" max="16" style="1786" width="3.7109375" hidden="1" customWidth="1"/>
    <col min="17" max="17" style="1382" width="3.7109375" hidden="1" customWidth="1"/>
    <col min="18" max="18" style="355" width="3.00390625" customWidth="1"/>
    <col min="19" max="19" style="2437" width="12.00390625" customWidth="1"/>
    <col min="20" max="20" style="1646" width="31.00390625" customWidth="1"/>
    <col min="21" max="21" style="1646" width="0.140625" customWidth="1"/>
    <col min="22" max="25" style="1646" width="21.7109375" hidden="1" customWidth="1"/>
    <col min="26" max="26" style="1646" width="11.7109375" hidden="1" customWidth="1"/>
    <col min="27" max="27" style="1646" width="3.7109375" hidden="1" customWidth="1"/>
    <col min="28" max="28" style="1646" width="11.7109375" hidden="1" customWidth="1"/>
    <col min="29" max="29" style="1646" width="8.57421875" hidden="1" customWidth="1"/>
    <col min="30" max="30" style="1646" width="3.7109375" customWidth="1"/>
    <col min="31" max="32" style="1646" width="3.00390625" customWidth="1"/>
    <col min="33" max="33" style="1646" width="24.00390625" customWidth="1"/>
    <col min="34" max="34" style="1646" width="3.7109375" customWidth="1"/>
    <col min="35" max="36" style="1646" width="3.00390625" customWidth="1"/>
    <col min="37" max="37" style="1646" width="24.00390625" customWidth="1"/>
    <col min="38" max="38" style="1646" width="3.7109375" customWidth="1"/>
    <col min="39" max="40" style="1646" width="3.00390625" customWidth="1"/>
    <col min="41" max="41" style="1646" width="18.00390625" customWidth="1"/>
    <col min="42" max="42" style="1646" width="3.7109375" customWidth="1"/>
    <col min="43" max="44" style="1646" width="3.00390625" customWidth="1"/>
    <col min="45" max="45" style="1646" width="18.00390625" customWidth="1"/>
    <col min="46" max="49" style="1646" width="21.00390625" customWidth="1"/>
    <col min="50" max="50" style="1646" width="11.00390625" customWidth="1"/>
    <col min="51" max="51" style="1646" width="3.7109375" customWidth="1"/>
    <col min="52" max="52" style="1646" width="11.00390625" customWidth="1"/>
    <col min="53" max="53" style="1646" width="8.57421875" hidden="1" customWidth="1"/>
    <col min="54" max="54" style="1646" width="4.00390625" customWidth="1"/>
    <col min="55" max="55" style="1646" width="115.00390625" customWidth="1"/>
    <col min="56" max="60" style="1653" width="10.00390625" customWidth="1"/>
    <col min="61" max="61" style="1646" width="10.57421875" hidden="1"/>
  </cols>
  <sheetData>
    <row customHeight="1" ht="22.5" hidden="1">
      <c r="W1" s="338"/>
      <c r="Y1" s="338"/>
      <c r="Z1" s="338"/>
      <c r="AW1" s="338"/>
      <c r="AX1" s="338"/>
      <c r="BI1" s="1166" t="s">
        <v>14</v>
      </c>
    </row>
    <row customHeight="1" ht="21" hidden="1">
      <c r="A2" s="1374"/>
      <c r="B2" s="1374"/>
      <c r="C2" s="1374"/>
      <c r="D2" s="1374"/>
      <c r="E2" s="2288">
        <v>1</v>
      </c>
      <c r="F2" s="1374"/>
      <c r="G2" s="1374"/>
      <c r="H2" s="1374"/>
      <c r="I2" s="1374"/>
      <c r="J2" s="1374"/>
      <c r="K2" s="1374"/>
      <c r="L2" s="1375"/>
      <c r="M2" s="1376"/>
      <c r="N2" s="1376"/>
      <c r="O2" s="1376"/>
      <c r="P2" s="1420"/>
      <c r="Q2" s="884"/>
      <c r="R2" s="366"/>
      <c r="S2" s="1504">
        <f>INDEX(PT_DIFFERENTIATION_NUM_NTAR,MATCH(A2,PT_DIFFERENTIATION_NTAR_ID,0))</f>
      </c>
      <c r="T2" s="309" t="s">
        <v>139</v>
      </c>
      <c r="U2" s="311"/>
      <c r="V2" s="2273"/>
      <c r="W2" s="2273"/>
      <c r="X2" s="2273"/>
      <c r="Y2" s="2273"/>
      <c r="Z2" s="2273"/>
      <c r="AA2" s="2273"/>
      <c r="AB2" s="2273"/>
      <c r="AC2" s="2274"/>
      <c r="AD2" s="2272">
        <f>INDEX(PT_DIFFERENTIATION_NTAR,MATCH(A2,PT_DIFFERENTIATION_NTAR_ID,0))</f>
      </c>
      <c r="AE2" s="2273"/>
      <c r="AF2" s="2273"/>
      <c r="AG2" s="2273"/>
      <c r="AH2" s="2273"/>
      <c r="AI2" s="2273"/>
      <c r="AJ2" s="2273"/>
      <c r="AK2" s="2273"/>
      <c r="AL2" s="2273"/>
      <c r="AM2" s="2273"/>
      <c r="AN2" s="2273"/>
      <c r="AO2" s="2273"/>
      <c r="AP2" s="2273"/>
      <c r="AQ2" s="2273"/>
      <c r="AR2" s="2273"/>
      <c r="AS2" s="2273"/>
      <c r="AT2" s="2273"/>
      <c r="AU2" s="2273"/>
      <c r="AV2" s="2273"/>
      <c r="AW2" s="2273"/>
      <c r="AX2" s="2273"/>
      <c r="AY2" s="2273"/>
      <c r="AZ2" s="2273"/>
      <c r="BA2" s="2273"/>
      <c r="BB2" s="2274"/>
      <c r="BC2"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1"/>
      <c r="BF2" s="511" t="str">
        <f>IF(T2="","",T2)</f>
        <v>Наименование тарифа</v>
      </c>
      <c r="BG2" s="511"/>
      <c r="BH2" s="511"/>
      <c r="BI2" s="1166">
        <v>0</v>
      </c>
    </row>
    <row customHeight="1" ht="21" hidden="1">
      <c r="A3" s="1374"/>
      <c r="B3" s="1374"/>
      <c r="C3" s="1374"/>
      <c r="D3" s="1374"/>
      <c r="E3" s="2289"/>
      <c r="F3" s="2288">
        <v>1</v>
      </c>
      <c r="G3" s="1374"/>
      <c r="H3" s="1374"/>
      <c r="I3" s="1374"/>
      <c r="J3" s="1374"/>
      <c r="K3" s="1374"/>
      <c r="L3" s="1375"/>
      <c r="M3" s="1376"/>
      <c r="N3" s="1376"/>
      <c r="O3" s="1376"/>
      <c r="P3" s="1421"/>
      <c r="Q3" s="1422"/>
      <c r="R3" s="364"/>
      <c r="S3" s="1504">
        <f>INDEX(PT_DIFFERENTIATION_NUM_TER,MATCH(B3,PT_DIFFERENTIATION_TER_ID,0))</f>
      </c>
      <c r="T3" s="319" t="s">
        <v>411</v>
      </c>
      <c r="U3" s="311"/>
      <c r="V3" s="2273"/>
      <c r="W3" s="2273"/>
      <c r="X3" s="2273"/>
      <c r="Y3" s="2273"/>
      <c r="Z3" s="2273"/>
      <c r="AA3" s="2273"/>
      <c r="AB3" s="2273"/>
      <c r="AC3" s="2274"/>
      <c r="AD3" s="2272">
        <f>INDEX(PT_DIFFERENTIATION_TER,MATCH(B3,PT_DIFFERENTIATION_TER_ID,0))</f>
      </c>
      <c r="AE3" s="2273"/>
      <c r="AF3" s="2273"/>
      <c r="AG3" s="2273"/>
      <c r="AH3" s="2273"/>
      <c r="AI3" s="2273"/>
      <c r="AJ3" s="2273"/>
      <c r="AK3" s="2273"/>
      <c r="AL3" s="2273"/>
      <c r="AM3" s="2273"/>
      <c r="AN3" s="2273"/>
      <c r="AO3" s="2273"/>
      <c r="AP3" s="2273"/>
      <c r="AQ3" s="2273"/>
      <c r="AR3" s="2273"/>
      <c r="AS3" s="2273"/>
      <c r="AT3" s="2273"/>
      <c r="AU3" s="2273"/>
      <c r="AV3" s="2273"/>
      <c r="AW3" s="2273"/>
      <c r="AX3" s="2273"/>
      <c r="AY3" s="2273"/>
      <c r="AZ3" s="2273"/>
      <c r="BA3" s="2273"/>
      <c r="BB3" s="2274"/>
      <c r="BC3" s="1269" t="s">
        <v>412</v>
      </c>
      <c r="BE3" s="511"/>
      <c r="BF3" s="511" t="str">
        <f>IF(T3="","",T3)</f>
        <v>Территория действия тарифа</v>
      </c>
      <c r="BG3" s="511"/>
      <c r="BH3" s="511"/>
      <c r="BI3" s="1166">
        <v>0</v>
      </c>
    </row>
    <row customHeight="1" ht="33.75" hidden="1">
      <c r="A4" s="1374"/>
      <c r="B4" s="1374"/>
      <c r="C4" s="1374"/>
      <c r="D4" s="1374"/>
      <c r="E4" s="2289"/>
      <c r="F4" s="2289"/>
      <c r="G4" s="2288">
        <v>1</v>
      </c>
      <c r="H4" s="1374"/>
      <c r="I4" s="1374"/>
      <c r="J4" s="1374"/>
      <c r="K4" s="1374"/>
      <c r="L4" s="1375"/>
      <c r="M4" s="1376"/>
      <c r="N4" s="1376"/>
      <c r="O4" s="1376"/>
      <c r="P4" s="1423"/>
      <c r="Q4" s="1422"/>
      <c r="R4" s="364"/>
      <c r="S4" s="1504">
        <f>INDEX(PT_DIFFERENTIATION_NUM_CS,MATCH(C4,PT_DIFFERENTIATION_CS_ID,0))</f>
      </c>
      <c r="T4" s="320" t="s">
        <v>542</v>
      </c>
      <c r="U4" s="311"/>
      <c r="V4" s="2273"/>
      <c r="W4" s="2273"/>
      <c r="X4" s="2273"/>
      <c r="Y4" s="2273"/>
      <c r="Z4" s="2273"/>
      <c r="AA4" s="2273"/>
      <c r="AB4" s="2273"/>
      <c r="AC4" s="2274"/>
      <c r="AD4" s="2272">
        <f>INDEX(PT_DIFFERENTIATION_CS,MATCH(C4,PT_DIFFERENTIATION_CS_ID,0))</f>
      </c>
      <c r="AE4" s="2273"/>
      <c r="AF4" s="2273"/>
      <c r="AG4" s="2273"/>
      <c r="AH4" s="2273"/>
      <c r="AI4" s="2273"/>
      <c r="AJ4" s="2273"/>
      <c r="AK4" s="2273"/>
      <c r="AL4" s="2273"/>
      <c r="AM4" s="2273"/>
      <c r="AN4" s="2273"/>
      <c r="AO4" s="2273"/>
      <c r="AP4" s="2273"/>
      <c r="AQ4" s="2273"/>
      <c r="AR4" s="2273"/>
      <c r="AS4" s="2273"/>
      <c r="AT4" s="2273"/>
      <c r="AU4" s="2273"/>
      <c r="AV4" s="2273"/>
      <c r="AW4" s="2273"/>
      <c r="AX4" s="2273"/>
      <c r="AY4" s="2273"/>
      <c r="AZ4" s="2273"/>
      <c r="BA4" s="2273"/>
      <c r="BB4" s="2274"/>
      <c r="BC4" s="1269" t="s">
        <v>543</v>
      </c>
      <c r="BE4" s="511"/>
      <c r="BF4" s="511" t="str">
        <f>IF(T4="","",T4)</f>
        <v>Наименование централизованной системы горячего водоснабжения</v>
      </c>
      <c r="BG4" s="511"/>
      <c r="BH4" s="511"/>
      <c r="BI4" s="1166">
        <v>0</v>
      </c>
    </row>
    <row s="1653" customFormat="1" customHeight="1" ht="14.25" hidden="1">
      <c r="A5" s="1354"/>
      <c r="B5" s="1354"/>
      <c r="C5" s="1354"/>
      <c r="D5" s="1354"/>
      <c r="E5" s="2289"/>
      <c r="F5" s="2289"/>
      <c r="G5" s="2289"/>
      <c r="H5" s="2288">
        <v>1</v>
      </c>
      <c r="I5" s="1354"/>
      <c r="J5" s="1354"/>
      <c r="K5" s="1354"/>
      <c r="L5" s="1357"/>
      <c r="M5" s="1326"/>
      <c r="N5" s="1326"/>
      <c r="O5" s="1326"/>
      <c r="P5" s="1508"/>
      <c r="Q5" s="1509"/>
      <c r="R5" s="368"/>
      <c r="S5" s="1053"/>
      <c r="T5" s="1510"/>
      <c r="U5" s="1395"/>
      <c r="V5" s="2327"/>
      <c r="W5" s="2327"/>
      <c r="X5" s="2327"/>
      <c r="Y5" s="2327"/>
      <c r="Z5" s="2327"/>
      <c r="AA5" s="2327"/>
      <c r="AB5" s="2327"/>
      <c r="AC5" s="2328"/>
      <c r="AD5" s="2326"/>
      <c r="AE5" s="2327"/>
      <c r="AF5" s="2327"/>
      <c r="AG5" s="2327"/>
      <c r="AH5" s="2327"/>
      <c r="AI5" s="2327"/>
      <c r="AJ5" s="2327"/>
      <c r="AK5" s="2327"/>
      <c r="AL5" s="2327"/>
      <c r="AM5" s="2327"/>
      <c r="AN5" s="2327"/>
      <c r="AO5" s="2327"/>
      <c r="AP5" s="2327"/>
      <c r="AQ5" s="2327"/>
      <c r="AR5" s="2327"/>
      <c r="AS5" s="2327"/>
      <c r="AT5" s="2327"/>
      <c r="AU5" s="2327"/>
      <c r="AV5" s="2327"/>
      <c r="AW5" s="2327"/>
      <c r="AX5" s="2327"/>
      <c r="AY5" s="2327"/>
      <c r="AZ5" s="2327"/>
      <c r="BA5" s="2327"/>
      <c r="BB5" s="2328"/>
      <c r="BC5" s="1396" t="s">
        <v>416</v>
      </c>
      <c r="BE5" s="511"/>
      <c r="BF5" s="511" t="str">
        <f>IF(T5="","",T5)</f>
        <v/>
      </c>
      <c r="BG5" s="511"/>
      <c r="BH5" s="511"/>
      <c r="BI5" s="522">
        <v>0</v>
      </c>
    </row>
    <row s="1653" customFormat="1" customHeight="1" ht="14.25" hidden="1">
      <c r="A6" s="1354"/>
      <c r="B6" s="1354"/>
      <c r="C6" s="1354"/>
      <c r="D6" s="1354"/>
      <c r="E6" s="2289"/>
      <c r="F6" s="2289"/>
      <c r="G6" s="2289"/>
      <c r="H6" s="2289"/>
      <c r="I6" s="2286" t="str">
        <f>S5&amp;".1"</f>
        <v>.1</v>
      </c>
      <c r="J6" s="1354"/>
      <c r="K6" s="1354"/>
      <c r="L6" s="1357" t="s">
        <v>417</v>
      </c>
      <c r="M6" s="521"/>
      <c r="N6" s="521"/>
      <c r="O6" s="521"/>
      <c r="P6" s="2287">
        <v>1</v>
      </c>
      <c r="Q6" s="1492"/>
      <c r="R6" s="367"/>
      <c r="S6" s="1053"/>
      <c r="T6" s="1394"/>
      <c r="U6" s="1395"/>
      <c r="V6" s="2327"/>
      <c r="W6" s="2327"/>
      <c r="X6" s="2327"/>
      <c r="Y6" s="2327"/>
      <c r="Z6" s="2327"/>
      <c r="AA6" s="2327"/>
      <c r="AB6" s="2327"/>
      <c r="AC6" s="2328"/>
      <c r="AD6" s="2326"/>
      <c r="AE6" s="2327"/>
      <c r="AF6" s="2327"/>
      <c r="AG6" s="2327"/>
      <c r="AH6" s="2327"/>
      <c r="AI6" s="2327"/>
      <c r="AJ6" s="2327"/>
      <c r="AK6" s="2327"/>
      <c r="AL6" s="2327"/>
      <c r="AM6" s="2327"/>
      <c r="AN6" s="2327"/>
      <c r="AO6" s="2327"/>
      <c r="AP6" s="2327"/>
      <c r="AQ6" s="2327"/>
      <c r="AR6" s="2327"/>
      <c r="AS6" s="2327"/>
      <c r="AT6" s="2327"/>
      <c r="AU6" s="2327"/>
      <c r="AV6" s="2327"/>
      <c r="AW6" s="2327"/>
      <c r="AX6" s="2327"/>
      <c r="AY6" s="2327"/>
      <c r="AZ6" s="2327"/>
      <c r="BA6" s="2327"/>
      <c r="BB6" s="2328"/>
      <c r="BC6" s="1396"/>
      <c r="BE6" s="511"/>
      <c r="BF6" s="511" t="str">
        <f>IF(T6="","",T6)</f>
        <v/>
      </c>
      <c r="BG6" s="511"/>
      <c r="BH6" s="511"/>
      <c r="BI6" s="522">
        <v>0</v>
      </c>
    </row>
    <row s="1653" customFormat="1" customHeight="1" ht="14.25" hidden="1">
      <c r="A7" s="1354"/>
      <c r="B7" s="1354"/>
      <c r="C7" s="1354"/>
      <c r="D7" s="1354"/>
      <c r="E7" s="2289"/>
      <c r="F7" s="2289"/>
      <c r="G7" s="2289"/>
      <c r="H7" s="2289"/>
      <c r="I7" s="2316"/>
      <c r="J7" s="2286" t="str">
        <f>S5&amp;".1"</f>
        <v>.1</v>
      </c>
      <c r="K7" s="1354"/>
      <c r="L7" s="1357"/>
      <c r="M7" s="521"/>
      <c r="N7" s="521"/>
      <c r="O7" s="521"/>
      <c r="P7" s="2287"/>
      <c r="Q7" s="2287">
        <v>1</v>
      </c>
      <c r="R7" s="368"/>
      <c r="S7" s="1053"/>
      <c r="T7" s="1410"/>
      <c r="U7" s="1395"/>
      <c r="V7" s="2327"/>
      <c r="W7" s="2327"/>
      <c r="X7" s="2327"/>
      <c r="Y7" s="2327"/>
      <c r="Z7" s="2327"/>
      <c r="AA7" s="2327"/>
      <c r="AB7" s="2327"/>
      <c r="AC7" s="2328"/>
      <c r="AD7" s="2326"/>
      <c r="AE7" s="2327"/>
      <c r="AF7" s="2327"/>
      <c r="AG7" s="2327"/>
      <c r="AH7" s="2327"/>
      <c r="AI7" s="2327"/>
      <c r="AJ7" s="2327"/>
      <c r="AK7" s="2327"/>
      <c r="AL7" s="2327"/>
      <c r="AM7" s="2327"/>
      <c r="AN7" s="2327"/>
      <c r="AO7" s="2327"/>
      <c r="AP7" s="2327"/>
      <c r="AQ7" s="2327"/>
      <c r="AR7" s="2327"/>
      <c r="AS7" s="2327"/>
      <c r="AT7" s="2327"/>
      <c r="AU7" s="2327"/>
      <c r="AV7" s="2327"/>
      <c r="AW7" s="2327"/>
      <c r="AX7" s="2327"/>
      <c r="AY7" s="2327"/>
      <c r="AZ7" s="2327"/>
      <c r="BA7" s="2327"/>
      <c r="BB7" s="2328"/>
      <c r="BC7" s="1396"/>
      <c r="BE7" s="511"/>
      <c r="BF7" s="511" t="str">
        <f>IF(T7="","",T7)</f>
        <v/>
      </c>
      <c r="BG7" s="511"/>
      <c r="BH7" s="511"/>
      <c r="BI7" s="522">
        <v>0</v>
      </c>
    </row>
    <row customHeight="1" ht="11.25" hidden="1">
      <c r="A8" s="1374"/>
      <c r="B8" s="1374"/>
      <c r="C8" s="1374"/>
      <c r="D8" s="1374"/>
      <c r="E8" s="2289"/>
      <c r="F8" s="2289"/>
      <c r="G8" s="2289"/>
      <c r="H8" s="2289"/>
      <c r="I8" s="2316"/>
      <c r="J8" s="2316"/>
      <c r="K8" s="2286">
        <f>S4&amp;".1"</f>
      </c>
      <c r="L8" s="1375"/>
      <c r="P8" s="2287"/>
      <c r="Q8" s="2287"/>
      <c r="R8" s="2377">
        <v>1</v>
      </c>
      <c r="S8" s="2371">
        <f>$K8</f>
      </c>
      <c r="T8" s="2390"/>
      <c r="U8" s="311"/>
      <c r="V8" s="762"/>
      <c r="W8" s="1268"/>
      <c r="X8" s="762"/>
      <c r="Y8" s="1268"/>
      <c r="Z8" s="1744"/>
      <c r="AA8" s="1480" t="s">
        <v>63</v>
      </c>
      <c r="AB8" s="1744"/>
      <c r="AC8" s="1480" t="s">
        <v>63</v>
      </c>
      <c r="AD8" s="2215" t="s">
        <v>63</v>
      </c>
      <c r="AE8" s="2356"/>
      <c r="AF8" s="2235">
        <v>1</v>
      </c>
      <c r="AG8" s="2393"/>
      <c r="AH8" s="2137" t="s">
        <v>63</v>
      </c>
      <c r="AI8" s="2356"/>
      <c r="AJ8" s="2235">
        <v>1</v>
      </c>
      <c r="AK8" s="2357" t="s">
        <v>22</v>
      </c>
      <c r="AL8" s="2137" t="s">
        <v>63</v>
      </c>
      <c r="AM8" s="2222"/>
      <c r="AN8" s="2235">
        <v>1</v>
      </c>
      <c r="AO8" s="2387"/>
      <c r="AP8" s="2388" t="s">
        <v>63</v>
      </c>
      <c r="AQ8" s="322"/>
      <c r="AR8" s="1497">
        <v>1</v>
      </c>
      <c r="AS8" s="1503" t="s">
        <v>22</v>
      </c>
      <c r="AT8" s="762"/>
      <c r="AU8" s="1268"/>
      <c r="AV8" s="762"/>
      <c r="AW8" s="1268"/>
      <c r="AX8" s="1744"/>
      <c r="AY8" s="1480" t="s">
        <v>63</v>
      </c>
      <c r="AZ8" s="1744"/>
      <c r="BA8" s="1480" t="s">
        <v>63</v>
      </c>
      <c r="BB8" s="1359"/>
      <c r="BC8" s="2283" t="s">
        <v>511</v>
      </c>
      <c r="BE8" s="511"/>
      <c r="BF8" s="511" t="str">
        <f>IF(T8="","",T8)</f>
        <v/>
      </c>
      <c r="BG8" s="511"/>
      <c r="BH8" s="511"/>
      <c r="BI8" s="1166">
        <v>0</v>
      </c>
    </row>
    <row customHeight="1" ht="11.25" hidden="1">
      <c r="A9" s="1374"/>
      <c r="B9" s="1374"/>
      <c r="C9" s="1374"/>
      <c r="D9" s="1374"/>
      <c r="E9" s="2289"/>
      <c r="F9" s="2289"/>
      <c r="G9" s="2289"/>
      <c r="H9" s="2289"/>
      <c r="I9" s="2316"/>
      <c r="J9" s="2316"/>
      <c r="K9" s="2286"/>
      <c r="L9" s="1375"/>
      <c r="P9" s="2287"/>
      <c r="Q9" s="2287"/>
      <c r="R9" s="2377"/>
      <c r="S9" s="2372"/>
      <c r="T9" s="2391"/>
      <c r="U9" s="311"/>
      <c r="V9" s="1404"/>
      <c r="W9" s="1507"/>
      <c r="X9" s="1404"/>
      <c r="Y9" s="1507"/>
      <c r="Z9" s="1404"/>
      <c r="AA9" s="1404"/>
      <c r="AB9" s="1404"/>
      <c r="AC9" s="1404"/>
      <c r="AD9" s="2216"/>
      <c r="AE9" s="2356"/>
      <c r="AF9" s="2235"/>
      <c r="AG9" s="2393"/>
      <c r="AH9" s="2137"/>
      <c r="AI9" s="2356"/>
      <c r="AJ9" s="2235"/>
      <c r="AK9" s="2357"/>
      <c r="AL9" s="2137"/>
      <c r="AM9" s="2230"/>
      <c r="AN9" s="2235"/>
      <c r="AO9" s="2387"/>
      <c r="AP9" s="2389"/>
      <c r="AQ9" s="327"/>
      <c r="AR9" s="427"/>
      <c r="AS9" s="427" t="s">
        <v>512</v>
      </c>
      <c r="AT9" s="1404"/>
      <c r="AU9" s="1507"/>
      <c r="AV9" s="1404"/>
      <c r="AW9" s="1507"/>
      <c r="AX9" s="1404"/>
      <c r="AY9" s="1404"/>
      <c r="AZ9" s="1404"/>
      <c r="BA9" s="1404"/>
      <c r="BB9" s="1408"/>
      <c r="BC9" s="2284"/>
      <c r="BE9" s="511"/>
      <c r="BF9" s="511"/>
      <c r="BG9" s="511"/>
      <c r="BH9" s="511"/>
      <c r="BI9" s="1166">
        <v>0</v>
      </c>
    </row>
    <row customHeight="1" ht="11.25" hidden="1">
      <c r="A10" s="1374"/>
      <c r="B10" s="1374"/>
      <c r="C10" s="1374"/>
      <c r="D10" s="1374"/>
      <c r="E10" s="2289"/>
      <c r="F10" s="2289"/>
      <c r="G10" s="2289"/>
      <c r="H10" s="2289"/>
      <c r="I10" s="2316"/>
      <c r="J10" s="2316"/>
      <c r="K10" s="2286"/>
      <c r="L10" s="1375"/>
      <c r="P10" s="2287"/>
      <c r="Q10" s="2287"/>
      <c r="R10" s="2377"/>
      <c r="S10" s="2372"/>
      <c r="T10" s="2391"/>
      <c r="U10" s="311"/>
      <c r="V10" s="1404"/>
      <c r="W10" s="1507"/>
      <c r="X10" s="1404"/>
      <c r="Y10" s="1507"/>
      <c r="Z10" s="1404"/>
      <c r="AA10" s="1404"/>
      <c r="AB10" s="1404"/>
      <c r="AC10" s="1404"/>
      <c r="AD10" s="2216"/>
      <c r="AE10" s="2356"/>
      <c r="AF10" s="2235"/>
      <c r="AG10" s="2393"/>
      <c r="AH10" s="2137"/>
      <c r="AI10" s="2356"/>
      <c r="AJ10" s="2235"/>
      <c r="AK10" s="2357"/>
      <c r="AL10" s="2137"/>
      <c r="AM10" s="327"/>
      <c r="AN10" s="1511"/>
      <c r="AO10" s="1511" t="s">
        <v>513</v>
      </c>
      <c r="AP10" s="427"/>
      <c r="AQ10" s="427"/>
      <c r="AR10" s="427"/>
      <c r="AS10" s="1404"/>
      <c r="AT10" s="1404"/>
      <c r="AU10" s="1507"/>
      <c r="AV10" s="1404"/>
      <c r="AW10" s="1507"/>
      <c r="AX10" s="1404"/>
      <c r="AY10" s="1404"/>
      <c r="AZ10" s="1404"/>
      <c r="BA10" s="1404"/>
      <c r="BB10" s="1408"/>
      <c r="BC10" s="2284"/>
      <c r="BE10" s="511"/>
      <c r="BF10" s="511"/>
      <c r="BG10" s="511"/>
      <c r="BH10" s="511"/>
      <c r="BI10" s="1166">
        <v>0</v>
      </c>
    </row>
    <row customHeight="1" ht="11.25" hidden="1">
      <c r="A11" s="1374"/>
      <c r="B11" s="1374"/>
      <c r="C11" s="1374"/>
      <c r="D11" s="1374"/>
      <c r="E11" s="2289"/>
      <c r="F11" s="2289"/>
      <c r="G11" s="2289"/>
      <c r="H11" s="2289"/>
      <c r="I11" s="2316"/>
      <c r="J11" s="2316"/>
      <c r="K11" s="2286"/>
      <c r="L11" s="1375"/>
      <c r="P11" s="2287"/>
      <c r="Q11" s="2287"/>
      <c r="R11" s="2377"/>
      <c r="S11" s="2372"/>
      <c r="T11" s="2391"/>
      <c r="U11" s="311"/>
      <c r="V11" s="1404"/>
      <c r="W11" s="1507"/>
      <c r="X11" s="1404"/>
      <c r="Y11" s="1507"/>
      <c r="Z11" s="1404"/>
      <c r="AA11" s="1404"/>
      <c r="AB11" s="1404"/>
      <c r="AC11" s="1404"/>
      <c r="AD11" s="2216"/>
      <c r="AE11" s="2356"/>
      <c r="AF11" s="2235"/>
      <c r="AG11" s="2393"/>
      <c r="AH11" s="2137"/>
      <c r="AI11" s="305"/>
      <c r="AJ11" s="426"/>
      <c r="AK11" s="324" t="s">
        <v>514</v>
      </c>
      <c r="AL11" s="1404"/>
      <c r="AM11" s="1404"/>
      <c r="AN11" s="1404"/>
      <c r="AO11" s="1404"/>
      <c r="AP11" s="1404"/>
      <c r="AQ11" s="1404"/>
      <c r="AR11" s="1404"/>
      <c r="AS11" s="1404"/>
      <c r="AT11" s="1404"/>
      <c r="AU11" s="1507"/>
      <c r="AV11" s="1404"/>
      <c r="AW11" s="1507"/>
      <c r="AX11" s="1404"/>
      <c r="AY11" s="1404"/>
      <c r="AZ11" s="1404"/>
      <c r="BA11" s="1404"/>
      <c r="BB11" s="1408"/>
      <c r="BC11" s="2284"/>
      <c r="BE11" s="511"/>
      <c r="BF11" s="511"/>
      <c r="BG11" s="511"/>
      <c r="BH11" s="511"/>
      <c r="BI11" s="1166">
        <v>0</v>
      </c>
    </row>
    <row customHeight="1" ht="11.25" hidden="1">
      <c r="A12" s="1374"/>
      <c r="B12" s="1374"/>
      <c r="C12" s="1374"/>
      <c r="D12" s="1374"/>
      <c r="E12" s="2289"/>
      <c r="F12" s="2289"/>
      <c r="G12" s="2289"/>
      <c r="H12" s="2289"/>
      <c r="I12" s="2316"/>
      <c r="J12" s="2316"/>
      <c r="K12" s="2286"/>
      <c r="L12" s="1375"/>
      <c r="P12" s="2287"/>
      <c r="Q12" s="2287"/>
      <c r="R12" s="2377"/>
      <c r="S12" s="2373"/>
      <c r="T12" s="2392"/>
      <c r="U12" s="311"/>
      <c r="V12" s="1404"/>
      <c r="W12" s="1405" t="str">
        <f>Z8&amp;"-"&amp;AB8</f>
        <v>-</v>
      </c>
      <c r="X12" s="1404"/>
      <c r="Y12" s="1405" t="str">
        <f>AB8&amp;"-"&amp;AD8</f>
        <v>-да</v>
      </c>
      <c r="Z12" s="1404"/>
      <c r="AA12" s="1404"/>
      <c r="AB12" s="1404"/>
      <c r="AC12" s="1404"/>
      <c r="AD12" s="2142"/>
      <c r="AE12" s="323"/>
      <c r="AF12" s="325"/>
      <c r="AG12" s="427" t="s">
        <v>515</v>
      </c>
      <c r="AH12" s="1404"/>
      <c r="AI12" s="1404"/>
      <c r="AJ12" s="1404"/>
      <c r="AK12" s="1404"/>
      <c r="AL12" s="1404"/>
      <c r="AM12" s="1404"/>
      <c r="AN12" s="1404"/>
      <c r="AO12" s="1404"/>
      <c r="AP12" s="1404"/>
      <c r="AQ12" s="1404"/>
      <c r="AR12" s="1404"/>
      <c r="AS12" s="1404"/>
      <c r="AT12" s="1404"/>
      <c r="AU12" s="1405" t="str">
        <f>AX8&amp;"-"&amp;AZ8</f>
        <v>-</v>
      </c>
      <c r="AV12" s="1404"/>
      <c r="AW12" s="1405" t="str">
        <f>AZ8&amp;"-"&amp;BB8</f>
        <v>-</v>
      </c>
      <c r="AX12" s="1404"/>
      <c r="AY12" s="1404"/>
      <c r="AZ12" s="1404"/>
      <c r="BA12" s="1404"/>
      <c r="BB12" s="1407" t="str">
        <f>BE8&amp;"-"&amp;BG8</f>
        <v>-</v>
      </c>
      <c r="BC12" s="2284"/>
      <c r="BE12" s="511"/>
      <c r="BF12" s="511" t="str">
        <f>IF(T12="","",T12)</f>
        <v/>
      </c>
      <c r="BG12" s="511"/>
      <c r="BH12" s="511"/>
      <c r="BI12" s="1166">
        <v>0</v>
      </c>
    </row>
    <row customHeight="1" ht="11.25" hidden="1">
      <c r="A13" s="1374"/>
      <c r="B13" s="1374"/>
      <c r="C13" s="1374"/>
      <c r="D13" s="1374"/>
      <c r="E13" s="2289"/>
      <c r="F13" s="2289"/>
      <c r="G13" s="2289"/>
      <c r="H13" s="2289"/>
      <c r="I13" s="2316"/>
      <c r="J13" s="2286"/>
      <c r="K13" s="1374"/>
      <c r="L13" s="1375"/>
      <c r="P13" s="2287"/>
      <c r="Q13" s="2287"/>
      <c r="R13" s="367"/>
      <c r="S13" s="1289"/>
      <c r="T13" s="298" t="s">
        <v>478</v>
      </c>
      <c r="U13" s="378"/>
      <c r="V13" s="378"/>
      <c r="W13" s="378"/>
      <c r="X13" s="378"/>
      <c r="Y13" s="378"/>
      <c r="Z13" s="378"/>
      <c r="AA13" s="378"/>
      <c r="AB13" s="378"/>
      <c r="AC13" s="378"/>
      <c r="AD13" s="1516"/>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35"/>
      <c r="BC13" s="2285"/>
      <c r="BE13" s="511"/>
      <c r="BF13" s="511" t="str">
        <f>IF(T13="","",T13)</f>
        <v>Добавить строку</v>
      </c>
      <c r="BG13" s="511"/>
      <c r="BH13" s="511"/>
      <c r="BI13" s="1166">
        <v>0</v>
      </c>
    </row>
    <row s="1653" customFormat="1" customHeight="1" ht="14.25" hidden="1">
      <c r="A14" s="1354"/>
      <c r="B14" s="1354"/>
      <c r="C14" s="1354"/>
      <c r="D14" s="1354"/>
      <c r="E14" s="2289"/>
      <c r="F14" s="2289"/>
      <c r="G14" s="2289"/>
      <c r="H14" s="2289"/>
      <c r="I14" s="2286"/>
      <c r="J14" s="1354"/>
      <c r="K14" s="1354"/>
      <c r="L14" s="1357"/>
      <c r="M14" s="521"/>
      <c r="N14" s="521"/>
      <c r="O14" s="521"/>
      <c r="P14" s="2287"/>
      <c r="Q14" s="1492"/>
      <c r="R14" s="367"/>
      <c r="S14" s="1397"/>
      <c r="T14" s="1398"/>
      <c r="U14" s="1399"/>
      <c r="V14" s="1399"/>
      <c r="W14" s="1399"/>
      <c r="X14" s="1399"/>
      <c r="Y14" s="1399"/>
      <c r="Z14" s="1399"/>
      <c r="AA14" s="1399"/>
      <c r="AB14" s="1399"/>
      <c r="AC14" s="1399"/>
      <c r="AD14" s="1399"/>
      <c r="AE14" s="1399"/>
      <c r="AF14" s="1399"/>
      <c r="AG14" s="1399"/>
      <c r="AH14" s="1399"/>
      <c r="AI14" s="1399"/>
      <c r="AJ14" s="1399"/>
      <c r="AK14" s="1399"/>
      <c r="AL14" s="1399"/>
      <c r="AM14" s="1399"/>
      <c r="AN14" s="1399"/>
      <c r="AO14" s="1399"/>
      <c r="AP14" s="1399"/>
      <c r="AQ14" s="1399"/>
      <c r="AR14" s="1399"/>
      <c r="AS14" s="1399"/>
      <c r="AT14" s="1399"/>
      <c r="AU14" s="1399"/>
      <c r="AV14" s="1399"/>
      <c r="AW14" s="1399"/>
      <c r="AX14" s="1399"/>
      <c r="AY14" s="1399"/>
      <c r="AZ14" s="1399"/>
      <c r="BA14" s="1399"/>
      <c r="BB14" s="1399"/>
      <c r="BC14" s="1400"/>
      <c r="BE14" s="511"/>
      <c r="BF14" s="511" t="str">
        <f>IF(T14="","",T14)</f>
        <v/>
      </c>
      <c r="BG14" s="511"/>
      <c r="BH14" s="511"/>
      <c r="BI14" s="522">
        <v>0</v>
      </c>
    </row>
    <row s="1653" customFormat="1" customHeight="1" ht="14.25" hidden="1">
      <c r="A15" s="1354"/>
      <c r="B15" s="1354"/>
      <c r="C15" s="1354"/>
      <c r="D15" s="1354"/>
      <c r="E15" s="2289"/>
      <c r="F15" s="2289"/>
      <c r="G15" s="2289"/>
      <c r="H15" s="2288"/>
      <c r="I15" s="1354"/>
      <c r="J15" s="1354"/>
      <c r="K15" s="1354"/>
      <c r="L15" s="1357"/>
      <c r="M15" s="1326"/>
      <c r="N15" s="1326"/>
      <c r="O15" s="529"/>
      <c r="P15" s="391"/>
      <c r="Q15" s="1355"/>
      <c r="R15" s="1412"/>
      <c r="S15" s="1397"/>
      <c r="T15" s="1398"/>
      <c r="U15" s="1399"/>
      <c r="V15" s="1399"/>
      <c r="W15" s="1399"/>
      <c r="X15" s="1399"/>
      <c r="Y15" s="1399"/>
      <c r="Z15" s="1399"/>
      <c r="AA15" s="1399"/>
      <c r="AB15" s="1399"/>
      <c r="AC15" s="1399"/>
      <c r="AD15" s="1399"/>
      <c r="AE15" s="1399"/>
      <c r="AF15" s="1399"/>
      <c r="AG15" s="1399"/>
      <c r="AH15" s="1399"/>
      <c r="AI15" s="1399"/>
      <c r="AJ15" s="1399"/>
      <c r="AK15" s="1399"/>
      <c r="AL15" s="1399"/>
      <c r="AM15" s="1399"/>
      <c r="AN15" s="1399"/>
      <c r="AO15" s="1399"/>
      <c r="AP15" s="1399"/>
      <c r="AQ15" s="1399"/>
      <c r="AR15" s="1399"/>
      <c r="AS15" s="1399"/>
      <c r="AT15" s="1399"/>
      <c r="AU15" s="1399"/>
      <c r="AV15" s="1399"/>
      <c r="AW15" s="1399"/>
      <c r="AX15" s="1399"/>
      <c r="AY15" s="1399"/>
      <c r="AZ15" s="1399"/>
      <c r="BA15" s="1399"/>
      <c r="BB15" s="1399"/>
      <c r="BC15" s="1400"/>
      <c r="BE15" s="511"/>
      <c r="BF15" s="511" t="str">
        <f>IF(T15="","",T15)</f>
        <v/>
      </c>
      <c r="BG15" s="511"/>
      <c r="BH15" s="511"/>
      <c r="BI15" s="522">
        <v>0</v>
      </c>
    </row>
    <row s="1653" customFormat="1" customHeight="1" ht="14.25" hidden="1">
      <c r="A16" s="1354"/>
      <c r="B16" s="1354"/>
      <c r="C16" s="1354"/>
      <c r="D16" s="1325"/>
      <c r="E16" s="2289"/>
      <c r="F16" s="2289"/>
      <c r="G16" s="2288"/>
      <c r="H16" s="1325"/>
      <c r="I16" s="1325"/>
      <c r="J16" s="1325"/>
      <c r="K16" s="1325"/>
      <c r="L16" s="1505"/>
      <c r="M16" s="1326"/>
      <c r="N16" s="1326"/>
      <c r="P16" s="1327"/>
      <c r="Q16" s="1328"/>
      <c r="R16" s="1327"/>
      <c r="S16" s="1333"/>
      <c r="T16" s="1336"/>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E16" s="800"/>
      <c r="BF16" s="800" t="str">
        <f>IF(T16="","",T16)</f>
        <v/>
      </c>
      <c r="BG16" s="800"/>
      <c r="BH16" s="800"/>
      <c r="BI16" s="529">
        <v>0</v>
      </c>
    </row>
    <row s="1653" customFormat="1" customHeight="1" ht="14.25" hidden="1">
      <c r="A17" s="1354"/>
      <c r="B17" s="1354"/>
      <c r="C17" s="1325"/>
      <c r="D17" s="1325"/>
      <c r="E17" s="2289"/>
      <c r="F17" s="2288"/>
      <c r="G17" s="1325"/>
      <c r="H17" s="1325"/>
      <c r="I17" s="1325"/>
      <c r="J17" s="1325"/>
      <c r="K17" s="1325"/>
      <c r="L17" s="1505"/>
      <c r="M17" s="1332"/>
      <c r="N17" s="1332"/>
      <c r="P17" s="1327"/>
      <c r="Q17" s="1328"/>
      <c r="R17" s="1327"/>
      <c r="S17" s="1333"/>
      <c r="T17" s="1336" t="s">
        <v>429</v>
      </c>
      <c r="U17" s="1335"/>
      <c r="V17" s="1335"/>
      <c r="W17" s="1335"/>
      <c r="X17" s="1335"/>
      <c r="Y17" s="1335"/>
      <c r="Z17" s="1335"/>
      <c r="AA17" s="1335"/>
      <c r="AB17" s="1335"/>
      <c r="AC17" s="1335"/>
      <c r="AD17" s="1335"/>
      <c r="AE17" s="1335"/>
      <c r="AF17" s="1335"/>
      <c r="AG17" s="1335"/>
      <c r="AH17" s="1335"/>
      <c r="AI17" s="1335"/>
      <c r="AJ17" s="1335"/>
      <c r="AK17" s="1335"/>
      <c r="AL17" s="1335"/>
      <c r="AM17" s="1335"/>
      <c r="AN17" s="1335"/>
      <c r="AO17" s="1335"/>
      <c r="AP17" s="1335"/>
      <c r="AQ17" s="1335"/>
      <c r="AR17" s="1335"/>
      <c r="AS17" s="1335"/>
      <c r="AT17" s="1335"/>
      <c r="AU17" s="1335"/>
      <c r="AV17" s="1335"/>
      <c r="AW17" s="1335"/>
      <c r="AX17" s="1335"/>
      <c r="AY17" s="1335"/>
      <c r="AZ17" s="1335"/>
      <c r="BA17" s="1335"/>
      <c r="BB17" s="1335"/>
      <c r="BC17" s="1335"/>
      <c r="BE17" s="800"/>
      <c r="BF17" s="800" t="str">
        <f>IF(T17="","",T17)</f>
        <v>Добавить централизованную систему для дифференциации</v>
      </c>
      <c r="BG17" s="800"/>
      <c r="BH17" s="800"/>
      <c r="BI17" s="529">
        <v>0</v>
      </c>
    </row>
    <row s="1653" customFormat="1" customHeight="1" ht="14.25" hidden="1">
      <c r="A18" s="1354"/>
      <c r="B18" s="1354"/>
      <c r="C18" s="1354"/>
      <c r="D18" s="1354"/>
      <c r="E18" s="2288"/>
      <c r="F18" s="1354"/>
      <c r="G18" s="1354"/>
      <c r="H18" s="1354"/>
      <c r="I18" s="1354"/>
      <c r="J18" s="1354"/>
      <c r="K18" s="1354"/>
      <c r="L18" s="1357"/>
      <c r="M18" s="1332"/>
      <c r="N18" s="1332"/>
      <c r="O18" s="529"/>
      <c r="P18" s="391"/>
      <c r="Q18" s="1355"/>
      <c r="R18" s="391"/>
      <c r="S18" s="1333"/>
      <c r="T18" s="1336" t="s">
        <v>430</v>
      </c>
      <c r="U18" s="1335"/>
      <c r="V18" s="1335"/>
      <c r="W18" s="1335"/>
      <c r="X18" s="1335"/>
      <c r="Y18" s="1335"/>
      <c r="Z18" s="1335"/>
      <c r="AA18" s="1335"/>
      <c r="AB18" s="1335"/>
      <c r="AC18" s="1335"/>
      <c r="AD18" s="1335"/>
      <c r="AE18" s="1335"/>
      <c r="AF18" s="1335"/>
      <c r="AG18" s="1335"/>
      <c r="AH18" s="1335"/>
      <c r="AI18" s="1335"/>
      <c r="AJ18" s="1335"/>
      <c r="AK18" s="1335"/>
      <c r="AL18" s="1335"/>
      <c r="AM18" s="1335"/>
      <c r="AN18" s="1335"/>
      <c r="AO18" s="1335"/>
      <c r="AP18" s="1335"/>
      <c r="AQ18" s="1335"/>
      <c r="AR18" s="1335"/>
      <c r="AS18" s="1335"/>
      <c r="AT18" s="1335"/>
      <c r="AU18" s="1335"/>
      <c r="AV18" s="1335"/>
      <c r="AW18" s="1335"/>
      <c r="AX18" s="1335"/>
      <c r="AY18" s="1335"/>
      <c r="AZ18" s="1335"/>
      <c r="BA18" s="1335"/>
      <c r="BB18" s="1335"/>
      <c r="BC18" s="1335"/>
      <c r="BE18" s="511"/>
      <c r="BF18" s="511" t="str">
        <f>IF(T18="","",T18)</f>
        <v>Добавить территорию для дифференциации</v>
      </c>
      <c r="BG18" s="511"/>
      <c r="BH18" s="511"/>
      <c r="BI18" s="522">
        <v>0</v>
      </c>
    </row>
    <row customHeight="1" ht="14.25" hidden="1">
      <c r="AC19" s="338"/>
      <c r="BA19" s="338"/>
      <c r="BI19" s="1166">
        <v>0</v>
      </c>
    </row>
    <row customHeight="1" ht="14.25" hidden="1">
      <c r="AD20" s="1335" t="s">
        <v>19</v>
      </c>
      <c r="AE20" s="1512"/>
      <c r="AF20" s="559">
        <v>1</v>
      </c>
      <c r="AG20" s="1513"/>
      <c r="AH20" s="1335" t="s">
        <v>19</v>
      </c>
      <c r="AI20" s="1512"/>
      <c r="AJ20" s="559">
        <v>1</v>
      </c>
      <c r="AK20" s="1513"/>
      <c r="AL20" s="1335" t="s">
        <v>19</v>
      </c>
      <c r="AM20" s="1514"/>
      <c r="AN20" s="559">
        <v>1</v>
      </c>
      <c r="AO20" s="1515"/>
      <c r="AP20" s="1335" t="s">
        <v>19</v>
      </c>
      <c r="AQ20" s="1514"/>
      <c r="AR20" s="559">
        <v>1</v>
      </c>
      <c r="AS20" s="1515"/>
      <c r="AT20" s="336"/>
      <c r="AU20" s="395"/>
      <c r="AV20" s="336"/>
      <c r="AW20" s="395"/>
      <c r="AX20" s="1746"/>
      <c r="AY20" s="1496" t="s">
        <v>63</v>
      </c>
      <c r="AZ20" s="1746"/>
      <c r="BA20" s="1496" t="s">
        <v>63</v>
      </c>
      <c r="BI20" s="1166">
        <v>0</v>
      </c>
    </row>
    <row customHeight="1" ht="14.25" hidden="1">
      <c r="BD21" s="507"/>
      <c r="BE21" s="507"/>
      <c r="BF21" s="507"/>
      <c r="BG21" s="507"/>
      <c r="BH21" s="507"/>
      <c r="BI21" s="1166">
        <v>0</v>
      </c>
    </row>
    <row customHeight="1" ht="14.25" hidden="1">
      <c r="O22" s="1378" t="s">
        <v>431</v>
      </c>
      <c r="Z22" s="1356"/>
      <c r="AB22" s="1356"/>
      <c r="AC22" s="338"/>
      <c r="AX22" s="1356"/>
      <c r="AZ22" s="1356"/>
      <c r="BA22" s="338"/>
      <c r="BD22" s="507"/>
      <c r="BE22" s="507"/>
      <c r="BF22" s="507"/>
      <c r="BG22" s="507"/>
      <c r="BH22" s="507"/>
      <c r="BI22" s="1166">
        <v>0</v>
      </c>
    </row>
    <row customHeight="1" ht="14.25" hidden="1">
      <c r="AC23" s="338"/>
      <c r="BA23" s="338"/>
      <c r="BD23" s="507"/>
      <c r="BE23" s="507"/>
      <c r="BF23" s="507"/>
      <c r="BG23" s="507"/>
      <c r="BH23" s="507"/>
      <c r="BI23" s="1166">
        <v>0</v>
      </c>
    </row>
    <row s="1520" customFormat="1" customHeight="1" ht="14.25" hidden="1">
      <c r="M24" s="1519"/>
      <c r="N24" s="1519"/>
      <c r="O24" s="1520" t="s">
        <v>432</v>
      </c>
      <c r="P24" s="1519"/>
      <c r="Q24" s="1521"/>
      <c r="R24" s="1521"/>
      <c r="AA24" s="1518" t="s">
        <v>434</v>
      </c>
      <c r="AC24" s="1518" t="s">
        <v>435</v>
      </c>
      <c r="AD24" s="1518" t="s">
        <v>479</v>
      </c>
      <c r="AH24" s="1518" t="s">
        <v>479</v>
      </c>
      <c r="AK24" s="1518" t="s">
        <v>516</v>
      </c>
      <c r="AL24" s="1518" t="s">
        <v>479</v>
      </c>
      <c r="AP24" s="1518" t="s">
        <v>479</v>
      </c>
      <c r="AY24" s="1518" t="s">
        <v>434</v>
      </c>
      <c r="BA24" s="1518" t="s">
        <v>435</v>
      </c>
      <c r="BD24" s="1522"/>
      <c r="BE24" s="1522"/>
      <c r="BF24" s="1522"/>
      <c r="BG24" s="1522"/>
      <c r="BH24" s="1522"/>
      <c r="BI24" s="1518">
        <v>0</v>
      </c>
    </row>
    <row customHeight="1" ht="14.25" hidden="1">
      <c r="O25" s="1375"/>
      <c r="BD25" s="507"/>
      <c r="BE25" s="507"/>
      <c r="BF25" s="507"/>
      <c r="BG25" s="507"/>
      <c r="BH25" s="507"/>
      <c r="BI25" s="1166">
        <v>0</v>
      </c>
    </row>
    <row customHeight="1" ht="14.25" hidden="1">
      <c r="O26" s="1375"/>
      <c r="BD26" s="507"/>
      <c r="BE26" s="507"/>
      <c r="BF26" s="507"/>
      <c r="BG26" s="507"/>
      <c r="BH26" s="507"/>
      <c r="BI26" s="1166">
        <v>0</v>
      </c>
    </row>
    <row customHeight="1" ht="14.699999999999998">
      <c r="Q27" s="302"/>
      <c r="R27" s="387"/>
      <c r="S27" s="1286"/>
      <c r="T27" s="374"/>
      <c r="U27" s="374"/>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I27" s="1166">
        <v>14</v>
      </c>
    </row>
    <row customHeight="1" ht="14.699999999999998">
      <c r="Q28" s="302"/>
      <c r="R28" s="387"/>
      <c r="S28" s="227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78"/>
      <c r="U28" s="2278"/>
      <c r="V28" s="2278"/>
      <c r="W28" s="2278"/>
      <c r="X28" s="2278"/>
      <c r="Y28" s="2278"/>
      <c r="Z28" s="2278"/>
      <c r="AA28" s="2278"/>
      <c r="AB28" s="2278"/>
      <c r="AC28" s="2278"/>
      <c r="AD28" s="2278"/>
      <c r="AE28" s="2278"/>
      <c r="AF28" s="2278"/>
      <c r="AG28" s="2278"/>
      <c r="AH28" s="2278"/>
      <c r="AI28" s="2278"/>
      <c r="AJ28" s="2278"/>
      <c r="AK28" s="2278"/>
      <c r="AL28" s="2278"/>
      <c r="AM28" s="2278"/>
      <c r="AN28" s="2278"/>
      <c r="AO28" s="2278"/>
      <c r="AP28" s="2278"/>
      <c r="AQ28" s="2278"/>
      <c r="AR28" s="2278"/>
      <c r="AS28" s="2278"/>
      <c r="AT28" s="2278"/>
      <c r="AU28" s="2278"/>
      <c r="AV28" s="2278"/>
      <c r="AW28" s="2278"/>
      <c r="AX28" s="2278"/>
      <c r="AY28" s="2278"/>
      <c r="AZ28" s="2278"/>
      <c r="BA28" s="1254"/>
      <c r="BI28" s="1166">
        <v>14</v>
      </c>
    </row>
    <row customHeight="1" ht="14.699999999999998">
      <c r="Q29" s="302"/>
      <c r="R29" s="387"/>
      <c r="S29" s="2279" t="str">
        <f>IF(org=0,"Не определено",org)</f>
        <v>ПАО "КГК"</v>
      </c>
      <c r="T29" s="2279"/>
      <c r="U29" s="2279"/>
      <c r="V29" s="2279"/>
      <c r="W29" s="2279"/>
      <c r="X29" s="2279"/>
      <c r="Y29" s="2279"/>
      <c r="Z29" s="2279"/>
      <c r="AA29" s="2279"/>
      <c r="AB29" s="2279"/>
      <c r="AC29" s="2279"/>
      <c r="AD29" s="2279"/>
      <c r="AE29" s="2279"/>
      <c r="AF29" s="2279"/>
      <c r="AG29" s="2279"/>
      <c r="AH29" s="2279"/>
      <c r="AI29" s="2279"/>
      <c r="AJ29" s="2279"/>
      <c r="AK29" s="2279"/>
      <c r="AL29" s="2279"/>
      <c r="AM29" s="2279"/>
      <c r="AN29" s="2279"/>
      <c r="AO29" s="2279"/>
      <c r="AP29" s="2279"/>
      <c r="AQ29" s="2279"/>
      <c r="AR29" s="2279"/>
      <c r="AS29" s="2279"/>
      <c r="AT29" s="2279"/>
      <c r="AU29" s="2279"/>
      <c r="AV29" s="2279"/>
      <c r="AW29" s="2279"/>
      <c r="AX29" s="2279"/>
      <c r="AY29" s="2279"/>
      <c r="AZ29" s="2279"/>
      <c r="BA29" s="1254"/>
      <c r="BI29" s="1166">
        <v>14</v>
      </c>
    </row>
    <row customHeight="1" ht="14.25" hidden="1">
      <c r="Q30" s="302"/>
      <c r="R30" s="387"/>
      <c r="S30" s="1286"/>
      <c r="T30" s="374"/>
      <c r="U30" s="374"/>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520"/>
      <c r="BI30" s="1166">
        <v>0</v>
      </c>
    </row>
    <row s="1861" customFormat="1" customHeight="1" ht="25.5" hidden="1">
      <c r="A31" s="1379"/>
      <c r="B31" s="1379"/>
      <c r="C31" s="1379"/>
      <c r="D31" s="1379"/>
      <c r="E31" s="1379"/>
      <c r="F31" s="1379"/>
      <c r="G31" s="1379"/>
      <c r="H31" s="1379"/>
      <c r="I31" s="1379"/>
      <c r="J31" s="1379"/>
      <c r="K31" s="1379"/>
      <c r="L31" s="1380"/>
      <c r="M31" s="1379"/>
      <c r="N31" s="1379"/>
      <c r="O31" s="1379"/>
      <c r="P31" s="1379"/>
      <c r="Q31" s="1379"/>
      <c r="S31" s="228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80"/>
      <c r="U31" s="1383"/>
      <c r="V31" s="2281" t="str">
        <f>IF(TITLE_NAME_OR_PR_CHANGE="",IF(TITLE_NAME_OR_PR="","",TITLE_NAME_OR_PR),TITLE_NAME_OR_PR_CHANGE)</f>
        <v/>
      </c>
      <c r="W31" s="2281"/>
      <c r="X31" s="2281"/>
      <c r="Y31" s="2281"/>
      <c r="Z31" s="2281"/>
      <c r="AA31" s="2281"/>
      <c r="AB31" s="2281"/>
      <c r="AC31" s="337"/>
      <c r="AD31" s="2281" t="str">
        <f>IF(TITLE_NAME_OR_PR_CHANGE="",IF(TITLE_NAME_OR_PR="","",TITLE_NAME_OR_PR),TITLE_NAME_OR_PR_CHANGE)</f>
        <v/>
      </c>
      <c r="AE31" s="2281"/>
      <c r="AF31" s="2281"/>
      <c r="AG31" s="2281"/>
      <c r="AH31" s="2281"/>
      <c r="AI31" s="2281"/>
      <c r="AJ31" s="2281"/>
      <c r="AK31" s="2281"/>
      <c r="AL31" s="2281"/>
      <c r="AM31" s="2281"/>
      <c r="AN31" s="2281"/>
      <c r="AO31" s="2281"/>
      <c r="AP31" s="2281"/>
      <c r="AQ31" s="2281"/>
      <c r="AR31" s="2281"/>
      <c r="AS31" s="2281"/>
      <c r="AT31" s="2281"/>
      <c r="AU31" s="2281"/>
      <c r="AV31" s="2281"/>
      <c r="AW31" s="2281"/>
      <c r="AX31" s="2281"/>
      <c r="AY31" s="2281"/>
      <c r="AZ31" s="2281"/>
      <c r="BA31" s="337"/>
      <c r="BB31" s="337"/>
      <c r="BC31" s="291"/>
      <c r="BD31" s="379"/>
      <c r="BE31" s="379"/>
      <c r="BF31" s="379"/>
      <c r="BG31" s="379"/>
      <c r="BH31" s="379"/>
      <c r="BI31" s="429">
        <v>0</v>
      </c>
    </row>
    <row s="1861" customFormat="1" customHeight="1" ht="18.75" hidden="1">
      <c r="A32" s="1379"/>
      <c r="B32" s="1379"/>
      <c r="C32" s="1379"/>
      <c r="D32" s="1379"/>
      <c r="E32" s="1379"/>
      <c r="F32" s="1379"/>
      <c r="G32" s="1379"/>
      <c r="H32" s="1379"/>
      <c r="I32" s="1379"/>
      <c r="J32" s="1379"/>
      <c r="K32" s="1379"/>
      <c r="L32" s="1380"/>
      <c r="M32" s="1379"/>
      <c r="N32" s="1379"/>
      <c r="O32" s="1379"/>
      <c r="P32" s="1379"/>
      <c r="Q32" s="1379"/>
      <c r="S32" s="2280" t="str">
        <f>"Дата документа об "&amp;IF(TITLE_DATE_PR_CHANGE="","утверждении","изменении")&amp;" тарифов"</f>
        <v>Дата документа об утверждении тарифов</v>
      </c>
      <c r="T32" s="2280"/>
      <c r="U32" s="1383"/>
      <c r="V32" s="2294" t="str">
        <f>IF(TITLE_DATE_PR_CHANGE="",IF(TITLE_DATE_PR="","",TITLE_DATE_PR),TITLE_DATE_PR_CHANGE)</f>
        <v/>
      </c>
      <c r="W32" s="2294"/>
      <c r="X32" s="2294"/>
      <c r="Y32" s="2294"/>
      <c r="Z32" s="2294"/>
      <c r="AA32" s="2294"/>
      <c r="AB32" s="2294"/>
      <c r="AC32" s="337"/>
      <c r="AD32" s="2294" t="str">
        <f>IF(TITLE_DATE_PR_CHANGE="",IF(TITLE_DATE_PR="","",TITLE_DATE_PR),TITLE_DATE_PR_CHANGE)</f>
        <v/>
      </c>
      <c r="AE32" s="2294"/>
      <c r="AF32" s="2294"/>
      <c r="AG32" s="2294"/>
      <c r="AH32" s="2294"/>
      <c r="AI32" s="2294"/>
      <c r="AJ32" s="2294"/>
      <c r="AK32" s="2294"/>
      <c r="AL32" s="2294"/>
      <c r="AM32" s="2294"/>
      <c r="AN32" s="2294"/>
      <c r="AO32" s="2294"/>
      <c r="AP32" s="2294"/>
      <c r="AQ32" s="2294"/>
      <c r="AR32" s="2294"/>
      <c r="AS32" s="2294"/>
      <c r="AT32" s="2294"/>
      <c r="AU32" s="2294"/>
      <c r="AV32" s="2294"/>
      <c r="AW32" s="2294"/>
      <c r="AX32" s="2294"/>
      <c r="AY32" s="2294"/>
      <c r="AZ32" s="2294"/>
      <c r="BA32" s="337"/>
      <c r="BB32" s="337"/>
      <c r="BC32" s="291"/>
      <c r="BD32" s="379"/>
      <c r="BE32" s="379"/>
      <c r="BF32" s="379"/>
      <c r="BG32" s="379"/>
      <c r="BH32" s="379"/>
      <c r="BI32" s="429">
        <v>0</v>
      </c>
    </row>
    <row s="1861" customFormat="1" customHeight="1" ht="18.75" hidden="1">
      <c r="A33" s="1379"/>
      <c r="B33" s="1379"/>
      <c r="C33" s="1379"/>
      <c r="D33" s="1379"/>
      <c r="E33" s="1379"/>
      <c r="F33" s="1379"/>
      <c r="G33" s="1379"/>
      <c r="H33" s="1379"/>
      <c r="I33" s="1379"/>
      <c r="J33" s="1379"/>
      <c r="K33" s="1379"/>
      <c r="L33" s="1380"/>
      <c r="M33" s="1379"/>
      <c r="N33" s="1379"/>
      <c r="O33" s="1379"/>
      <c r="P33" s="1379"/>
      <c r="Q33" s="1379"/>
      <c r="S33" s="2280" t="str">
        <f>"Номер документа об "&amp;IF(TITLE_DATE_PR_CHANGE="","утверждении","изменении")&amp;" тарифов"</f>
        <v>Номер документа об утверждении тарифов</v>
      </c>
      <c r="T33" s="2280"/>
      <c r="U33" s="1383"/>
      <c r="V33" s="2281" t="str">
        <f>IF(TITLE_NUMBER_PR_CHANGE="",IF(TITLE_NUMBER_PR="","",TITLE_NUMBER_PR),TITLE_NUMBER_PR_CHANGE)</f>
        <v/>
      </c>
      <c r="W33" s="2281"/>
      <c r="X33" s="2281"/>
      <c r="Y33" s="2281"/>
      <c r="Z33" s="2281"/>
      <c r="AA33" s="2281"/>
      <c r="AB33" s="2281"/>
      <c r="AC33" s="337"/>
      <c r="AD33" s="2281" t="str">
        <f>IF(TITLE_NUMBER_PR_CHANGE="",IF(TITLE_NUMBER_PR="","",TITLE_NUMBER_PR),TITLE_NUMBER_PR_CHANGE)</f>
        <v/>
      </c>
      <c r="AE33" s="2281"/>
      <c r="AF33" s="2281"/>
      <c r="AG33" s="2281"/>
      <c r="AH33" s="2281"/>
      <c r="AI33" s="2281"/>
      <c r="AJ33" s="2281"/>
      <c r="AK33" s="2281"/>
      <c r="AL33" s="2281"/>
      <c r="AM33" s="2281"/>
      <c r="AN33" s="2281"/>
      <c r="AO33" s="2281"/>
      <c r="AP33" s="2281"/>
      <c r="AQ33" s="2281"/>
      <c r="AR33" s="2281"/>
      <c r="AS33" s="2281"/>
      <c r="AT33" s="2281"/>
      <c r="AU33" s="2281"/>
      <c r="AV33" s="2281"/>
      <c r="AW33" s="2281"/>
      <c r="AX33" s="2281"/>
      <c r="AY33" s="2281"/>
      <c r="AZ33" s="2281"/>
      <c r="BA33" s="337"/>
      <c r="BB33" s="337"/>
      <c r="BC33" s="291"/>
      <c r="BD33" s="379"/>
      <c r="BE33" s="379"/>
      <c r="BF33" s="379"/>
      <c r="BG33" s="379"/>
      <c r="BH33" s="379"/>
      <c r="BI33" s="429">
        <v>0</v>
      </c>
    </row>
    <row s="1861" customFormat="1" customHeight="1" ht="18.75" hidden="1">
      <c r="A34" s="1379"/>
      <c r="B34" s="1379"/>
      <c r="C34" s="1379"/>
      <c r="D34" s="1379"/>
      <c r="E34" s="1379"/>
      <c r="F34" s="1379"/>
      <c r="G34" s="1379"/>
      <c r="H34" s="1379"/>
      <c r="I34" s="1379"/>
      <c r="J34" s="1379"/>
      <c r="K34" s="1379"/>
      <c r="L34" s="1380"/>
      <c r="M34" s="1379"/>
      <c r="N34" s="1379"/>
      <c r="O34" s="1379"/>
      <c r="P34" s="1379"/>
      <c r="Q34" s="1379"/>
      <c r="S34" s="2280" t="s">
        <v>43</v>
      </c>
      <c r="T34" s="2280"/>
      <c r="U34" s="1383"/>
      <c r="V34" s="2281" t="str">
        <f>IF(TITLE_IST_PUB_CHANGE="",IF(TITLE_IST_PUB="","",TITLE_IST_PUB),TITLE_IST_PUB_CHANGE)</f>
        <v/>
      </c>
      <c r="W34" s="2281"/>
      <c r="X34" s="2281"/>
      <c r="Y34" s="2281"/>
      <c r="Z34" s="2281"/>
      <c r="AA34" s="2281"/>
      <c r="AB34" s="2281"/>
      <c r="AC34" s="337"/>
      <c r="AD34" s="2281" t="str">
        <f>IF(TITLE_IST_PUB_CHANGE="",IF(TITLE_IST_PUB="","",TITLE_IST_PUB),TITLE_IST_PUB_CHANGE)</f>
        <v/>
      </c>
      <c r="AE34" s="2281"/>
      <c r="AF34" s="2281"/>
      <c r="AG34" s="2281"/>
      <c r="AH34" s="2281"/>
      <c r="AI34" s="2281"/>
      <c r="AJ34" s="2281"/>
      <c r="AK34" s="2281"/>
      <c r="AL34" s="2281"/>
      <c r="AM34" s="2281"/>
      <c r="AN34" s="2281"/>
      <c r="AO34" s="2281"/>
      <c r="AP34" s="2281"/>
      <c r="AQ34" s="2281"/>
      <c r="AR34" s="2281"/>
      <c r="AS34" s="2281"/>
      <c r="AT34" s="2281"/>
      <c r="AU34" s="2281"/>
      <c r="AV34" s="2281"/>
      <c r="AW34" s="2281"/>
      <c r="AX34" s="2281"/>
      <c r="AY34" s="2281"/>
      <c r="AZ34" s="2281"/>
      <c r="BA34" s="337"/>
      <c r="BB34" s="337"/>
      <c r="BC34" s="291"/>
      <c r="BD34" s="379"/>
      <c r="BE34" s="379"/>
      <c r="BF34" s="379"/>
      <c r="BG34" s="379"/>
      <c r="BH34" s="379"/>
      <c r="BI34" s="429">
        <v>0</v>
      </c>
    </row>
    <row customHeight="1" ht="14.25" hidden="1">
      <c r="Q35" s="302"/>
      <c r="R35" s="387"/>
      <c r="S35" s="1286"/>
      <c r="T35" s="468"/>
      <c r="U35" s="374"/>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520"/>
      <c r="BI35" s="1166">
        <v>0</v>
      </c>
    </row>
    <row s="1861" customFormat="1" customHeight="1" ht="18.75" hidden="1">
      <c r="A36" s="1379"/>
      <c r="B36" s="1379"/>
      <c r="C36" s="1379"/>
      <c r="D36" s="1379"/>
      <c r="E36" s="1379"/>
      <c r="F36" s="1379"/>
      <c r="G36" s="1379"/>
      <c r="H36" s="1379"/>
      <c r="I36" s="1379"/>
      <c r="J36" s="1379"/>
      <c r="K36" s="1379"/>
      <c r="L36" s="1380"/>
      <c r="M36" s="1379"/>
      <c r="N36" s="1379"/>
      <c r="O36" s="1379"/>
      <c r="P36" s="1379"/>
      <c r="Q36" s="1379"/>
      <c r="S36" s="2280" t="str">
        <f>"Дата подачи заявления об "&amp;IF(TITLE_DATE_PR_CHANGE="","утверждении","изменении")&amp;" тарифов"</f>
        <v>Дата подачи заявления об утверждении тарифов</v>
      </c>
      <c r="T36" s="2280"/>
      <c r="U36" s="1383"/>
      <c r="V36" s="2294" t="str">
        <f>IF(TITLE_DATE_PR_CHANGE="",IF(TITLE_DATE_PR="","",TITLE_DATE_PR),TITLE_DATE_PR_CHANGE)</f>
        <v/>
      </c>
      <c r="W36" s="2294"/>
      <c r="X36" s="2294"/>
      <c r="Y36" s="2294"/>
      <c r="Z36" s="2294"/>
      <c r="AA36" s="2294"/>
      <c r="AB36" s="2294"/>
      <c r="AC36" s="337"/>
      <c r="AD36" s="2294" t="str">
        <f>IF(TITLE_DATE_PR_CHANGE="",IF(TITLE_DATE_PR="","",TITLE_DATE_PR),TITLE_DATE_PR_CHANGE)</f>
        <v/>
      </c>
      <c r="AE36" s="2294"/>
      <c r="AF36" s="2294"/>
      <c r="AG36" s="2294"/>
      <c r="AH36" s="2294"/>
      <c r="AI36" s="2294"/>
      <c r="AJ36" s="2294"/>
      <c r="AK36" s="2294"/>
      <c r="AL36" s="2294"/>
      <c r="AM36" s="2294"/>
      <c r="AN36" s="2294"/>
      <c r="AO36" s="2294"/>
      <c r="AP36" s="2294"/>
      <c r="AQ36" s="2294"/>
      <c r="AR36" s="2294"/>
      <c r="AS36" s="2294"/>
      <c r="AT36" s="2294"/>
      <c r="AU36" s="2294"/>
      <c r="AV36" s="2294"/>
      <c r="AW36" s="2294"/>
      <c r="AX36" s="2294"/>
      <c r="AY36" s="2294"/>
      <c r="AZ36" s="2294"/>
      <c r="BA36" s="337"/>
      <c r="BB36" s="337"/>
      <c r="BC36" s="291"/>
      <c r="BD36" s="379"/>
      <c r="BE36" s="379"/>
      <c r="BF36" s="379"/>
      <c r="BG36" s="379"/>
      <c r="BH36" s="379"/>
      <c r="BI36" s="429">
        <v>0</v>
      </c>
    </row>
    <row s="1861" customFormat="1" customHeight="1" ht="18.75" hidden="1">
      <c r="A37" s="1379"/>
      <c r="B37" s="1379"/>
      <c r="C37" s="1379"/>
      <c r="D37" s="1379"/>
      <c r="E37" s="1379"/>
      <c r="F37" s="1379"/>
      <c r="G37" s="1379"/>
      <c r="H37" s="1379"/>
      <c r="I37" s="1379"/>
      <c r="J37" s="1379"/>
      <c r="K37" s="1379"/>
      <c r="L37" s="1380"/>
      <c r="M37" s="1379"/>
      <c r="N37" s="1379"/>
      <c r="O37" s="1379"/>
      <c r="P37" s="1379"/>
      <c r="Q37" s="1379"/>
      <c r="S37" s="2280" t="str">
        <f>"Номер подачи заявления об "&amp;IF(TITLE_DATE_PR_CHANGE="","утверждении","изменении")&amp;" тарифов"</f>
        <v>Номер подачи заявления об утверждении тарифов</v>
      </c>
      <c r="T37" s="2280"/>
      <c r="U37" s="1383"/>
      <c r="V37" s="2281" t="str">
        <f>IF(TITLE_NUMBER_PR_CHANGE="",IF(TITLE_NUMBER_PR="","",TITLE_NUMBER_PR),TITLE_NUMBER_PR_CHANGE)</f>
        <v/>
      </c>
      <c r="W37" s="2281"/>
      <c r="X37" s="2281"/>
      <c r="Y37" s="2281"/>
      <c r="Z37" s="2281"/>
      <c r="AA37" s="2281"/>
      <c r="AB37" s="2281"/>
      <c r="AC37" s="337"/>
      <c r="AD37" s="2281" t="str">
        <f>IF(TITLE_NUMBER_PR_CHANGE="",IF(TITLE_NUMBER_PR="","",TITLE_NUMBER_PR),TITLE_NUMBER_PR_CHANGE)</f>
        <v/>
      </c>
      <c r="AE37" s="2281"/>
      <c r="AF37" s="2281"/>
      <c r="AG37" s="2281"/>
      <c r="AH37" s="2281"/>
      <c r="AI37" s="2281"/>
      <c r="AJ37" s="2281"/>
      <c r="AK37" s="2281"/>
      <c r="AL37" s="2281"/>
      <c r="AM37" s="2281"/>
      <c r="AN37" s="2281"/>
      <c r="AO37" s="2281"/>
      <c r="AP37" s="2281"/>
      <c r="AQ37" s="2281"/>
      <c r="AR37" s="2281"/>
      <c r="AS37" s="2281"/>
      <c r="AT37" s="2281"/>
      <c r="AU37" s="2281"/>
      <c r="AV37" s="2281"/>
      <c r="AW37" s="2281"/>
      <c r="AX37" s="2281"/>
      <c r="AY37" s="2281"/>
      <c r="AZ37" s="2281"/>
      <c r="BA37" s="337"/>
      <c r="BB37" s="337"/>
      <c r="BC37" s="291"/>
      <c r="BD37" s="379"/>
      <c r="BE37" s="379"/>
      <c r="BF37" s="379"/>
      <c r="BG37" s="379"/>
      <c r="BH37" s="379"/>
      <c r="BI37" s="429">
        <v>0</v>
      </c>
    </row>
    <row s="1861" customFormat="1" customHeight="1" ht="0">
      <c r="A38" s="1379"/>
      <c r="B38" s="1379"/>
      <c r="C38" s="1379"/>
      <c r="D38" s="1379"/>
      <c r="E38" s="1379"/>
      <c r="F38" s="1379"/>
      <c r="G38" s="1379"/>
      <c r="H38" s="1379"/>
      <c r="I38" s="1379"/>
      <c r="J38" s="1379"/>
      <c r="K38" s="1379"/>
      <c r="L38" s="1380"/>
      <c r="M38" s="1379"/>
      <c r="N38" s="1379"/>
      <c r="O38" s="1379"/>
      <c r="P38" s="1379"/>
      <c r="Q38" s="1379"/>
      <c r="S38" s="334"/>
      <c r="T38" s="334"/>
      <c r="U38" s="1499"/>
      <c r="V38" s="337"/>
      <c r="W38" s="337"/>
      <c r="X38" s="337"/>
      <c r="Y38" s="337"/>
      <c r="Z38" s="337"/>
      <c r="AA38" s="337"/>
      <c r="AB38" s="337"/>
      <c r="AC38" s="289" t="s">
        <v>437</v>
      </c>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289" t="s">
        <v>437</v>
      </c>
      <c r="BD38" s="379"/>
      <c r="BE38" s="379"/>
      <c r="BF38" s="379"/>
      <c r="BG38" s="379"/>
      <c r="BH38" s="379"/>
      <c r="BI38" s="429">
        <v>0</v>
      </c>
    </row>
    <row customHeight="1" ht="14.699999999999998">
      <c r="Q39" s="302"/>
      <c r="R39" s="387"/>
      <c r="S39" s="1286"/>
      <c r="T39" s="374"/>
      <c r="U39" s="1255"/>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1166">
        <v>14</v>
      </c>
    </row>
    <row customHeight="1" ht="14.699999999999998">
      <c r="Q40" s="302"/>
      <c r="R40" s="387"/>
      <c r="S40" s="2157" t="s">
        <v>314</v>
      </c>
      <c r="T40" s="2157"/>
      <c r="U40" s="2157"/>
      <c r="V40" s="2157"/>
      <c r="W40" s="2157"/>
      <c r="X40" s="2157"/>
      <c r="Y40" s="2157"/>
      <c r="Z40" s="2157"/>
      <c r="AA40" s="2157"/>
      <c r="AB40" s="2157"/>
      <c r="AC40" s="2157"/>
      <c r="AD40" s="2157"/>
      <c r="AE40" s="2157"/>
      <c r="AF40" s="2157"/>
      <c r="AG40" s="2157"/>
      <c r="AH40" s="2157"/>
      <c r="AI40" s="2157"/>
      <c r="AJ40" s="2157"/>
      <c r="AK40" s="2157"/>
      <c r="AL40" s="2157"/>
      <c r="AM40" s="2157"/>
      <c r="AN40" s="2157"/>
      <c r="AO40" s="2157"/>
      <c r="AP40" s="2157"/>
      <c r="AQ40" s="2157"/>
      <c r="AR40" s="2157"/>
      <c r="AS40" s="2157"/>
      <c r="AT40" s="2157"/>
      <c r="AU40" s="2157"/>
      <c r="AV40" s="2157"/>
      <c r="AW40" s="2157"/>
      <c r="AX40" s="2157"/>
      <c r="AY40" s="2157"/>
      <c r="AZ40" s="2157"/>
      <c r="BA40" s="2157"/>
      <c r="BB40" s="2157"/>
      <c r="BC40" s="2157" t="s">
        <v>315</v>
      </c>
      <c r="BI40" s="1166">
        <v>14</v>
      </c>
    </row>
    <row customHeight="1" ht="14.699999999999998">
      <c r="Q41" s="302"/>
      <c r="R41" s="387"/>
      <c r="S41" s="2303" t="s">
        <v>89</v>
      </c>
      <c r="T41" s="2239" t="s">
        <v>519</v>
      </c>
      <c r="U41" s="312"/>
      <c r="V41" s="2304" t="s">
        <v>439</v>
      </c>
      <c r="W41" s="2305"/>
      <c r="X41" s="2305"/>
      <c r="Y41" s="2305"/>
      <c r="Z41" s="2305"/>
      <c r="AA41" s="2305"/>
      <c r="AB41" s="2306"/>
      <c r="AC41" s="2307" t="s">
        <v>440</v>
      </c>
      <c r="AD41" s="2358" t="s">
        <v>520</v>
      </c>
      <c r="AE41" s="2321"/>
      <c r="AF41" s="2321"/>
      <c r="AG41" s="2359"/>
      <c r="AH41" s="2358" t="s">
        <v>521</v>
      </c>
      <c r="AI41" s="2321"/>
      <c r="AJ41" s="2321"/>
      <c r="AK41" s="2359"/>
      <c r="AL41" s="2358" t="s">
        <v>522</v>
      </c>
      <c r="AM41" s="2321"/>
      <c r="AN41" s="2321"/>
      <c r="AO41" s="2359"/>
      <c r="AP41" s="2358" t="s">
        <v>523</v>
      </c>
      <c r="AQ41" s="2321"/>
      <c r="AR41" s="2321"/>
      <c r="AS41" s="2359"/>
      <c r="AT41" s="2304" t="s">
        <v>439</v>
      </c>
      <c r="AU41" s="2305"/>
      <c r="AV41" s="2305"/>
      <c r="AW41" s="2305"/>
      <c r="AX41" s="2305"/>
      <c r="AY41" s="2305"/>
      <c r="AZ41" s="2306"/>
      <c r="BA41" s="2307" t="s">
        <v>440</v>
      </c>
      <c r="BB41" s="2310" t="s">
        <v>442</v>
      </c>
      <c r="BC41" s="2157"/>
      <c r="BI41" s="1166">
        <v>14</v>
      </c>
    </row>
    <row customHeight="1" ht="35.699999999999996">
      <c r="Q42" s="302"/>
      <c r="R42" s="387"/>
      <c r="S42" s="2303"/>
      <c r="T42" s="2239"/>
      <c r="U42" s="1042"/>
      <c r="V42" s="2222" t="s">
        <v>524</v>
      </c>
      <c r="W42" s="2223"/>
      <c r="X42" s="2222" t="s">
        <v>525</v>
      </c>
      <c r="Y42" s="2223"/>
      <c r="Z42" s="2324" t="s">
        <v>526</v>
      </c>
      <c r="AA42" s="2343"/>
      <c r="AB42" s="2344"/>
      <c r="AC42" s="2308"/>
      <c r="AD42" s="2360"/>
      <c r="AE42" s="2361"/>
      <c r="AF42" s="2361"/>
      <c r="AG42" s="2362"/>
      <c r="AH42" s="2360"/>
      <c r="AI42" s="2361"/>
      <c r="AJ42" s="2361"/>
      <c r="AK42" s="2362"/>
      <c r="AL42" s="2360"/>
      <c r="AM42" s="2361"/>
      <c r="AN42" s="2361"/>
      <c r="AO42" s="2362"/>
      <c r="AP42" s="2360"/>
      <c r="AQ42" s="2361"/>
      <c r="AR42" s="2361"/>
      <c r="AS42" s="2362"/>
      <c r="AT42" s="2222" t="s">
        <v>524</v>
      </c>
      <c r="AU42" s="2223"/>
      <c r="AV42" s="2222" t="s">
        <v>525</v>
      </c>
      <c r="AW42" s="2223"/>
      <c r="AX42" s="2324" t="s">
        <v>526</v>
      </c>
      <c r="AY42" s="2343"/>
      <c r="AZ42" s="2344"/>
      <c r="BA42" s="2308"/>
      <c r="BB42" s="2311"/>
      <c r="BC42" s="2157"/>
      <c r="BI42" s="1166">
        <v>34</v>
      </c>
    </row>
    <row customHeight="1" ht="14.699999999999998">
      <c r="Q43" s="302"/>
      <c r="R43" s="387"/>
      <c r="S43" s="2303"/>
      <c r="T43" s="2239"/>
      <c r="U43" s="1042"/>
      <c r="V43" s="2230"/>
      <c r="W43" s="2231"/>
      <c r="X43" s="2230"/>
      <c r="Y43" s="2231"/>
      <c r="Z43" s="2325"/>
      <c r="AA43" s="2345"/>
      <c r="AB43" s="2346"/>
      <c r="AC43" s="2308"/>
      <c r="AD43" s="2360"/>
      <c r="AE43" s="2361"/>
      <c r="AF43" s="2361"/>
      <c r="AG43" s="2362"/>
      <c r="AH43" s="2360"/>
      <c r="AI43" s="2361"/>
      <c r="AJ43" s="2361"/>
      <c r="AK43" s="2362"/>
      <c r="AL43" s="2360"/>
      <c r="AM43" s="2361"/>
      <c r="AN43" s="2361"/>
      <c r="AO43" s="2362"/>
      <c r="AP43" s="2360"/>
      <c r="AQ43" s="2361"/>
      <c r="AR43" s="2361"/>
      <c r="AS43" s="2362"/>
      <c r="AT43" s="2230"/>
      <c r="AU43" s="2231"/>
      <c r="AV43" s="2230"/>
      <c r="AW43" s="2231"/>
      <c r="AX43" s="2325"/>
      <c r="AY43" s="2345"/>
      <c r="AZ43" s="2346"/>
      <c r="BA43" s="2308"/>
      <c r="BB43" s="2311"/>
      <c r="BC43" s="2157"/>
      <c r="BI43" s="1166">
        <v>14</v>
      </c>
    </row>
    <row customHeight="1" ht="14.699999999999998">
      <c r="A44" s="1381"/>
      <c r="B44" s="1381" t="s">
        <v>151</v>
      </c>
      <c r="C44" s="1381" t="s">
        <v>152</v>
      </c>
      <c r="D44" s="1381" t="s">
        <v>153</v>
      </c>
      <c r="E44" s="1375" t="s">
        <v>447</v>
      </c>
      <c r="F44" s="1375" t="s">
        <v>448</v>
      </c>
      <c r="G44" s="1375" t="s">
        <v>449</v>
      </c>
      <c r="H44" s="1375" t="s">
        <v>450</v>
      </c>
      <c r="I44" s="1375" t="s">
        <v>451</v>
      </c>
      <c r="J44" s="1375" t="s">
        <v>452</v>
      </c>
      <c r="K44" s="1375" t="s">
        <v>453</v>
      </c>
      <c r="L44" s="1375" t="s">
        <v>432</v>
      </c>
      <c r="Q44" s="302"/>
      <c r="R44" s="387"/>
      <c r="S44" s="2303"/>
      <c r="T44" s="2239"/>
      <c r="U44" s="313"/>
      <c r="V44" s="1490" t="s">
        <v>488</v>
      </c>
      <c r="W44" s="1490" t="s">
        <v>489</v>
      </c>
      <c r="X44" s="1490" t="s">
        <v>488</v>
      </c>
      <c r="Y44" s="1490" t="s">
        <v>489</v>
      </c>
      <c r="Z44" s="1500" t="s">
        <v>456</v>
      </c>
      <c r="AA44" s="2300" t="s">
        <v>457</v>
      </c>
      <c r="AB44" s="2301"/>
      <c r="AC44" s="2309"/>
      <c r="AD44" s="2363"/>
      <c r="AE44" s="2364"/>
      <c r="AF44" s="2364"/>
      <c r="AG44" s="2365"/>
      <c r="AH44" s="2363"/>
      <c r="AI44" s="2364"/>
      <c r="AJ44" s="2364"/>
      <c r="AK44" s="2365"/>
      <c r="AL44" s="2363"/>
      <c r="AM44" s="2364"/>
      <c r="AN44" s="2364"/>
      <c r="AO44" s="2365"/>
      <c r="AP44" s="2363"/>
      <c r="AQ44" s="2364"/>
      <c r="AR44" s="2364"/>
      <c r="AS44" s="2365"/>
      <c r="AT44" s="1490" t="s">
        <v>488</v>
      </c>
      <c r="AU44" s="1490" t="s">
        <v>489</v>
      </c>
      <c r="AV44" s="1490" t="s">
        <v>488</v>
      </c>
      <c r="AW44" s="1490" t="s">
        <v>489</v>
      </c>
      <c r="AX44" s="1500" t="s">
        <v>456</v>
      </c>
      <c r="AY44" s="2300" t="s">
        <v>457</v>
      </c>
      <c r="AZ44" s="2301"/>
      <c r="BA44" s="2309"/>
      <c r="BB44" s="2312"/>
      <c r="BC44" s="2157"/>
      <c r="BI44" s="1166">
        <v>14</v>
      </c>
    </row>
    <row s="1652" customFormat="1" customHeight="1" ht="0">
      <c r="A45" s="1381"/>
      <c r="B45" s="1381"/>
      <c r="C45" s="1381"/>
      <c r="D45" s="1381"/>
      <c r="E45" s="1381"/>
      <c r="F45" s="1381"/>
      <c r="G45" s="1381"/>
      <c r="H45" s="1381"/>
      <c r="I45" s="1381"/>
      <c r="J45" s="1381"/>
      <c r="K45" s="1381"/>
      <c r="L45" s="1375"/>
      <c r="M45" s="1373"/>
      <c r="N45" s="1373"/>
      <c r="O45" s="1373"/>
      <c r="P45" s="521"/>
      <c r="Q45" s="1265"/>
      <c r="R45" s="1265">
        <v>1</v>
      </c>
      <c r="S45" s="1288" t="s">
        <v>120</v>
      </c>
      <c r="T45" s="1266" t="s">
        <v>104</v>
      </c>
      <c r="U45" s="1256" t="str">
        <f>OFFSET(U45,0,-1)</f>
        <v>2</v>
      </c>
      <c r="V45" s="1493">
        <f>OFFSET(V45,0,-1)+1</f>
        <v>3</v>
      </c>
      <c r="W45" s="1493">
        <f>OFFSET(W45,0,-1)+1</f>
        <v>4</v>
      </c>
      <c r="X45" s="1493">
        <f>OFFSET(X45,0,-1)+1</f>
        <v>5</v>
      </c>
      <c r="Y45" s="1493">
        <f>OFFSET(Y45,0,-1)+1</f>
        <v>6</v>
      </c>
      <c r="Z45" s="1493">
        <f>OFFSET(Z45,0,-1)+1</f>
        <v>7</v>
      </c>
      <c r="AA45" s="2302">
        <f>OFFSET(AA45,0,-1)+1</f>
        <v>8</v>
      </c>
      <c r="AB45" s="2302"/>
      <c r="AC45" s="1493">
        <f>OFFSET(AC45,0,-2)+1</f>
        <v>9</v>
      </c>
      <c r="AD45" s="1493">
        <f>OFFSET(AD45,0,-1)+1</f>
        <v>10</v>
      </c>
      <c r="AE45" s="1493"/>
      <c r="AF45" s="1493"/>
      <c r="AG45" s="1493"/>
      <c r="AH45" s="1493"/>
      <c r="AI45" s="1493"/>
      <c r="AJ45" s="1493"/>
      <c r="AK45" s="1493"/>
      <c r="AL45" s="1493"/>
      <c r="AM45" s="1493"/>
      <c r="AN45" s="1493"/>
      <c r="AO45" s="1493"/>
      <c r="AP45" s="1493"/>
      <c r="AQ45" s="1493"/>
      <c r="AR45" s="1493"/>
      <c r="AS45" s="1493"/>
      <c r="AT45" s="1493"/>
      <c r="AU45" s="1493"/>
      <c r="AV45" s="1493"/>
      <c r="AW45" s="1493">
        <f>OFFSET(AW45,0,-1)+1</f>
        <v>1</v>
      </c>
      <c r="AX45" s="1493">
        <f>OFFSET(AX45,0,-1)+1</f>
        <v>2</v>
      </c>
      <c r="AY45" s="2302">
        <f>OFFSET(AY45,0,-1)+1</f>
        <v>3</v>
      </c>
      <c r="AZ45" s="2302"/>
      <c r="BA45" s="1493">
        <f>OFFSET(BA45,0,-2)+1</f>
        <v>4</v>
      </c>
      <c r="BB45" s="1256">
        <f>OFFSET(BB45,0,-1)</f>
        <v>4</v>
      </c>
      <c r="BC45" s="1493">
        <f>OFFSET(BC45,0,-1)+1</f>
        <v>5</v>
      </c>
      <c r="BD45" s="522"/>
      <c r="BE45" s="522"/>
      <c r="BF45" s="522"/>
      <c r="BG45" s="522"/>
      <c r="BH45" s="522"/>
      <c r="BI45" s="507">
        <v>0</v>
      </c>
    </row>
    <row customHeight="1" ht="22.049999999999997">
      <c r="A46" s="1374" t="s">
        <v>275</v>
      </c>
      <c r="B46" s="1374"/>
      <c r="C46" s="1374"/>
      <c r="D46" s="1374"/>
      <c r="E46" s="2288">
        <v>1</v>
      </c>
      <c r="F46" s="1374"/>
      <c r="G46" s="1374"/>
      <c r="H46" s="1374"/>
      <c r="I46" s="1374"/>
      <c r="J46" s="1374"/>
      <c r="K46" s="1374"/>
      <c r="L46" s="1375"/>
      <c r="M46" s="1376"/>
      <c r="N46" s="1376"/>
      <c r="O46" s="1376"/>
      <c r="P46" s="1420"/>
      <c r="Q46" s="884"/>
      <c r="R46" s="366"/>
      <c r="S46" s="1504">
        <f>INDEX(PT_DIFFERENTIATION_NUM_NTAR,MATCH(A46,PT_DIFFERENTIATION_NTAR_ID,0))</f>
        <v>0</v>
      </c>
      <c r="T46" s="309" t="s">
        <v>139</v>
      </c>
      <c r="U46" s="311"/>
      <c r="V46" s="2273"/>
      <c r="W46" s="2273"/>
      <c r="X46" s="2273"/>
      <c r="Y46" s="2273"/>
      <c r="Z46" s="2273"/>
      <c r="AA46" s="2273"/>
      <c r="AB46" s="2273"/>
      <c r="AC46" s="2274"/>
      <c r="AD46" s="2272" t="str">
        <f>INDEX(PT_DIFFERENTIATION_NTAR,MATCH(A46,PT_DIFFERENTIATION_NTAR_ID,0))</f>
        <v/>
      </c>
      <c r="AE46" s="2273"/>
      <c r="AF46" s="2273"/>
      <c r="AG46" s="2273"/>
      <c r="AH46" s="2273"/>
      <c r="AI46" s="2273"/>
      <c r="AJ46" s="2273"/>
      <c r="AK46" s="2273"/>
      <c r="AL46" s="2273"/>
      <c r="AM46" s="2273"/>
      <c r="AN46" s="2273"/>
      <c r="AO46" s="2273"/>
      <c r="AP46" s="2273"/>
      <c r="AQ46" s="2273"/>
      <c r="AR46" s="2273"/>
      <c r="AS46" s="2273"/>
      <c r="AT46" s="2273"/>
      <c r="AU46" s="2273"/>
      <c r="AV46" s="2273"/>
      <c r="AW46" s="2273"/>
      <c r="AX46" s="2273"/>
      <c r="AY46" s="2273"/>
      <c r="AZ46" s="2273"/>
      <c r="BA46" s="2273"/>
      <c r="BB46" s="2274"/>
      <c r="BC46" s="12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1"/>
      <c r="BF46" s="511" t="str">
        <f>IF(T46="","",T46)</f>
        <v>Наименование тарифа</v>
      </c>
      <c r="BG46" s="511"/>
      <c r="BH46" s="511"/>
      <c r="BI46" s="1166">
        <v>21</v>
      </c>
    </row>
    <row customHeight="1" ht="22.049999999999997">
      <c r="A47" s="1374" t="s">
        <v>275</v>
      </c>
      <c r="B47" s="1374" t="s">
        <v>276</v>
      </c>
      <c r="C47" s="1374"/>
      <c r="D47" s="1374"/>
      <c r="E47" s="2289"/>
      <c r="F47" s="2288">
        <v>1</v>
      </c>
      <c r="G47" s="1374"/>
      <c r="H47" s="1374"/>
      <c r="I47" s="1374"/>
      <c r="J47" s="1374"/>
      <c r="K47" s="1374"/>
      <c r="L47" s="1375"/>
      <c r="M47" s="1376"/>
      <c r="N47" s="1376"/>
      <c r="O47" s="1376"/>
      <c r="P47" s="1421"/>
      <c r="Q47" s="1422"/>
      <c r="R47" s="364"/>
      <c r="S47" s="1504" t="str">
        <f>INDEX(PT_DIFFERENTIATION_NUM_TER,MATCH(B47,PT_DIFFERENTIATION_TER_ID,0))</f>
        <v>.</v>
      </c>
      <c r="T47" s="319" t="s">
        <v>411</v>
      </c>
      <c r="U47" s="311"/>
      <c r="V47" s="2273"/>
      <c r="W47" s="2273"/>
      <c r="X47" s="2273"/>
      <c r="Y47" s="2273"/>
      <c r="Z47" s="2273"/>
      <c r="AA47" s="2273"/>
      <c r="AB47" s="2273"/>
      <c r="AC47" s="2274"/>
      <c r="AD47" s="2272" t="str">
        <f>INDEX(PT_DIFFERENTIATION_TER,MATCH(B47,PT_DIFFERENTIATION_TER_ID,0))</f>
        <v/>
      </c>
      <c r="AE47" s="2273"/>
      <c r="AF47" s="2273"/>
      <c r="AG47" s="2273"/>
      <c r="AH47" s="2273"/>
      <c r="AI47" s="2273"/>
      <c r="AJ47" s="2273"/>
      <c r="AK47" s="2273"/>
      <c r="AL47" s="2273"/>
      <c r="AM47" s="2273"/>
      <c r="AN47" s="2273"/>
      <c r="AO47" s="2273"/>
      <c r="AP47" s="2273"/>
      <c r="AQ47" s="2273"/>
      <c r="AR47" s="2273"/>
      <c r="AS47" s="2273"/>
      <c r="AT47" s="2273"/>
      <c r="AU47" s="2273"/>
      <c r="AV47" s="2273"/>
      <c r="AW47" s="2273"/>
      <c r="AX47" s="2273"/>
      <c r="AY47" s="2273"/>
      <c r="AZ47" s="2273"/>
      <c r="BA47" s="2273"/>
      <c r="BB47" s="2274"/>
      <c r="BC47" s="1269" t="s">
        <v>412</v>
      </c>
      <c r="BE47" s="511"/>
      <c r="BF47" s="511" t="str">
        <f>IF(T47="","",T47)</f>
        <v>Территория действия тарифа</v>
      </c>
      <c r="BG47" s="511"/>
      <c r="BH47" s="511"/>
      <c r="BI47" s="1166">
        <v>21</v>
      </c>
    </row>
    <row customHeight="1" ht="35.699999999999996">
      <c r="A48" s="1374" t="s">
        <v>275</v>
      </c>
      <c r="B48" s="1374" t="s">
        <v>276</v>
      </c>
      <c r="C48" s="1374" t="s">
        <v>277</v>
      </c>
      <c r="D48" s="1374"/>
      <c r="E48" s="2289"/>
      <c r="F48" s="2289"/>
      <c r="G48" s="2288">
        <v>1</v>
      </c>
      <c r="H48" s="1374"/>
      <c r="I48" s="1374"/>
      <c r="J48" s="1374"/>
      <c r="K48" s="1374"/>
      <c r="L48" s="1375"/>
      <c r="M48" s="1376"/>
      <c r="N48" s="1376"/>
      <c r="O48" s="1376"/>
      <c r="P48" s="1423"/>
      <c r="Q48" s="1422"/>
      <c r="R48" s="364"/>
      <c r="S48" s="1504" t="str">
        <f>INDEX(PT_DIFFERENTIATION_NUM_CS,MATCH(C48,PT_DIFFERENTIATION_CS_ID,0))</f>
        <v>..</v>
      </c>
      <c r="T48" s="320" t="s">
        <v>542</v>
      </c>
      <c r="U48" s="311"/>
      <c r="V48" s="2273"/>
      <c r="W48" s="2273"/>
      <c r="X48" s="2273"/>
      <c r="Y48" s="2273"/>
      <c r="Z48" s="2273"/>
      <c r="AA48" s="2273"/>
      <c r="AB48" s="2273"/>
      <c r="AC48" s="2274"/>
      <c r="AD48" s="2272" t="str">
        <f>INDEX(PT_DIFFERENTIATION_CS,MATCH(C48,PT_DIFFERENTIATION_CS_ID,0))</f>
        <v/>
      </c>
      <c r="AE48" s="2273"/>
      <c r="AF48" s="2273"/>
      <c r="AG48" s="2273"/>
      <c r="AH48" s="2273"/>
      <c r="AI48" s="2273"/>
      <c r="AJ48" s="2273"/>
      <c r="AK48" s="2273"/>
      <c r="AL48" s="2273"/>
      <c r="AM48" s="2273"/>
      <c r="AN48" s="2273"/>
      <c r="AO48" s="2273"/>
      <c r="AP48" s="2273"/>
      <c r="AQ48" s="2273"/>
      <c r="AR48" s="2273"/>
      <c r="AS48" s="2273"/>
      <c r="AT48" s="2273"/>
      <c r="AU48" s="2273"/>
      <c r="AV48" s="2273"/>
      <c r="AW48" s="2273"/>
      <c r="AX48" s="2273"/>
      <c r="AY48" s="2273"/>
      <c r="AZ48" s="2273"/>
      <c r="BA48" s="2273"/>
      <c r="BB48" s="2274"/>
      <c r="BC48" s="1269" t="s">
        <v>543</v>
      </c>
      <c r="BE48" s="511"/>
      <c r="BF48" s="511" t="str">
        <f>IF(T48="","",T48)</f>
        <v>Наименование централизованной системы горячего водоснабжения</v>
      </c>
      <c r="BG48" s="511"/>
      <c r="BH48" s="511"/>
      <c r="BI48" s="1166">
        <v>34</v>
      </c>
    </row>
    <row s="1653" customFormat="1" customHeight="1" ht="0">
      <c r="A49" s="1354" t="s">
        <v>275</v>
      </c>
      <c r="B49" s="1354" t="s">
        <v>276</v>
      </c>
      <c r="C49" s="1354" t="s">
        <v>277</v>
      </c>
      <c r="D49" s="1354" t="s">
        <v>556</v>
      </c>
      <c r="E49" s="2289"/>
      <c r="F49" s="2289"/>
      <c r="G49" s="2289"/>
      <c r="H49" s="2288">
        <v>1</v>
      </c>
      <c r="I49" s="1354"/>
      <c r="J49" s="1354"/>
      <c r="K49" s="1354"/>
      <c r="L49" s="1357"/>
      <c r="M49" s="1326"/>
      <c r="N49" s="1326"/>
      <c r="O49" s="1326"/>
      <c r="P49" s="1508"/>
      <c r="Q49" s="1509"/>
      <c r="R49" s="368"/>
      <c r="S49" s="1053"/>
      <c r="T49" s="1510"/>
      <c r="U49" s="1395"/>
      <c r="V49" s="2327"/>
      <c r="W49" s="2327"/>
      <c r="X49" s="2327"/>
      <c r="Y49" s="2327"/>
      <c r="Z49" s="2327"/>
      <c r="AA49" s="2327"/>
      <c r="AB49" s="2327"/>
      <c r="AC49" s="2328"/>
      <c r="AD49" s="2326"/>
      <c r="AE49" s="2327"/>
      <c r="AF49" s="2327"/>
      <c r="AG49" s="2327"/>
      <c r="AH49" s="2327"/>
      <c r="AI49" s="2327"/>
      <c r="AJ49" s="2327"/>
      <c r="AK49" s="2327"/>
      <c r="AL49" s="2327"/>
      <c r="AM49" s="2327"/>
      <c r="AN49" s="2327"/>
      <c r="AO49" s="2327"/>
      <c r="AP49" s="2327"/>
      <c r="AQ49" s="2327"/>
      <c r="AR49" s="2327"/>
      <c r="AS49" s="2327"/>
      <c r="AT49" s="2327"/>
      <c r="AU49" s="2327"/>
      <c r="AV49" s="2327"/>
      <c r="AW49" s="2327"/>
      <c r="AX49" s="2327"/>
      <c r="AY49" s="2327"/>
      <c r="AZ49" s="2327"/>
      <c r="BA49" s="2327"/>
      <c r="BB49" s="2328"/>
      <c r="BC49" s="1396" t="s">
        <v>416</v>
      </c>
      <c r="BE49" s="511"/>
      <c r="BF49" s="511" t="str">
        <f>IF(T49="","",T49)</f>
        <v/>
      </c>
      <c r="BG49" s="511"/>
      <c r="BH49" s="511"/>
      <c r="BI49" s="522">
        <v>0</v>
      </c>
    </row>
    <row s="1653" customFormat="1" customHeight="1" ht="0">
      <c r="A50" s="1354" t="s">
        <v>275</v>
      </c>
      <c r="B50" s="1354" t="s">
        <v>276</v>
      </c>
      <c r="C50" s="1354" t="s">
        <v>277</v>
      </c>
      <c r="D50" s="1354" t="s">
        <v>556</v>
      </c>
      <c r="E50" s="2289"/>
      <c r="F50" s="2289"/>
      <c r="G50" s="2289"/>
      <c r="H50" s="2289"/>
      <c r="I50" s="2286" t="str">
        <f>S49&amp;".1"</f>
        <v>.1</v>
      </c>
      <c r="J50" s="1354"/>
      <c r="K50" s="1354"/>
      <c r="L50" s="1357" t="s">
        <v>417</v>
      </c>
      <c r="M50" s="521"/>
      <c r="N50" s="521"/>
      <c r="O50" s="521"/>
      <c r="P50" s="2287">
        <v>1</v>
      </c>
      <c r="Q50" s="1492"/>
      <c r="R50" s="367"/>
      <c r="S50" s="1053"/>
      <c r="T50" s="1394"/>
      <c r="U50" s="1395"/>
      <c r="V50" s="2327"/>
      <c r="W50" s="2327"/>
      <c r="X50" s="2327"/>
      <c r="Y50" s="2327"/>
      <c r="Z50" s="2327"/>
      <c r="AA50" s="2327"/>
      <c r="AB50" s="2327"/>
      <c r="AC50" s="2328"/>
      <c r="AD50" s="2326"/>
      <c r="AE50" s="2327"/>
      <c r="AF50" s="2327"/>
      <c r="AG50" s="2327"/>
      <c r="AH50" s="2327"/>
      <c r="AI50" s="2327"/>
      <c r="AJ50" s="2327"/>
      <c r="AK50" s="2327"/>
      <c r="AL50" s="2327"/>
      <c r="AM50" s="2327"/>
      <c r="AN50" s="2327"/>
      <c r="AO50" s="2327"/>
      <c r="AP50" s="2327"/>
      <c r="AQ50" s="2327"/>
      <c r="AR50" s="2327"/>
      <c r="AS50" s="2327"/>
      <c r="AT50" s="2327"/>
      <c r="AU50" s="2327"/>
      <c r="AV50" s="2327"/>
      <c r="AW50" s="2327"/>
      <c r="AX50" s="2327"/>
      <c r="AY50" s="2327"/>
      <c r="AZ50" s="2327"/>
      <c r="BA50" s="2327"/>
      <c r="BB50" s="2328"/>
      <c r="BC50" s="1396"/>
      <c r="BE50" s="511"/>
      <c r="BF50" s="511" t="str">
        <f>IF(T50="","",T50)</f>
        <v/>
      </c>
      <c r="BG50" s="511"/>
      <c r="BH50" s="511"/>
      <c r="BI50" s="522">
        <v>0</v>
      </c>
    </row>
    <row s="1653" customFormat="1" customHeight="1" ht="0">
      <c r="A51" s="1354" t="s">
        <v>275</v>
      </c>
      <c r="B51" s="1354" t="s">
        <v>276</v>
      </c>
      <c r="C51" s="1354" t="s">
        <v>277</v>
      </c>
      <c r="D51" s="1354" t="s">
        <v>556</v>
      </c>
      <c r="E51" s="2289"/>
      <c r="F51" s="2289"/>
      <c r="G51" s="2289"/>
      <c r="H51" s="2289"/>
      <c r="I51" s="2316"/>
      <c r="J51" s="2286" t="str">
        <f>S49&amp;".1"</f>
        <v>.1</v>
      </c>
      <c r="K51" s="1354"/>
      <c r="L51" s="1357"/>
      <c r="M51" s="521"/>
      <c r="N51" s="521"/>
      <c r="O51" s="521"/>
      <c r="P51" s="2287"/>
      <c r="Q51" s="2287">
        <v>1</v>
      </c>
      <c r="R51" s="368"/>
      <c r="S51" s="1053"/>
      <c r="T51" s="1410"/>
      <c r="U51" s="1395"/>
      <c r="V51" s="2327"/>
      <c r="W51" s="2327"/>
      <c r="X51" s="2327"/>
      <c r="Y51" s="2327"/>
      <c r="Z51" s="2327"/>
      <c r="AA51" s="2327"/>
      <c r="AB51" s="2327"/>
      <c r="AC51" s="2328"/>
      <c r="AD51" s="2326"/>
      <c r="AE51" s="2327"/>
      <c r="AF51" s="2327"/>
      <c r="AG51" s="2327"/>
      <c r="AH51" s="2327"/>
      <c r="AI51" s="2327"/>
      <c r="AJ51" s="2327"/>
      <c r="AK51" s="2327"/>
      <c r="AL51" s="2327"/>
      <c r="AM51" s="2327"/>
      <c r="AN51" s="2394"/>
      <c r="AO51" s="2394"/>
      <c r="AP51" s="2327"/>
      <c r="AQ51" s="2327"/>
      <c r="AR51" s="2327"/>
      <c r="AS51" s="2327"/>
      <c r="AT51" s="2327"/>
      <c r="AU51" s="2327"/>
      <c r="AV51" s="2327"/>
      <c r="AW51" s="2327"/>
      <c r="AX51" s="2327"/>
      <c r="AY51" s="2327"/>
      <c r="AZ51" s="2327"/>
      <c r="BA51" s="2327"/>
      <c r="BB51" s="2328"/>
      <c r="BC51" s="1396"/>
      <c r="BE51" s="511"/>
      <c r="BF51" s="511" t="str">
        <f>IF(T51="","",T51)</f>
        <v/>
      </c>
      <c r="BG51" s="511"/>
      <c r="BH51" s="511"/>
      <c r="BI51" s="522">
        <v>0</v>
      </c>
    </row>
    <row customHeight="1" ht="11.549999999999999">
      <c r="A52" s="1374" t="s">
        <v>275</v>
      </c>
      <c r="B52" s="1374" t="s">
        <v>276</v>
      </c>
      <c r="C52" s="1374" t="s">
        <v>277</v>
      </c>
      <c r="D52" s="1374" t="s">
        <v>556</v>
      </c>
      <c r="E52" s="2289"/>
      <c r="F52" s="2289"/>
      <c r="G52" s="2289"/>
      <c r="H52" s="2289"/>
      <c r="I52" s="2316"/>
      <c r="J52" s="2316"/>
      <c r="K52" s="2286" t="str">
        <f>S48&amp;".1"</f>
        <v>...1</v>
      </c>
      <c r="L52" s="1375"/>
      <c r="P52" s="2287"/>
      <c r="Q52" s="2287"/>
      <c r="R52" s="368">
        <v>1</v>
      </c>
      <c r="S52" s="2371" t="str">
        <f>$K52</f>
        <v>...1</v>
      </c>
      <c r="T52" s="2390"/>
      <c r="U52" s="311"/>
      <c r="V52" s="762"/>
      <c r="W52" s="1268"/>
      <c r="X52" s="762"/>
      <c r="Y52" s="1268"/>
      <c r="Z52" s="1744"/>
      <c r="AA52" s="1480" t="s">
        <v>63</v>
      </c>
      <c r="AB52" s="1744"/>
      <c r="AC52" s="1480" t="s">
        <v>63</v>
      </c>
      <c r="AD52" s="2215" t="s">
        <v>63</v>
      </c>
      <c r="AE52" s="2356"/>
      <c r="AF52" s="2235">
        <v>1</v>
      </c>
      <c r="AG52" s="2393"/>
      <c r="AH52" s="2137" t="s">
        <v>63</v>
      </c>
      <c r="AI52" s="2356"/>
      <c r="AJ52" s="2235">
        <v>1</v>
      </c>
      <c r="AK52" s="2357" t="s">
        <v>22</v>
      </c>
      <c r="AL52" s="2137" t="s">
        <v>63</v>
      </c>
      <c r="AM52" s="2222"/>
      <c r="AN52" s="2235">
        <v>1</v>
      </c>
      <c r="AO52" s="2387"/>
      <c r="AP52" s="2388" t="s">
        <v>63</v>
      </c>
      <c r="AQ52" s="322"/>
      <c r="AR52" s="1497">
        <v>1</v>
      </c>
      <c r="AS52" s="1503" t="s">
        <v>22</v>
      </c>
      <c r="AT52" s="762"/>
      <c r="AU52" s="1268"/>
      <c r="AV52" s="762"/>
      <c r="AW52" s="1268"/>
      <c r="AX52" s="1744"/>
      <c r="AY52" s="1480" t="s">
        <v>63</v>
      </c>
      <c r="AZ52" s="1744"/>
      <c r="BA52" s="1480" t="s">
        <v>63</v>
      </c>
      <c r="BB52" s="1359"/>
      <c r="BC52" s="2283" t="s">
        <v>511</v>
      </c>
      <c r="BE52" s="511"/>
      <c r="BF52" s="511" t="str">
        <f>IF(T52="","",T52)</f>
        <v/>
      </c>
      <c r="BG52" s="511"/>
      <c r="BH52" s="511"/>
      <c r="BI52" s="1166">
        <v>11</v>
      </c>
    </row>
    <row customHeight="1" ht="11.549999999999999">
      <c r="A53" s="1374"/>
      <c r="B53" s="1374"/>
      <c r="C53" s="1374"/>
      <c r="D53" s="1374"/>
      <c r="E53" s="2289"/>
      <c r="F53" s="2289"/>
      <c r="G53" s="2289"/>
      <c r="H53" s="2289"/>
      <c r="I53" s="2316"/>
      <c r="J53" s="2316"/>
      <c r="K53" s="2286"/>
      <c r="L53" s="1375"/>
      <c r="P53" s="2287"/>
      <c r="Q53" s="2287"/>
      <c r="R53" s="368"/>
      <c r="S53" s="2372"/>
      <c r="T53" s="2391"/>
      <c r="U53" s="311"/>
      <c r="V53" s="1404"/>
      <c r="W53" s="1507"/>
      <c r="X53" s="1404"/>
      <c r="Y53" s="1507"/>
      <c r="Z53" s="1404"/>
      <c r="AA53" s="1404"/>
      <c r="AB53" s="1404"/>
      <c r="AC53" s="1404"/>
      <c r="AD53" s="2216"/>
      <c r="AE53" s="2356"/>
      <c r="AF53" s="2235"/>
      <c r="AG53" s="2393"/>
      <c r="AH53" s="2137"/>
      <c r="AI53" s="2356"/>
      <c r="AJ53" s="2235"/>
      <c r="AK53" s="2357"/>
      <c r="AL53" s="2137"/>
      <c r="AM53" s="2230"/>
      <c r="AN53" s="2235"/>
      <c r="AO53" s="2387"/>
      <c r="AP53" s="2389"/>
      <c r="AQ53" s="327"/>
      <c r="AR53" s="427"/>
      <c r="AS53" s="427" t="s">
        <v>512</v>
      </c>
      <c r="AT53" s="1404"/>
      <c r="AU53" s="1507"/>
      <c r="AV53" s="1404"/>
      <c r="AW53" s="1507"/>
      <c r="AX53" s="1404"/>
      <c r="AY53" s="1404"/>
      <c r="AZ53" s="1404"/>
      <c r="BA53" s="1404"/>
      <c r="BB53" s="1408"/>
      <c r="BC53" s="2284"/>
      <c r="BE53" s="511"/>
      <c r="BF53" s="511"/>
      <c r="BG53" s="511"/>
      <c r="BH53" s="511"/>
      <c r="BI53" s="1166">
        <v>11</v>
      </c>
    </row>
    <row customHeight="1" ht="11.549999999999999">
      <c r="A54" s="1374" t="s">
        <v>275</v>
      </c>
      <c r="B54" s="1374"/>
      <c r="C54" s="1374"/>
      <c r="D54" s="1374"/>
      <c r="E54" s="2289"/>
      <c r="F54" s="2289"/>
      <c r="G54" s="2289"/>
      <c r="H54" s="2289"/>
      <c r="I54" s="2316"/>
      <c r="J54" s="2316"/>
      <c r="K54" s="2286"/>
      <c r="L54" s="1375"/>
      <c r="P54" s="2287"/>
      <c r="Q54" s="2287"/>
      <c r="R54" s="368"/>
      <c r="S54" s="2372"/>
      <c r="T54" s="2391"/>
      <c r="U54" s="311"/>
      <c r="V54" s="1404"/>
      <c r="W54" s="1507"/>
      <c r="X54" s="1404"/>
      <c r="Y54" s="1507"/>
      <c r="Z54" s="1404"/>
      <c r="AA54" s="1404"/>
      <c r="AB54" s="1404"/>
      <c r="AC54" s="1404"/>
      <c r="AD54" s="2216"/>
      <c r="AE54" s="2356"/>
      <c r="AF54" s="2235"/>
      <c r="AG54" s="2393"/>
      <c r="AH54" s="2137"/>
      <c r="AI54" s="2356"/>
      <c r="AJ54" s="2235"/>
      <c r="AK54" s="2357"/>
      <c r="AL54" s="2137"/>
      <c r="AM54" s="327"/>
      <c r="AN54" s="1511"/>
      <c r="AO54" s="1511" t="s">
        <v>513</v>
      </c>
      <c r="AP54" s="427"/>
      <c r="AQ54" s="427"/>
      <c r="AR54" s="427"/>
      <c r="AS54" s="1404"/>
      <c r="AT54" s="1404"/>
      <c r="AU54" s="1507"/>
      <c r="AV54" s="1404"/>
      <c r="AW54" s="1507"/>
      <c r="AX54" s="1404"/>
      <c r="AY54" s="1404"/>
      <c r="AZ54" s="1404"/>
      <c r="BA54" s="1404"/>
      <c r="BB54" s="1408"/>
      <c r="BC54" s="2284"/>
      <c r="BE54" s="511"/>
      <c r="BF54" s="511"/>
      <c r="BG54" s="511"/>
      <c r="BH54" s="511"/>
      <c r="BI54" s="1166">
        <v>11</v>
      </c>
    </row>
    <row customHeight="1" ht="11.549999999999999">
      <c r="A55" s="1374" t="s">
        <v>275</v>
      </c>
      <c r="B55" s="1374"/>
      <c r="C55" s="1374"/>
      <c r="D55" s="1374"/>
      <c r="E55" s="2289"/>
      <c r="F55" s="2289"/>
      <c r="G55" s="2289"/>
      <c r="H55" s="2289"/>
      <c r="I55" s="2316"/>
      <c r="J55" s="2316"/>
      <c r="K55" s="2286"/>
      <c r="L55" s="1375"/>
      <c r="P55" s="2287"/>
      <c r="Q55" s="2287"/>
      <c r="R55" s="368"/>
      <c r="S55" s="2372"/>
      <c r="T55" s="2391"/>
      <c r="U55" s="311"/>
      <c r="V55" s="1404"/>
      <c r="W55" s="1507"/>
      <c r="X55" s="1404"/>
      <c r="Y55" s="1507"/>
      <c r="Z55" s="1404"/>
      <c r="AA55" s="1404"/>
      <c r="AB55" s="1404"/>
      <c r="AC55" s="1404"/>
      <c r="AD55" s="2216"/>
      <c r="AE55" s="2356"/>
      <c r="AF55" s="2235"/>
      <c r="AG55" s="2393"/>
      <c r="AH55" s="2137"/>
      <c r="AI55" s="305"/>
      <c r="AJ55" s="426"/>
      <c r="AK55" s="324" t="s">
        <v>514</v>
      </c>
      <c r="AL55" s="1404"/>
      <c r="AM55" s="1404"/>
      <c r="AN55" s="1404"/>
      <c r="AO55" s="1404"/>
      <c r="AP55" s="1404"/>
      <c r="AQ55" s="1404"/>
      <c r="AR55" s="1404"/>
      <c r="AS55" s="1404"/>
      <c r="AT55" s="1404"/>
      <c r="AU55" s="1507"/>
      <c r="AV55" s="1404"/>
      <c r="AW55" s="1507"/>
      <c r="AX55" s="1404"/>
      <c r="AY55" s="1404"/>
      <c r="AZ55" s="1404"/>
      <c r="BA55" s="1404"/>
      <c r="BB55" s="1408"/>
      <c r="BC55" s="2284"/>
      <c r="BE55" s="511"/>
      <c r="BF55" s="511"/>
      <c r="BG55" s="511"/>
      <c r="BH55" s="511"/>
      <c r="BI55" s="1166">
        <v>11</v>
      </c>
    </row>
    <row customHeight="1" ht="11.549999999999999">
      <c r="A56" s="1374" t="s">
        <v>275</v>
      </c>
      <c r="B56" s="1374" t="s">
        <v>276</v>
      </c>
      <c r="C56" s="1374" t="s">
        <v>277</v>
      </c>
      <c r="D56" s="1374" t="s">
        <v>556</v>
      </c>
      <c r="E56" s="2289"/>
      <c r="F56" s="2289"/>
      <c r="G56" s="2289"/>
      <c r="H56" s="2289"/>
      <c r="I56" s="2316"/>
      <c r="J56" s="2316"/>
      <c r="K56" s="2286"/>
      <c r="L56" s="1375"/>
      <c r="P56" s="2287"/>
      <c r="Q56" s="2287"/>
      <c r="R56" s="368"/>
      <c r="S56" s="2373"/>
      <c r="T56" s="2392"/>
      <c r="U56" s="311"/>
      <c r="V56" s="1404"/>
      <c r="W56" s="1405" t="str">
        <f>Z52&amp;"-"&amp;AB52</f>
        <v>-</v>
      </c>
      <c r="X56" s="1404"/>
      <c r="Y56" s="1405" t="str">
        <f>AB52&amp;"-"&amp;AD52</f>
        <v>-да</v>
      </c>
      <c r="Z56" s="1404"/>
      <c r="AA56" s="1404"/>
      <c r="AB56" s="1404"/>
      <c r="AC56" s="1404"/>
      <c r="AD56" s="2142"/>
      <c r="AE56" s="323"/>
      <c r="AF56" s="325"/>
      <c r="AG56" s="427" t="s">
        <v>515</v>
      </c>
      <c r="AH56" s="1404"/>
      <c r="AI56" s="1404"/>
      <c r="AJ56" s="1404"/>
      <c r="AK56" s="1404"/>
      <c r="AL56" s="1404"/>
      <c r="AM56" s="1404"/>
      <c r="AN56" s="1404"/>
      <c r="AO56" s="1404"/>
      <c r="AP56" s="1404"/>
      <c r="AQ56" s="1404"/>
      <c r="AR56" s="1404"/>
      <c r="AS56" s="1404"/>
      <c r="AT56" s="1404"/>
      <c r="AU56" s="1405" t="str">
        <f>AX52&amp;"-"&amp;AZ52</f>
        <v>-</v>
      </c>
      <c r="AV56" s="1404"/>
      <c r="AW56" s="1405" t="str">
        <f>AZ52&amp;"-"&amp;BB52</f>
        <v>-</v>
      </c>
      <c r="AX56" s="1404"/>
      <c r="AY56" s="1404"/>
      <c r="AZ56" s="1404"/>
      <c r="BA56" s="1404"/>
      <c r="BB56" s="1407" t="str">
        <f>BE52&amp;"-"&amp;BG52</f>
        <v>-</v>
      </c>
      <c r="BC56" s="2284"/>
      <c r="BE56" s="511"/>
      <c r="BF56" s="511" t="str">
        <f>IF(T56="","",T56)</f>
        <v/>
      </c>
      <c r="BG56" s="511"/>
      <c r="BH56" s="511"/>
      <c r="BI56" s="1166">
        <v>11</v>
      </c>
    </row>
    <row customHeight="1" ht="11.549999999999999">
      <c r="A57" s="1374" t="s">
        <v>275</v>
      </c>
      <c r="B57" s="1374" t="s">
        <v>276</v>
      </c>
      <c r="C57" s="1374" t="s">
        <v>277</v>
      </c>
      <c r="D57" s="1374" t="s">
        <v>556</v>
      </c>
      <c r="E57" s="2289"/>
      <c r="F57" s="2289"/>
      <c r="G57" s="2289"/>
      <c r="H57" s="2289"/>
      <c r="I57" s="2316"/>
      <c r="J57" s="2286"/>
      <c r="K57" s="1374"/>
      <c r="L57" s="1375"/>
      <c r="P57" s="2287"/>
      <c r="Q57" s="2287"/>
      <c r="R57" s="367"/>
      <c r="S57" s="1289"/>
      <c r="T57" s="298" t="s">
        <v>478</v>
      </c>
      <c r="U57" s="378"/>
      <c r="V57" s="378"/>
      <c r="W57" s="378"/>
      <c r="X57" s="378"/>
      <c r="Y57" s="378"/>
      <c r="Z57" s="378"/>
      <c r="AA57" s="378"/>
      <c r="AB57" s="378"/>
      <c r="AC57" s="335"/>
      <c r="AD57" s="1516"/>
      <c r="AE57" s="378"/>
      <c r="AF57" s="378"/>
      <c r="AG57" s="378"/>
      <c r="AH57" s="378"/>
      <c r="AI57" s="378"/>
      <c r="AJ57" s="378"/>
      <c r="AK57" s="378"/>
      <c r="AL57" s="378"/>
      <c r="AM57" s="378"/>
      <c r="AN57" s="378"/>
      <c r="AO57" s="378"/>
      <c r="AP57" s="378"/>
      <c r="AQ57" s="378"/>
      <c r="AR57" s="378"/>
      <c r="AS57" s="378"/>
      <c r="AT57" s="378"/>
      <c r="AU57" s="378"/>
      <c r="AV57" s="378"/>
      <c r="AW57" s="378"/>
      <c r="AX57" s="378"/>
      <c r="AY57" s="378"/>
      <c r="AZ57" s="378"/>
      <c r="BA57" s="378"/>
      <c r="BB57" s="335"/>
      <c r="BC57" s="2285"/>
      <c r="BE57" s="511"/>
      <c r="BF57" s="511" t="str">
        <f>IF(T57="","",T57)</f>
        <v>Добавить строку</v>
      </c>
      <c r="BG57" s="511"/>
      <c r="BH57" s="511"/>
      <c r="BI57" s="1166">
        <v>11</v>
      </c>
    </row>
    <row s="1653" customFormat="1" customHeight="1" ht="0">
      <c r="A58" s="1354" t="s">
        <v>275</v>
      </c>
      <c r="B58" s="1354" t="s">
        <v>276</v>
      </c>
      <c r="C58" s="1354" t="s">
        <v>277</v>
      </c>
      <c r="D58" s="1354" t="s">
        <v>556</v>
      </c>
      <c r="E58" s="2289"/>
      <c r="F58" s="2289"/>
      <c r="G58" s="2289"/>
      <c r="H58" s="2289"/>
      <c r="I58" s="2286"/>
      <c r="J58" s="1354"/>
      <c r="K58" s="1354"/>
      <c r="L58" s="1357"/>
      <c r="M58" s="521"/>
      <c r="N58" s="521"/>
      <c r="O58" s="521"/>
      <c r="P58" s="2287"/>
      <c r="Q58" s="1492"/>
      <c r="R58" s="367"/>
      <c r="S58" s="1397"/>
      <c r="T58" s="1398"/>
      <c r="U58" s="1399"/>
      <c r="V58" s="1399"/>
      <c r="W58" s="1399"/>
      <c r="X58" s="1399"/>
      <c r="Y58" s="1399"/>
      <c r="Z58" s="1399"/>
      <c r="AA58" s="1399"/>
      <c r="AB58" s="1399"/>
      <c r="AC58" s="1399"/>
      <c r="AD58" s="1399"/>
      <c r="AE58" s="1399"/>
      <c r="AF58" s="1399"/>
      <c r="AG58" s="1399"/>
      <c r="AH58" s="1399"/>
      <c r="AI58" s="1399"/>
      <c r="AJ58" s="1399"/>
      <c r="AK58" s="1399"/>
      <c r="AL58" s="1399"/>
      <c r="AM58" s="1399"/>
      <c r="AN58" s="1399"/>
      <c r="AO58" s="1399"/>
      <c r="AP58" s="1399"/>
      <c r="AQ58" s="1399"/>
      <c r="AR58" s="1399"/>
      <c r="AS58" s="1399"/>
      <c r="AT58" s="1399"/>
      <c r="AU58" s="1399"/>
      <c r="AV58" s="1399"/>
      <c r="AW58" s="1399"/>
      <c r="AX58" s="1399"/>
      <c r="AY58" s="1399"/>
      <c r="AZ58" s="1399"/>
      <c r="BA58" s="1399"/>
      <c r="BB58" s="1399"/>
      <c r="BC58" s="1400"/>
      <c r="BE58" s="511"/>
      <c r="BF58" s="511" t="str">
        <f>IF(T58="","",T58)</f>
        <v/>
      </c>
      <c r="BG58" s="511"/>
      <c r="BH58" s="511"/>
      <c r="BI58" s="522">
        <v>0</v>
      </c>
    </row>
    <row s="1653" customFormat="1" customHeight="1" ht="0">
      <c r="A59" s="1354" t="s">
        <v>275</v>
      </c>
      <c r="B59" s="1354" t="s">
        <v>276</v>
      </c>
      <c r="C59" s="1354" t="s">
        <v>277</v>
      </c>
      <c r="D59" s="1354" t="s">
        <v>556</v>
      </c>
      <c r="E59" s="2289"/>
      <c r="F59" s="2289"/>
      <c r="G59" s="2289"/>
      <c r="H59" s="2288"/>
      <c r="I59" s="1354"/>
      <c r="J59" s="1354"/>
      <c r="K59" s="1354"/>
      <c r="L59" s="1357"/>
      <c r="M59" s="1326"/>
      <c r="N59" s="1326"/>
      <c r="O59" s="529"/>
      <c r="P59" s="391"/>
      <c r="Q59" s="1355"/>
      <c r="R59" s="1412"/>
      <c r="S59" s="1397"/>
      <c r="T59" s="1398"/>
      <c r="U59" s="1399"/>
      <c r="V59" s="1399"/>
      <c r="W59" s="1399"/>
      <c r="X59" s="1399"/>
      <c r="Y59" s="1399"/>
      <c r="Z59" s="1399"/>
      <c r="AA59" s="1399"/>
      <c r="AB59" s="1399"/>
      <c r="AC59" s="1399"/>
      <c r="AD59" s="1399"/>
      <c r="AE59" s="1399"/>
      <c r="AF59" s="1399"/>
      <c r="AG59" s="1399"/>
      <c r="AH59" s="1399"/>
      <c r="AI59" s="1399"/>
      <c r="AJ59" s="1399"/>
      <c r="AK59" s="1399"/>
      <c r="AL59" s="1399"/>
      <c r="AM59" s="1399"/>
      <c r="AN59" s="1399"/>
      <c r="AO59" s="1399"/>
      <c r="AP59" s="1399"/>
      <c r="AQ59" s="1399"/>
      <c r="AR59" s="1399"/>
      <c r="AS59" s="1399"/>
      <c r="AT59" s="1399"/>
      <c r="AU59" s="1399"/>
      <c r="AV59" s="1399"/>
      <c r="AW59" s="1399"/>
      <c r="AX59" s="1399"/>
      <c r="AY59" s="1399"/>
      <c r="AZ59" s="1399"/>
      <c r="BA59" s="1399"/>
      <c r="BB59" s="1399"/>
      <c r="BC59" s="1400"/>
      <c r="BE59" s="511"/>
      <c r="BF59" s="511" t="str">
        <f>IF(T59="","",T59)</f>
        <v/>
      </c>
      <c r="BG59" s="511"/>
      <c r="BH59" s="511"/>
      <c r="BI59" s="522">
        <v>0</v>
      </c>
    </row>
    <row s="1653" customFormat="1" customHeight="1" ht="0">
      <c r="A60" s="1354" t="s">
        <v>275</v>
      </c>
      <c r="B60" s="1354" t="s">
        <v>276</v>
      </c>
      <c r="C60" s="1354" t="s">
        <v>277</v>
      </c>
      <c r="D60" s="1325"/>
      <c r="E60" s="2289"/>
      <c r="F60" s="2289"/>
      <c r="G60" s="2288"/>
      <c r="H60" s="1325"/>
      <c r="I60" s="1325"/>
      <c r="J60" s="1325"/>
      <c r="K60" s="1325"/>
      <c r="L60" s="1505"/>
      <c r="M60" s="1326"/>
      <c r="N60" s="1326"/>
      <c r="P60" s="1327"/>
      <c r="Q60" s="1328"/>
      <c r="R60" s="1327"/>
      <c r="S60" s="1333"/>
      <c r="T60" s="1336"/>
      <c r="U60" s="1335"/>
      <c r="V60" s="1335"/>
      <c r="W60" s="1335"/>
      <c r="X60" s="1335"/>
      <c r="Y60" s="1335"/>
      <c r="Z60" s="1335"/>
      <c r="AA60" s="1335"/>
      <c r="AB60" s="1335"/>
      <c r="AC60" s="1335"/>
      <c r="AD60" s="1335"/>
      <c r="AE60" s="1335"/>
      <c r="AF60" s="1335"/>
      <c r="AG60" s="1335"/>
      <c r="AH60" s="1335"/>
      <c r="AI60" s="1335"/>
      <c r="AJ60" s="1335"/>
      <c r="AK60" s="1335"/>
      <c r="AL60" s="1335"/>
      <c r="AM60" s="1335"/>
      <c r="AN60" s="1335"/>
      <c r="AO60" s="1335"/>
      <c r="AP60" s="1335"/>
      <c r="AQ60" s="1335"/>
      <c r="AR60" s="1335"/>
      <c r="AS60" s="1335"/>
      <c r="AT60" s="1335"/>
      <c r="AU60" s="1335"/>
      <c r="AV60" s="1335"/>
      <c r="AW60" s="1335"/>
      <c r="AX60" s="1335"/>
      <c r="AY60" s="1335"/>
      <c r="AZ60" s="1335"/>
      <c r="BA60" s="1335"/>
      <c r="BB60" s="1335"/>
      <c r="BC60" s="1335"/>
      <c r="BE60" s="800"/>
      <c r="BF60" s="800" t="str">
        <f>IF(T60="","",T60)</f>
        <v/>
      </c>
      <c r="BG60" s="800"/>
      <c r="BH60" s="800"/>
      <c r="BI60" s="529">
        <v>0</v>
      </c>
    </row>
    <row s="1653" customFormat="1" customHeight="1" ht="0">
      <c r="A61" s="1354" t="s">
        <v>275</v>
      </c>
      <c r="B61" s="1354" t="s">
        <v>276</v>
      </c>
      <c r="C61" s="1325"/>
      <c r="D61" s="1325"/>
      <c r="E61" s="2289"/>
      <c r="F61" s="2288"/>
      <c r="G61" s="1325"/>
      <c r="H61" s="1325"/>
      <c r="I61" s="1325"/>
      <c r="J61" s="1325"/>
      <c r="K61" s="1325"/>
      <c r="L61" s="1505"/>
      <c r="M61" s="1332"/>
      <c r="N61" s="1332"/>
      <c r="P61" s="1327"/>
      <c r="Q61" s="1328"/>
      <c r="R61" s="1327"/>
      <c r="S61" s="1333"/>
      <c r="T61" s="1336" t="s">
        <v>429</v>
      </c>
      <c r="U61" s="1335"/>
      <c r="V61" s="1335"/>
      <c r="W61" s="1335"/>
      <c r="X61" s="1335"/>
      <c r="Y61" s="1335"/>
      <c r="Z61" s="1335"/>
      <c r="AA61" s="1335"/>
      <c r="AB61" s="1335"/>
      <c r="AC61" s="1335"/>
      <c r="AD61" s="1335"/>
      <c r="AE61" s="1335"/>
      <c r="AF61" s="1335"/>
      <c r="AG61" s="1335"/>
      <c r="AH61" s="1335"/>
      <c r="AI61" s="1335"/>
      <c r="AJ61" s="1335"/>
      <c r="AK61" s="1335"/>
      <c r="AL61" s="1335"/>
      <c r="AM61" s="1335"/>
      <c r="AN61" s="1335"/>
      <c r="AO61" s="1335"/>
      <c r="AP61" s="1335"/>
      <c r="AQ61" s="1335"/>
      <c r="AR61" s="1335"/>
      <c r="AS61" s="1335"/>
      <c r="AT61" s="1335"/>
      <c r="AU61" s="1335"/>
      <c r="AV61" s="1335"/>
      <c r="AW61" s="1335"/>
      <c r="AX61" s="1335"/>
      <c r="AY61" s="1335"/>
      <c r="AZ61" s="1335"/>
      <c r="BA61" s="1335"/>
      <c r="BB61" s="1335"/>
      <c r="BC61" s="1335"/>
      <c r="BE61" s="800"/>
      <c r="BF61" s="800" t="str">
        <f>IF(T61="","",T61)</f>
        <v>Добавить централизованную систему для дифференциации</v>
      </c>
      <c r="BG61" s="800"/>
      <c r="BH61" s="800"/>
      <c r="BI61" s="529">
        <v>0</v>
      </c>
    </row>
    <row s="1653" customFormat="1" customHeight="1" ht="0">
      <c r="A62" s="1354" t="s">
        <v>275</v>
      </c>
      <c r="B62" s="1354"/>
      <c r="C62" s="1354"/>
      <c r="D62" s="1354"/>
      <c r="E62" s="2288"/>
      <c r="F62" s="1354"/>
      <c r="G62" s="1354"/>
      <c r="H62" s="1354"/>
      <c r="I62" s="1354"/>
      <c r="J62" s="1354"/>
      <c r="K62" s="1354"/>
      <c r="L62" s="1357"/>
      <c r="M62" s="1332"/>
      <c r="N62" s="1332"/>
      <c r="O62" s="529"/>
      <c r="P62" s="391"/>
      <c r="Q62" s="1355"/>
      <c r="R62" s="391"/>
      <c r="S62" s="1333"/>
      <c r="T62" s="1336" t="s">
        <v>430</v>
      </c>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5"/>
      <c r="AT62" s="1335"/>
      <c r="AU62" s="1335"/>
      <c r="AV62" s="1335"/>
      <c r="AW62" s="1335"/>
      <c r="AX62" s="1335"/>
      <c r="AY62" s="1335"/>
      <c r="AZ62" s="1335"/>
      <c r="BA62" s="1335"/>
      <c r="BB62" s="1335"/>
      <c r="BC62" s="1335"/>
      <c r="BE62" s="511"/>
      <c r="BF62" s="511" t="str">
        <f>IF(T62="","",T62)</f>
        <v>Добавить территорию для дифференциации</v>
      </c>
      <c r="BG62" s="511"/>
      <c r="BH62" s="511"/>
      <c r="BI62" s="522">
        <v>0</v>
      </c>
    </row>
    <row s="1653" customFormat="1" customHeight="1" ht="0">
      <c r="A63" s="1325"/>
      <c r="B63" s="1325"/>
      <c r="C63" s="1325"/>
      <c r="D63" s="1325"/>
      <c r="E63" s="1354"/>
      <c r="F63" s="1325"/>
      <c r="G63" s="1325"/>
      <c r="H63" s="1325"/>
      <c r="I63" s="1325"/>
      <c r="J63" s="1325"/>
      <c r="K63" s="1325"/>
      <c r="L63" s="1505"/>
      <c r="M63" s="1332"/>
      <c r="N63" s="1332"/>
      <c r="P63" s="1327"/>
      <c r="Q63" s="1328"/>
      <c r="R63" s="1327"/>
      <c r="S63" s="1333"/>
      <c r="T63" s="1336" t="s">
        <v>458</v>
      </c>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5"/>
      <c r="AT63" s="1335"/>
      <c r="AU63" s="1335"/>
      <c r="AV63" s="1335"/>
      <c r="AW63" s="1335"/>
      <c r="AX63" s="1335"/>
      <c r="AY63" s="1335"/>
      <c r="AZ63" s="1335"/>
      <c r="BA63" s="1335"/>
      <c r="BB63" s="1335"/>
      <c r="BC63" s="1335"/>
      <c r="BE63" s="800"/>
      <c r="BF63" s="800" t="str">
        <f>IF(T63="","",T63)</f>
        <v>Добавить наименование тарифа</v>
      </c>
      <c r="BG63" s="800"/>
      <c r="BH63" s="800"/>
      <c r="BI63" s="529">
        <v>0</v>
      </c>
    </row>
    <row customHeight="1" ht="11.549999999999999">
      <c r="M64" s="1171"/>
      <c r="N64" s="1171"/>
      <c r="O64" s="548"/>
      <c r="P64" s="1171"/>
      <c r="Q64" s="1171"/>
      <c r="R64" s="1166"/>
      <c r="S64" s="1166"/>
      <c r="BD64" s="1166"/>
      <c r="BE64" s="1166"/>
      <c r="BF64" s="1166"/>
      <c r="BG64" s="1166"/>
      <c r="BH64" s="1166"/>
      <c r="BI64" s="1166">
        <v>11</v>
      </c>
    </row>
    <row customHeight="1" ht="19.95">
      <c r="O65" s="548"/>
      <c r="S65" s="1264"/>
      <c r="T65" s="2315"/>
      <c r="U65" s="2315"/>
      <c r="V65" s="2315"/>
      <c r="W65" s="2315"/>
      <c r="X65" s="2315"/>
      <c r="Y65" s="2315"/>
      <c r="Z65" s="2315"/>
      <c r="AA65" s="2315"/>
      <c r="AB65" s="2315"/>
      <c r="AC65" s="2315"/>
      <c r="AD65" s="2315"/>
      <c r="AE65" s="2315"/>
      <c r="AF65" s="2315"/>
      <c r="AG65" s="2315"/>
      <c r="AH65" s="2315"/>
      <c r="AI65" s="2315"/>
      <c r="AJ65" s="2315"/>
      <c r="AK65" s="2315"/>
      <c r="AL65" s="2315"/>
      <c r="AM65" s="2315"/>
      <c r="AN65" s="2315"/>
      <c r="AO65" s="2315"/>
      <c r="AP65" s="2315"/>
      <c r="AQ65" s="2315"/>
      <c r="AR65" s="2315"/>
      <c r="AS65" s="2315"/>
      <c r="AT65" s="2315"/>
      <c r="AU65" s="2315"/>
      <c r="AV65" s="2315"/>
      <c r="AW65" s="2315"/>
      <c r="AX65" s="2315"/>
      <c r="AY65" s="2315"/>
      <c r="AZ65" s="2315"/>
      <c r="BA65" s="2315"/>
      <c r="BB65" s="2315"/>
      <c r="BC65" s="2315"/>
      <c r="BI65" s="1166">
        <v>19</v>
      </c>
    </row>
    <row customHeight="1" ht="14.699999999999998">
      <c r="O66" s="548"/>
      <c r="T66" s="1491"/>
      <c r="U66" s="1491"/>
      <c r="V66" s="1491"/>
      <c r="W66" s="1491"/>
      <c r="X66" s="1491"/>
      <c r="Y66" s="1491"/>
      <c r="Z66" s="1491"/>
      <c r="AA66" s="1491"/>
      <c r="AB66" s="1491"/>
      <c r="AC66" s="1491"/>
      <c r="AD66" s="1491"/>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I66" s="1166">
        <v>14</v>
      </c>
    </row>
    <row customHeight="1" ht="19.95">
      <c r="O67" s="548"/>
      <c r="S67" s="1264"/>
      <c r="T67" s="2315"/>
      <c r="U67" s="2315"/>
      <c r="V67" s="2315"/>
      <c r="W67" s="2315"/>
      <c r="X67" s="2315"/>
      <c r="Y67" s="2315"/>
      <c r="Z67" s="2315"/>
      <c r="AA67" s="2315"/>
      <c r="AB67" s="2315"/>
      <c r="AC67" s="2315"/>
      <c r="AD67" s="2315"/>
      <c r="AE67" s="2315"/>
      <c r="AF67" s="2315"/>
      <c r="AG67" s="2315"/>
      <c r="AH67" s="2315"/>
      <c r="AI67" s="2315"/>
      <c r="AJ67" s="2315"/>
      <c r="AK67" s="2315"/>
      <c r="AL67" s="2315"/>
      <c r="AM67" s="2315"/>
      <c r="AN67" s="2315"/>
      <c r="AO67" s="2315"/>
      <c r="AP67" s="2315"/>
      <c r="AQ67" s="2315"/>
      <c r="AR67" s="2315"/>
      <c r="AS67" s="2315"/>
      <c r="AT67" s="2315"/>
      <c r="AU67" s="2315"/>
      <c r="AV67" s="2315"/>
      <c r="AW67" s="2315"/>
      <c r="AX67" s="2315"/>
      <c r="AY67" s="2315"/>
      <c r="AZ67" s="2315"/>
      <c r="BA67" s="2315"/>
      <c r="BB67" s="2315"/>
      <c r="BC67" s="2315"/>
      <c r="BI67" s="1166">
        <v>19</v>
      </c>
    </row>
    <row customHeight="1" ht="14.699999999999998">
      <c r="O68" s="548"/>
      <c r="BI68" s="1166">
        <v>14</v>
      </c>
    </row>
    <row customHeight="1" ht="14.25" hidden="1">
      <c r="A69" s="1171" t="s">
        <v>83</v>
      </c>
      <c r="B69" s="1171">
        <v>0</v>
      </c>
      <c r="C69" s="1171">
        <v>0</v>
      </c>
      <c r="D69" s="1171">
        <v>0</v>
      </c>
      <c r="E69" s="1171">
        <v>0</v>
      </c>
      <c r="F69" s="1171">
        <v>0</v>
      </c>
      <c r="G69" s="1171">
        <v>0</v>
      </c>
      <c r="H69" s="1171">
        <v>0</v>
      </c>
      <c r="I69" s="1171">
        <v>0</v>
      </c>
      <c r="J69" s="1171">
        <v>0</v>
      </c>
      <c r="K69" s="1171">
        <v>0</v>
      </c>
      <c r="L69" s="1489">
        <v>0</v>
      </c>
      <c r="M69" s="1373">
        <v>0</v>
      </c>
      <c r="N69" s="1373">
        <v>0</v>
      </c>
      <c r="O69" s="1373">
        <v>0</v>
      </c>
      <c r="P69" s="1373">
        <v>0</v>
      </c>
      <c r="Q69" s="1382">
        <v>0</v>
      </c>
      <c r="R69" s="355">
        <v>3</v>
      </c>
      <c r="S69" s="592">
        <v>12</v>
      </c>
      <c r="T69" s="1166">
        <v>31</v>
      </c>
      <c r="U69" s="1166">
        <v>0</v>
      </c>
      <c r="V69" s="1166">
        <v>0</v>
      </c>
      <c r="W69" s="1166">
        <v>0</v>
      </c>
      <c r="X69" s="1166">
        <v>0</v>
      </c>
      <c r="Y69" s="1166">
        <v>0</v>
      </c>
      <c r="Z69" s="1166">
        <v>0</v>
      </c>
      <c r="AA69" s="1166">
        <v>0</v>
      </c>
      <c r="AB69" s="1166">
        <v>0</v>
      </c>
      <c r="AC69" s="1166">
        <v>0</v>
      </c>
      <c r="AD69" s="1166">
        <v>3</v>
      </c>
      <c r="AE69" s="1166">
        <v>3</v>
      </c>
      <c r="AF69" s="1166">
        <v>3</v>
      </c>
      <c r="AG69" s="1166">
        <v>24</v>
      </c>
      <c r="AH69" s="1166">
        <v>3</v>
      </c>
      <c r="AI69" s="1166">
        <v>3</v>
      </c>
      <c r="AJ69" s="1166">
        <v>3</v>
      </c>
      <c r="AK69" s="1166">
        <v>24</v>
      </c>
      <c r="AL69" s="1166">
        <v>3</v>
      </c>
      <c r="AM69" s="1166">
        <v>3</v>
      </c>
      <c r="AN69" s="1166">
        <v>3</v>
      </c>
      <c r="AO69" s="1166">
        <v>18</v>
      </c>
      <c r="AP69" s="1166">
        <v>3</v>
      </c>
      <c r="AQ69" s="1166">
        <v>3</v>
      </c>
      <c r="AR69" s="1166">
        <v>3</v>
      </c>
      <c r="AS69" s="1166">
        <v>18</v>
      </c>
      <c r="AT69" s="1166">
        <v>21</v>
      </c>
      <c r="AU69" s="1166">
        <v>21</v>
      </c>
      <c r="AV69" s="1166">
        <v>21</v>
      </c>
      <c r="AW69" s="1166">
        <v>21</v>
      </c>
      <c r="AX69" s="1166">
        <v>11</v>
      </c>
      <c r="AY69" s="1166">
        <v>3</v>
      </c>
      <c r="AZ69" s="1166">
        <v>11</v>
      </c>
      <c r="BA69" s="1166">
        <v>0</v>
      </c>
      <c r="BB69" s="1166">
        <v>4</v>
      </c>
      <c r="BC69" s="1166">
        <v>115</v>
      </c>
      <c r="BD69" s="522">
        <v>10</v>
      </c>
      <c r="BE69" s="522">
        <v>10</v>
      </c>
      <c r="BF69" s="522">
        <v>10</v>
      </c>
      <c r="BG69" s="522">
        <v>10</v>
      </c>
      <c r="BH69" s="522">
        <v>10</v>
      </c>
      <c r="BI69" s="11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5CB788-7828-5B91-DFE2-6D415FF463B3}" mc:Ignorable="x14ac xr xr2 xr3">
  <sheetPr>
    <tabColor theme="9" tint="-0.25"/>
  </sheetPr>
  <dimension ref="A1:AI431"/>
  <sheetViews>
    <sheetView showGridLines="0" zoomScale="90" workbookViewId="0">
      <pane xSplit="8" ySplit="29" topLeftCell="I196" activePane="bottomRight" state="frozen"/>
      <selection pane="bottomLeft" activeCell="A30" sqref="A30"/>
      <selection pane="topRight" activeCell="I1" sqref="I1"/>
      <selection pane="bottomRight" activeCell="I169" sqref="I169"/>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4.00390625" customWidth="1"/>
    <col min="7" max="7" style="1646" width="10.00390625" customWidth="1"/>
    <col min="8" max="8" style="1646" width="40.7109375" hidden="1" customWidth="1"/>
    <col min="9" max="12" style="1646" width="40.7109375" customWidth="1"/>
    <col min="13" max="13" style="1646" width="102.00390625" customWidth="1"/>
    <col min="14" max="14" style="1377" width="9.00390625" customWidth="1"/>
    <col min="15" max="15" style="1653" width="5.00390625" customWidth="1"/>
    <col min="16" max="16" style="1653" width="3.00390625" customWidth="1"/>
    <col min="17" max="20" style="1377" width="3.00390625" customWidth="1"/>
    <col min="21" max="21" style="1653" width="10.00390625" customWidth="1"/>
    <col min="22" max="22" style="1377" width="34.00390625" customWidth="1"/>
    <col min="23" max="23" style="1377" width="9.00390625" customWidth="1"/>
    <col min="24" max="24" style="747" width="8.00390625" customWidth="1"/>
    <col min="25" max="29" style="1377" width="8.00390625" customWidth="1"/>
    <col min="30" max="34" style="1643" width="8.00390625" customWidth="1"/>
    <col min="35" max="35" style="1646" width="9.140625" hidden="1"/>
  </cols>
  <sheetData>
    <row customHeight="1" ht="22.5" hidden="1">
      <c r="J1" s="1646"/>
      <c r="K1" s="1646"/>
      <c r="L1" s="1646"/>
      <c r="AI1" s="1642" t="s">
        <v>14</v>
      </c>
    </row>
    <row customHeight="1" ht="23.25" hidden="1">
      <c r="B2" s="2129"/>
      <c r="C2" s="1178" t="s">
        <v>557</v>
      </c>
      <c r="D2" s="1649"/>
      <c r="E2" s="557">
        <f>B2</f>
        <v>0</v>
      </c>
      <c r="F2" s="558"/>
      <c r="G2" s="1657" t="s">
        <v>558</v>
      </c>
      <c r="H2" s="1657" t="s">
        <v>558</v>
      </c>
      <c r="I2" s="1657" t="s">
        <v>558</v>
      </c>
      <c r="J2" s="2342" t="s">
        <v>558</v>
      </c>
      <c r="K2" s="2342" t="s">
        <v>558</v>
      </c>
      <c r="L2" s="2342" t="s">
        <v>558</v>
      </c>
      <c r="M2" s="300" t="s">
        <v>559</v>
      </c>
      <c r="N2" s="554"/>
      <c r="AI2" s="1642">
        <v>0</v>
      </c>
    </row>
    <row s="1653" customFormat="1" customHeight="1" ht="0.75" hidden="1">
      <c r="B3" s="2129"/>
      <c r="C3" s="1178"/>
      <c r="D3" s="559"/>
      <c r="E3" s="560"/>
      <c r="F3" s="561" t="s">
        <v>560</v>
      </c>
      <c r="G3" s="562"/>
      <c r="H3" s="1024">
        <f>H4*H5+H6</f>
        <v>0</v>
      </c>
      <c r="I3" s="562">
        <f>I4*I5+I6</f>
        <v>0</v>
      </c>
      <c r="J3" s="1384">
        <f>J4*J5+J6</f>
        <v>0</v>
      </c>
      <c r="K3" s="1384">
        <f>K4*K5+K6</f>
        <v>0</v>
      </c>
      <c r="L3" s="1384">
        <f>L4*L5+L6</f>
        <v>0</v>
      </c>
      <c r="M3" s="563"/>
      <c r="AI3" s="1647">
        <v>0</v>
      </c>
    </row>
    <row customHeight="1" ht="23.25" hidden="1">
      <c r="B4" s="2129"/>
      <c r="C4" s="1178"/>
      <c r="D4" s="1649"/>
      <c r="E4" s="557" t="str">
        <f>B2&amp;".1"</f>
        <v>.1</v>
      </c>
      <c r="F4" s="564" t="s">
        <v>561</v>
      </c>
      <c r="G4" s="565"/>
      <c r="H4" s="552"/>
      <c r="I4" s="552"/>
      <c r="J4" s="762"/>
      <c r="K4" s="762"/>
      <c r="L4" s="762"/>
      <c r="M4" s="300" t="s">
        <v>562</v>
      </c>
      <c r="N4" s="554"/>
      <c r="AI4" s="1642">
        <v>0</v>
      </c>
    </row>
    <row customHeight="1" ht="18.75" hidden="1">
      <c r="B5" s="2129"/>
      <c r="C5" s="1178"/>
      <c r="D5" s="1649"/>
      <c r="E5" s="557" t="str">
        <f>B2&amp;".2"</f>
        <v>.2</v>
      </c>
      <c r="F5" s="564" t="s">
        <v>563</v>
      </c>
      <c r="G5" s="1657" t="s">
        <v>564</v>
      </c>
      <c r="H5" s="552"/>
      <c r="I5" s="552"/>
      <c r="J5" s="762"/>
      <c r="K5" s="762"/>
      <c r="L5" s="762"/>
      <c r="M5" s="300"/>
      <c r="N5" s="554"/>
      <c r="AI5" s="1642">
        <v>0</v>
      </c>
    </row>
    <row customHeight="1" ht="18.75" hidden="1">
      <c r="B6" s="2129"/>
      <c r="C6" s="1178"/>
      <c r="D6" s="1649"/>
      <c r="E6" s="557" t="str">
        <f>B2&amp;".3"</f>
        <v>.3</v>
      </c>
      <c r="F6" s="564" t="s">
        <v>565</v>
      </c>
      <c r="G6" s="1657" t="s">
        <v>564</v>
      </c>
      <c r="H6" s="552"/>
      <c r="I6" s="552"/>
      <c r="J6" s="762"/>
      <c r="K6" s="762"/>
      <c r="L6" s="762"/>
      <c r="M6" s="300"/>
      <c r="N6" s="554"/>
      <c r="AI6" s="1642">
        <v>0</v>
      </c>
    </row>
    <row customHeight="1" ht="18.75" hidden="1">
      <c r="B7" s="2129"/>
      <c r="C7" s="1178"/>
      <c r="D7" s="1649"/>
      <c r="E7" s="557" t="str">
        <f>B2&amp;".4"</f>
        <v>.4</v>
      </c>
      <c r="F7" s="564" t="s">
        <v>566</v>
      </c>
      <c r="G7" s="1657" t="s">
        <v>558</v>
      </c>
      <c r="H7" s="566"/>
      <c r="I7" s="566"/>
      <c r="J7" s="566"/>
      <c r="K7" s="566"/>
      <c r="L7" s="566"/>
      <c r="M7" s="300"/>
      <c r="N7" s="554"/>
      <c r="AI7" s="1642">
        <v>0</v>
      </c>
    </row>
    <row s="1377" customFormat="1" customHeight="1" ht="11.25" hidden="1">
      <c r="A8" s="998"/>
      <c r="C8" s="1647"/>
      <c r="D8" s="548"/>
      <c r="H8" s="1171">
        <v>4</v>
      </c>
      <c r="I8" s="1171">
        <v>4</v>
      </c>
      <c r="J8" s="1377">
        <v>4</v>
      </c>
      <c r="K8" s="1377">
        <v>4</v>
      </c>
      <c r="L8" s="1377">
        <v>4</v>
      </c>
      <c r="O8" s="1647"/>
      <c r="P8" s="1647"/>
      <c r="U8" s="1647"/>
      <c r="AI8" s="1171">
        <v>0</v>
      </c>
    </row>
    <row s="1377" customFormat="1" customHeight="1" ht="22.5" hidden="1">
      <c r="A9" s="998"/>
      <c r="C9" s="1647"/>
      <c r="D9" s="549"/>
      <c r="E9" s="1659"/>
      <c r="F9" s="551"/>
      <c r="G9" s="1657" t="s">
        <v>564</v>
      </c>
      <c r="H9" s="552"/>
      <c r="I9" s="552"/>
      <c r="J9" s="762"/>
      <c r="K9" s="762"/>
      <c r="L9" s="762"/>
      <c r="M9" s="553" t="s">
        <v>567</v>
      </c>
      <c r="N9" s="554"/>
      <c r="O9" s="1647"/>
      <c r="P9" s="1647"/>
      <c r="U9" s="1647"/>
      <c r="X9" s="555"/>
      <c r="AD9" s="1643"/>
      <c r="AE9" s="1643"/>
      <c r="AF9" s="1643"/>
      <c r="AG9" s="1643"/>
      <c r="AH9" s="1643"/>
      <c r="AI9" s="1171">
        <v>0</v>
      </c>
    </row>
    <row customHeight="1" ht="11.25" hidden="1">
      <c r="J10" s="1646"/>
      <c r="K10" s="1646"/>
      <c r="L10" s="1646"/>
      <c r="AI10" s="1642">
        <v>0</v>
      </c>
    </row>
    <row customHeight="1" ht="18.75" hidden="1">
      <c r="D11" s="1649"/>
      <c r="E11" s="557"/>
      <c r="F11" s="551"/>
      <c r="G11" s="1657" t="s">
        <v>568</v>
      </c>
      <c r="H11" s="552"/>
      <c r="I11" s="552"/>
      <c r="J11" s="762"/>
      <c r="K11" s="762"/>
      <c r="L11" s="762"/>
      <c r="M11" s="300" t="s">
        <v>569</v>
      </c>
      <c r="N11" s="554"/>
      <c r="AI11" s="1642">
        <v>0</v>
      </c>
    </row>
    <row customHeight="1" ht="11.25" hidden="1">
      <c r="J12" s="1646"/>
      <c r="K12" s="1646"/>
      <c r="L12" s="1646"/>
      <c r="AI12" s="1642">
        <v>0</v>
      </c>
    </row>
    <row customHeight="1" ht="22.5" hidden="1">
      <c r="D13" s="1649"/>
      <c r="E13" s="557"/>
      <c r="F13" s="551"/>
      <c r="G13" s="980" t="s">
        <v>570</v>
      </c>
      <c r="H13" s="556"/>
      <c r="I13" s="556"/>
      <c r="J13" s="556"/>
      <c r="K13" s="556"/>
      <c r="L13" s="556"/>
      <c r="M13" s="756" t="s">
        <v>571</v>
      </c>
      <c r="N13" s="554"/>
      <c r="AI13" s="1642">
        <v>0</v>
      </c>
    </row>
    <row customHeight="1" ht="11.25" hidden="1">
      <c r="J14" s="1646"/>
      <c r="K14" s="1646"/>
      <c r="L14" s="1646"/>
      <c r="AI14" s="1642">
        <v>0</v>
      </c>
    </row>
    <row customHeight="1" ht="22.5" hidden="1">
      <c r="D15" s="1649"/>
      <c r="E15" s="557"/>
      <c r="F15" s="551"/>
      <c r="G15" s="1657" t="s">
        <v>572</v>
      </c>
      <c r="H15" s="556"/>
      <c r="I15" s="556"/>
      <c r="J15" s="556"/>
      <c r="K15" s="556"/>
      <c r="L15" s="556"/>
      <c r="M15" s="300" t="s">
        <v>573</v>
      </c>
      <c r="N15" s="554"/>
      <c r="AI15" s="1642">
        <v>0</v>
      </c>
    </row>
    <row customHeight="1" ht="11.25" hidden="1">
      <c r="J16" s="1646"/>
      <c r="K16" s="1646"/>
      <c r="L16" s="1646"/>
      <c r="AI16" s="1642">
        <v>0</v>
      </c>
    </row>
    <row customHeight="1" ht="22.5" hidden="1">
      <c r="D17" s="1649"/>
      <c r="E17" s="557"/>
      <c r="F17" s="551"/>
      <c r="G17" s="1657" t="s">
        <v>574</v>
      </c>
      <c r="H17" s="556"/>
      <c r="I17" s="556"/>
      <c r="J17" s="556"/>
      <c r="K17" s="556"/>
      <c r="L17" s="556"/>
      <c r="M17" s="300" t="s">
        <v>575</v>
      </c>
      <c r="N17" s="554"/>
      <c r="AI17" s="1642">
        <v>0</v>
      </c>
    </row>
    <row customHeight="1" ht="11.25" hidden="1">
      <c r="J18" s="1646"/>
      <c r="K18" s="1646"/>
      <c r="L18" s="1646"/>
      <c r="AI18" s="1642">
        <v>0</v>
      </c>
    </row>
    <row s="1643" customFormat="1" customHeight="1" ht="11.25" hidden="1">
      <c r="A19" s="998"/>
      <c r="B19" s="1171"/>
      <c r="C19" s="1647"/>
      <c r="D19" s="373"/>
      <c r="J19" s="1643"/>
      <c r="K19" s="1643"/>
      <c r="L19" s="1643"/>
      <c r="M19" s="1643">
        <v>4</v>
      </c>
      <c r="N19" s="1171"/>
      <c r="O19" s="1647"/>
      <c r="P19" s="1647"/>
      <c r="Q19" s="1171"/>
      <c r="R19" s="1171"/>
      <c r="S19" s="1171"/>
      <c r="T19" s="1171"/>
      <c r="U19" s="1647"/>
      <c r="V19" s="1171"/>
      <c r="W19" s="1171"/>
      <c r="X19" s="555"/>
      <c r="Y19" s="1171"/>
      <c r="Z19" s="1171"/>
      <c r="AA19" s="1171"/>
      <c r="AB19" s="1171"/>
      <c r="AC19" s="1171"/>
      <c r="AI19" s="1643">
        <v>0</v>
      </c>
    </row>
    <row customHeight="1" ht="11.549999999999999">
      <c r="J20" s="1646"/>
      <c r="K20" s="1646"/>
      <c r="L20" s="1646"/>
      <c r="AI20" s="1642">
        <v>11</v>
      </c>
    </row>
    <row customHeight="1" ht="25.2">
      <c r="E21" s="227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78"/>
      <c r="G21" s="2278"/>
      <c r="H21" s="2278"/>
      <c r="I21" s="2278"/>
      <c r="J21" s="2278"/>
      <c r="K21" s="2278"/>
      <c r="L21" s="2278"/>
      <c r="M21" s="567"/>
      <c r="AI21" s="1642">
        <v>24</v>
      </c>
    </row>
    <row customHeight="1" ht="25.2">
      <c r="E22" s="2279" t="str">
        <f>IF(org=0,"Не определено",org)</f>
        <v>ПАО "КГК"</v>
      </c>
      <c r="F22" s="2279"/>
      <c r="G22" s="2279"/>
      <c r="H22" s="2279"/>
      <c r="I22" s="2279"/>
      <c r="J22" s="2279"/>
      <c r="K22" s="2279"/>
      <c r="L22" s="2279"/>
      <c r="AI22" s="1642">
        <v>24</v>
      </c>
    </row>
    <row customHeight="1" ht="11.549999999999999">
      <c r="E23" s="1146"/>
      <c r="F23" s="1146"/>
      <c r="G23" s="1146"/>
      <c r="H23" s="1146"/>
      <c r="I23" s="1146"/>
      <c r="J23" s="1147" t="s">
        <v>22</v>
      </c>
      <c r="K23" s="1147" t="s">
        <v>22</v>
      </c>
      <c r="L23" s="1147" t="s">
        <v>22</v>
      </c>
      <c r="AI23" s="1642">
        <v>11</v>
      </c>
    </row>
    <row s="1653" customFormat="1" customHeight="1" ht="1.05">
      <c r="A24" s="1178"/>
      <c r="D24" s="1653"/>
      <c r="H24" s="900"/>
      <c r="I24" s="900" t="s">
        <v>128</v>
      </c>
      <c r="J24" s="900" t="s">
        <v>132</v>
      </c>
      <c r="K24" s="900" t="s">
        <v>134</v>
      </c>
      <c r="L24" s="900" t="s">
        <v>135</v>
      </c>
      <c r="AI24" s="1647">
        <v>1</v>
      </c>
    </row>
    <row customHeight="1" ht="11.549999999999999">
      <c r="E25" s="722"/>
      <c r="F25" s="2397" t="s">
        <v>116</v>
      </c>
      <c r="G25" s="2398"/>
      <c r="H25" s="1663" t="str">
        <f>IF(H24="","",INDEX(DIFFERENTIATION_UNMERGE_VD,MATCH(H24,DIFFERENTIATION_ID_DIFF,0)))</f>
        <v/>
      </c>
      <c r="I25" s="1663"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5" s="2423" t="str">
        <f>IF(J24="","",INDEX(DIFFERENTIATION_UNMERGE_VD,MATCH(J24,DIFFERENTIATION_ID_DIFF,0)))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K25" s="2423" t="str">
        <f>IF(K24="","",INDEX(DIFFERENTIATION_UNMERGE_VD,MATCH(K24,DIFFERENTIATION_ID_DIFF,0)))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25" s="2423" t="str">
        <f>IF(L24="","",INDEX(DIFFERENTIATION_UNMERGE_VD,MATCH(L24,DIFFERENTIATION_ID_DIFF,0)))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M25" s="2157"/>
      <c r="AI25" s="1642">
        <v>11</v>
      </c>
    </row>
    <row customHeight="1" ht="11.549999999999999">
      <c r="E26" s="722"/>
      <c r="F26" s="2397" t="s">
        <v>576</v>
      </c>
      <c r="G26" s="2398"/>
      <c r="H26" s="1663" t="str">
        <f>IF(H24="","",INDEX(DIFFERENTIATION_UNMERGE_AREA,MATCH(H24,DIFFERENTIATION_ID_DIFF,0)))</f>
        <v/>
      </c>
      <c r="I26" s="1663" t="str">
        <f>IF(I24="","",INDEX(DIFFERENTIATION_UNMERGE_AREA,MATCH(I24,DIFFERENTIATION_ID_DIFF,0)))</f>
        <v>Территория 1</v>
      </c>
      <c r="J26" s="2423" t="str">
        <f>IF(J24="","",INDEX(DIFFERENTIATION_UNMERGE_AREA,MATCH(J24,DIFFERENTIATION_ID_DIFF,0)))</f>
        <v>Территория 1</v>
      </c>
      <c r="K26" s="2423" t="str">
        <f>IF(K24="","",INDEX(DIFFERENTIATION_UNMERGE_AREA,MATCH(K24,DIFFERENTIATION_ID_DIFF,0)))</f>
        <v>Территория 2</v>
      </c>
      <c r="L26" s="2423" t="str">
        <f>IF(L24="","",INDEX(DIFFERENTIATION_UNMERGE_AREA,MATCH(L24,DIFFERENTIATION_ID_DIFF,0)))</f>
        <v>Территория 3</v>
      </c>
      <c r="M26" s="2157"/>
      <c r="AI26" s="1642">
        <v>11</v>
      </c>
    </row>
    <row customHeight="1" ht="11.549999999999999">
      <c r="E27" s="722"/>
      <c r="F27" s="2397" t="s">
        <v>577</v>
      </c>
      <c r="G27" s="2398"/>
      <c r="H27" s="1663" t="str">
        <f>IF(H24="","",INDEX(DIFFERENTIATION_UNMERGE_SYSTEM,MATCH(H24,DIFFERENTIATION_ID_DIFF,0)))</f>
        <v/>
      </c>
      <c r="I27" s="1663" t="str">
        <f>IF(I24="","",INDEX(DIFFERENTIATION_UNMERGE_SYSTEM,MATCH(I24,DIFFERENTIATION_ID_DIFF,0)))</f>
        <v>СП "Тепловые сети"</v>
      </c>
      <c r="J27" s="2423" t="str">
        <f>IF(J24="","",INDEX(DIFFERENTIATION_UNMERGE_SYSTEM,MATCH(J24,DIFFERENTIATION_ID_DIFF,0)))</f>
        <v>ОП "Энергетические сети"</v>
      </c>
      <c r="K27" s="2423" t="str">
        <f>IF(K24="","",INDEX(DIFFERENTIATION_UNMERGE_SYSTEM,MATCH(K24,DIFFERENTIATION_ID_DIFF,0)))</f>
        <v>без дифференциации</v>
      </c>
      <c r="L27" s="2423" t="str">
        <f>IF(L24="","",INDEX(DIFFERENTIATION_UNMERGE_SYSTEM,MATCH(L24,DIFFERENTIATION_ID_DIFF,0)))</f>
        <v>без дифференциации</v>
      </c>
      <c r="M27" s="2157"/>
      <c r="AI27" s="1642">
        <v>11</v>
      </c>
    </row>
    <row customHeight="1" ht="11.549999999999999">
      <c r="E28" s="2399" t="s">
        <v>314</v>
      </c>
      <c r="F28" s="2400"/>
      <c r="G28" s="2400"/>
      <c r="H28" s="1656"/>
      <c r="I28" s="1656"/>
      <c r="J28" s="2397"/>
      <c r="K28" s="2397"/>
      <c r="L28" s="2397"/>
      <c r="M28" s="2157"/>
      <c r="AI28" s="1642">
        <v>11</v>
      </c>
    </row>
    <row customHeight="1" ht="24">
      <c r="E29" s="1657" t="s">
        <v>89</v>
      </c>
      <c r="F29" s="1664" t="s">
        <v>316</v>
      </c>
      <c r="G29" s="1664" t="s">
        <v>578</v>
      </c>
      <c r="H29" s="1664" t="s">
        <v>317</v>
      </c>
      <c r="I29" s="1664" t="s">
        <v>317</v>
      </c>
      <c r="J29" s="2342" t="s">
        <v>317</v>
      </c>
      <c r="K29" s="2342" t="s">
        <v>317</v>
      </c>
      <c r="L29" s="2342" t="s">
        <v>317</v>
      </c>
      <c r="M29" s="2157"/>
      <c r="AI29" s="1642">
        <v>23</v>
      </c>
    </row>
    <row customHeight="1" ht="37.5">
      <c r="D30" s="1649"/>
      <c r="E30" s="557">
        <f>FHD_NUM_P_1</f>
        <v>1</v>
      </c>
      <c r="F30" s="1888" t="str">
        <f>FHD_P_1</f>
        <v>Выручка от регулируемого вида деятельности с распределением по видам деятельности</v>
      </c>
      <c r="G30" s="1886" t="s">
        <v>564</v>
      </c>
      <c r="H30" s="568"/>
      <c r="I30" s="568">
        <v>4006289.272604</v>
      </c>
      <c r="J30" s="568">
        <v>507623.629723</v>
      </c>
      <c r="K30" s="568">
        <v>727521.112365</v>
      </c>
      <c r="L30" s="568">
        <v>25687.17115</v>
      </c>
      <c r="M30" s="300" t="str">
        <f>FHD_NOTE_P_1</f>
        <v>Указывается выручка от регулируемого вида деятельности с распределением по видам деятельности.</v>
      </c>
      <c r="N30" s="554"/>
      <c r="AI30" s="1642">
        <v>19</v>
      </c>
    </row>
    <row customHeight="1" ht="33">
      <c r="D31" s="1649"/>
      <c r="E31" s="557">
        <f>FHD_NUM_P_2</f>
        <v>2</v>
      </c>
      <c r="F31" s="1888" t="str">
        <f>FHD_P_2</f>
        <v>Себестоимость производимых товаров (оказываемых услуг) по регулируемому виду деятельности, включая:</v>
      </c>
      <c r="G31" s="1886" t="s">
        <v>564</v>
      </c>
      <c r="H31" s="569">
        <f>SUMIF($N32:$N102,$N31,H32:H102)</f>
        <v>0</v>
      </c>
      <c r="I31" s="569">
        <f>SUMIF($N32:$N102,$N31,I32:I102)</f>
        <v>5473604.60909194</v>
      </c>
      <c r="J31" s="569">
        <f>SUMIF($N32:$N102,$N31,J32:J102)</f>
        <v>709062.93003215</v>
      </c>
      <c r="K31" s="569">
        <f>SUMIF($N32:$N102,$N31,K32:K102)</f>
        <v>1109043.75099473</v>
      </c>
      <c r="L31" s="569">
        <f>SUMIF($N32:$N102,$N31,L32:L102)</f>
        <v>65043.5031229946</v>
      </c>
      <c r="M31" s="300" t="str">
        <f>FHD_NOTE_P_2</f>
        <v>Указывается суммарная себестоимость производимых товаров.</v>
      </c>
      <c r="N31" s="1647" t="s">
        <v>579</v>
      </c>
      <c r="AI31" s="1642">
        <v>11</v>
      </c>
    </row>
    <row customHeight="1" ht="33">
      <c r="D32" s="1649"/>
      <c r="E32" s="557" t="str">
        <f>FHD_NUM_P_3</f>
        <v>2.1</v>
      </c>
      <c r="F32" s="1535" t="str">
        <f>FHD_P_3</f>
        <v>Расходы на приобретаемую тепловую энергию (мощность), теплоноситель</v>
      </c>
      <c r="G32" s="1886" t="s">
        <v>564</v>
      </c>
      <c r="H32" s="568"/>
      <c r="I32" s="568">
        <v>761197.97083</v>
      </c>
      <c r="J32" s="568">
        <v>0</v>
      </c>
      <c r="K32" s="568">
        <v>106082.36208307</v>
      </c>
      <c r="L32" s="568">
        <v>0</v>
      </c>
      <c r="M32" s="300" t="str">
        <f>FHD_NOTE_P_3</f>
        <v/>
      </c>
      <c r="N32" s="1647" t="str">
        <f>IF((LEN(E32)-LEN(SUBSTITUTE(E32,".","")))/LEN(".")=1,"p","")</f>
        <v>p</v>
      </c>
      <c r="AI32" s="1642">
        <v>11</v>
      </c>
    </row>
    <row customHeight="1" ht="11.25">
      <c r="A33" s="2401" t="s">
        <v>580</v>
      </c>
      <c r="D33" s="1649"/>
      <c r="E33" s="557" t="str">
        <f>FHD_NUM_P_4</f>
        <v>2.2</v>
      </c>
      <c r="F33" s="153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6" t="s">
        <v>564</v>
      </c>
      <c r="H33" s="569">
        <f>SUMIF($F34:$F70,$F3,H34:H70)</f>
        <v>0</v>
      </c>
      <c r="I33" s="569">
        <f>SUMIF($F34:$F70,$F3,I34:I70)</f>
        <v>1291752.00076876</v>
      </c>
      <c r="J33" s="569">
        <f>SUMIF($F34:$F70,$F3,J34:J70)</f>
        <v>233718.811223191</v>
      </c>
      <c r="K33" s="569">
        <f>SUMIF($F34:$F70,$F3,K34:K70)</f>
        <v>302034.612108925</v>
      </c>
      <c r="L33" s="569">
        <f>SUMIF($F34:$F70,$F3,L34:L70)</f>
        <v>15496.6283699622</v>
      </c>
      <c r="M33" s="300" t="str">
        <f>FHD_NOTE_P_4</f>
        <v>Указываются суммарные расходы на приобретение топлива всех видов.</v>
      </c>
      <c r="N33" s="1647" t="str">
        <f>IF((LEN(E33)-LEN(SUBSTITUTE(E33,".","")))/LEN(".")=1,"p","")</f>
        <v>p</v>
      </c>
      <c r="AI33" s="1642">
        <v>0</v>
      </c>
    </row>
    <row s="1652" customFormat="1" customHeight="1" ht="0.75">
      <c r="A34" s="2401"/>
      <c r="B34" s="2402" t="str">
        <f>E33&amp;".0"</f>
        <v>2.2.0</v>
      </c>
      <c r="C34" s="1178"/>
      <c r="D34" s="571"/>
      <c r="E34" s="572"/>
      <c r="F34" s="573"/>
      <c r="G34" s="574"/>
      <c r="H34" s="508"/>
      <c r="I34" s="508"/>
      <c r="J34" s="508"/>
      <c r="K34" s="508"/>
      <c r="L34" s="508"/>
      <c r="M34" s="575"/>
      <c r="N34" s="1647" t="str">
        <f>IF((LEN(E34)-LEN(SUBSTITUTE(E34,".","")))/LEN(".")=1,"p","")</f>
        <v/>
      </c>
      <c r="O34" s="1647"/>
      <c r="P34" s="1647"/>
      <c r="Q34" s="1647"/>
      <c r="R34" s="1647"/>
      <c r="S34" s="1647"/>
      <c r="T34" s="1647"/>
      <c r="U34" s="1647"/>
      <c r="V34" s="1647"/>
      <c r="W34" s="1647"/>
      <c r="X34" s="576"/>
      <c r="Y34" s="1647"/>
      <c r="Z34" s="1647"/>
      <c r="AA34" s="1647"/>
      <c r="AB34" s="1647"/>
      <c r="AC34" s="1647"/>
      <c r="AD34" s="577"/>
      <c r="AE34" s="577"/>
      <c r="AF34" s="577"/>
      <c r="AG34" s="577"/>
      <c r="AH34" s="577"/>
      <c r="AI34" s="1652">
        <v>0</v>
      </c>
    </row>
    <row s="1652" customFormat="1" customHeight="1" ht="0">
      <c r="A35" s="2401"/>
      <c r="B35" s="2402"/>
      <c r="C35" s="1178"/>
      <c r="D35" s="571"/>
      <c r="E35" s="578"/>
      <c r="F35" s="579"/>
      <c r="G35" s="574"/>
      <c r="H35" s="580"/>
      <c r="I35" s="580"/>
      <c r="J35" s="580"/>
      <c r="K35" s="580"/>
      <c r="L35" s="580"/>
      <c r="M35" s="575"/>
      <c r="N35" s="1647" t="str">
        <f>IF((LEN(E35)-LEN(SUBSTITUTE(E35,".","")))/LEN(".")=1,"p","")</f>
        <v/>
      </c>
      <c r="O35" s="1647"/>
      <c r="P35" s="1647"/>
      <c r="Q35" s="1647"/>
      <c r="R35" s="1647"/>
      <c r="S35" s="1647"/>
      <c r="T35" s="1647"/>
      <c r="U35" s="1647"/>
      <c r="V35" s="1647"/>
      <c r="W35" s="1647"/>
      <c r="X35" s="576"/>
      <c r="Y35" s="1647"/>
      <c r="Z35" s="1647"/>
      <c r="AA35" s="1647"/>
      <c r="AB35" s="1647"/>
      <c r="AC35" s="1647"/>
      <c r="AD35" s="577"/>
      <c r="AE35" s="577"/>
      <c r="AF35" s="577"/>
      <c r="AG35" s="577"/>
      <c r="AH35" s="577"/>
      <c r="AI35" s="1652">
        <v>0</v>
      </c>
    </row>
    <row s="1652" customFormat="1" customHeight="1" ht="0.75">
      <c r="A36" s="2401"/>
      <c r="B36" s="2402"/>
      <c r="C36" s="1178"/>
      <c r="D36" s="571"/>
      <c r="E36" s="578"/>
      <c r="F36" s="579"/>
      <c r="G36" s="574"/>
      <c r="H36" s="580"/>
      <c r="I36" s="580"/>
      <c r="J36" s="580"/>
      <c r="K36" s="580"/>
      <c r="L36" s="580"/>
      <c r="M36" s="575"/>
      <c r="N36" s="1647" t="str">
        <f>IF((LEN(E36)-LEN(SUBSTITUTE(E36,".","")))/LEN(".")=1,"p","")</f>
        <v/>
      </c>
      <c r="O36" s="1647"/>
      <c r="P36" s="1647"/>
      <c r="Q36" s="1647"/>
      <c r="R36" s="1647"/>
      <c r="S36" s="1647"/>
      <c r="T36" s="1647"/>
      <c r="U36" s="1647"/>
      <c r="V36" s="1647"/>
      <c r="W36" s="1647"/>
      <c r="X36" s="576"/>
      <c r="Y36" s="1647"/>
      <c r="Z36" s="1647"/>
      <c r="AA36" s="1647"/>
      <c r="AB36" s="1647"/>
      <c r="AC36" s="1647"/>
      <c r="AD36" s="577"/>
      <c r="AE36" s="577"/>
      <c r="AF36" s="577"/>
      <c r="AG36" s="577"/>
      <c r="AH36" s="577"/>
      <c r="AI36" s="1652">
        <v>0</v>
      </c>
    </row>
    <row s="1652" customFormat="1" customHeight="1" ht="0">
      <c r="A37" s="2401"/>
      <c r="B37" s="2402"/>
      <c r="C37" s="1178"/>
      <c r="D37" s="571"/>
      <c r="E37" s="578"/>
      <c r="F37" s="579"/>
      <c r="G37" s="574"/>
      <c r="H37" s="580"/>
      <c r="I37" s="580"/>
      <c r="J37" s="580"/>
      <c r="K37" s="580"/>
      <c r="L37" s="580"/>
      <c r="M37" s="575"/>
      <c r="N37" s="1647" t="str">
        <f>IF((LEN(E37)-LEN(SUBSTITUTE(E37,".","")))/LEN(".")=1,"p","")</f>
        <v/>
      </c>
      <c r="O37" s="1647"/>
      <c r="P37" s="1647"/>
      <c r="Q37" s="1647"/>
      <c r="R37" s="1647"/>
      <c r="S37" s="1647"/>
      <c r="T37" s="1647"/>
      <c r="U37" s="1647"/>
      <c r="V37" s="1647"/>
      <c r="W37" s="1647"/>
      <c r="X37" s="576"/>
      <c r="Y37" s="1647"/>
      <c r="Z37" s="1647"/>
      <c r="AA37" s="1647"/>
      <c r="AB37" s="1647"/>
      <c r="AC37" s="1647"/>
      <c r="AD37" s="577"/>
      <c r="AE37" s="577"/>
      <c r="AF37" s="577"/>
      <c r="AG37" s="577"/>
      <c r="AH37" s="577"/>
      <c r="AI37" s="1652">
        <v>0</v>
      </c>
    </row>
    <row s="1652" customFormat="1" customHeight="1" ht="0">
      <c r="A38" s="2401"/>
      <c r="B38" s="2402"/>
      <c r="C38" s="1178"/>
      <c r="D38" s="571"/>
      <c r="E38" s="578"/>
      <c r="F38" s="579"/>
      <c r="G38" s="574"/>
      <c r="H38" s="580"/>
      <c r="I38" s="580"/>
      <c r="J38" s="580"/>
      <c r="K38" s="580"/>
      <c r="L38" s="580"/>
      <c r="M38" s="575"/>
      <c r="N38" s="1647" t="str">
        <f>IF((LEN(E38)-LEN(SUBSTITUTE(E38,".","")))/LEN(".")=1,"p","")</f>
        <v/>
      </c>
      <c r="O38" s="1647"/>
      <c r="P38" s="1647"/>
      <c r="Q38" s="1647"/>
      <c r="R38" s="1647"/>
      <c r="S38" s="1647"/>
      <c r="T38" s="1647"/>
      <c r="U38" s="1647"/>
      <c r="V38" s="1647"/>
      <c r="W38" s="1647"/>
      <c r="X38" s="576"/>
      <c r="Y38" s="1647"/>
      <c r="Z38" s="1647"/>
      <c r="AA38" s="1647"/>
      <c r="AB38" s="1647"/>
      <c r="AC38" s="1647"/>
      <c r="AD38" s="577"/>
      <c r="AE38" s="577"/>
      <c r="AF38" s="577"/>
      <c r="AG38" s="577"/>
      <c r="AH38" s="577"/>
      <c r="AI38" s="1652">
        <v>0</v>
      </c>
    </row>
    <row s="1652" customFormat="1" customHeight="1" ht="0">
      <c r="A39" s="2401"/>
      <c r="B39" s="2402"/>
      <c r="C39" s="1178"/>
      <c r="D39" s="571"/>
      <c r="E39" s="578"/>
      <c r="F39" s="579"/>
      <c r="G39" s="574"/>
      <c r="H39" s="508"/>
      <c r="I39" s="508"/>
      <c r="J39" s="508"/>
      <c r="K39" s="508"/>
      <c r="L39" s="508"/>
      <c r="M39" s="575"/>
      <c r="N39" s="1647" t="str">
        <f>IF((LEN(E39)-LEN(SUBSTITUTE(E39,".","")))/LEN(".")=1,"p","")</f>
        <v/>
      </c>
      <c r="O39" s="1647"/>
      <c r="P39" s="1647"/>
      <c r="Q39" s="1647"/>
      <c r="R39" s="1647"/>
      <c r="S39" s="1647"/>
      <c r="T39" s="1647"/>
      <c r="U39" s="1647"/>
      <c r="V39" s="1647"/>
      <c r="W39" s="1647"/>
      <c r="X39" s="576"/>
      <c r="Y39" s="1647"/>
      <c r="Z39" s="1647"/>
      <c r="AA39" s="1647"/>
      <c r="AB39" s="1647"/>
      <c r="AC39" s="1647"/>
      <c r="AD39" s="577"/>
      <c r="AE39" s="577"/>
      <c r="AF39" s="577"/>
      <c r="AG39" s="577"/>
      <c r="AH39" s="577"/>
      <c r="AI39" s="1652">
        <v>0</v>
      </c>
    </row>
    <row s="1858" customFormat="1" customHeight="1" ht="23.25">
      <c r="A40" s="998"/>
      <c r="B40" s="2155" t="str">
        <f>E33&amp;".1"</f>
        <v>2.2.1</v>
      </c>
      <c r="C40" s="1335" t="s">
        <v>557</v>
      </c>
      <c r="D40" s="694" t="s">
        <v>105</v>
      </c>
      <c r="E40" s="557" t="str">
        <f>B40</f>
        <v>2.2.1</v>
      </c>
      <c r="F40" s="558" t="s">
        <v>581</v>
      </c>
      <c r="G40" s="2396" t="s">
        <v>558</v>
      </c>
      <c r="H40" s="2396" t="s">
        <v>558</v>
      </c>
      <c r="I40" s="2396" t="s">
        <v>558</v>
      </c>
      <c r="J40" s="2396" t="s">
        <v>558</v>
      </c>
      <c r="K40" s="2396" t="s">
        <v>558</v>
      </c>
      <c r="L40" s="2396" t="s">
        <v>558</v>
      </c>
      <c r="M40" s="1536" t="s">
        <v>559</v>
      </c>
      <c r="N40" s="745"/>
      <c r="O40" s="1653"/>
      <c r="P40" s="1653"/>
      <c r="Q40" s="1377"/>
      <c r="R40" s="1377"/>
      <c r="S40" s="1377"/>
      <c r="T40" s="1377"/>
      <c r="U40" s="1653"/>
      <c r="V40" s="1377"/>
      <c r="W40" s="1377"/>
      <c r="X40" s="747"/>
      <c r="Y40" s="1377"/>
      <c r="Z40" s="1377"/>
      <c r="AA40" s="1377"/>
      <c r="AB40" s="1377"/>
      <c r="AC40" s="1377"/>
      <c r="AD40" s="1643"/>
      <c r="AE40" s="1643"/>
      <c r="AF40" s="1643"/>
      <c r="AG40" s="1643"/>
      <c r="AH40" s="1643"/>
      <c r="AI40" s="1646">
        <v>0</v>
      </c>
    </row>
    <row s="633" customFormat="1" customHeight="1" ht="0.75" hidden="1">
      <c r="A41" s="1653"/>
      <c r="B41" s="2155" t="str">
        <f>E33&amp;".0"</f>
        <v>2.2.0</v>
      </c>
      <c r="C41" s="1335"/>
      <c r="D41" s="1335"/>
      <c r="E41" s="560"/>
      <c r="F41" s="561" t="s">
        <v>560</v>
      </c>
      <c r="G41" s="1384"/>
      <c r="H41" s="1384">
        <f>H42*H43+H44</f>
        <v>0</v>
      </c>
      <c r="I41" s="1384">
        <f>I42*I43+I44</f>
        <v>1291364.1906956</v>
      </c>
      <c r="J41" s="1384">
        <f>J42*J43+J44</f>
        <v>231954.923013188</v>
      </c>
      <c r="K41" s="1384">
        <f>K42*K43+K44</f>
        <v>301703.309098925</v>
      </c>
      <c r="L41" s="1384">
        <f>L42*L43+L44</f>
        <v>15496.6283699622</v>
      </c>
      <c r="M41" s="1387"/>
      <c r="N41" s="1653"/>
      <c r="O41" s="1653"/>
      <c r="P41" s="1653"/>
      <c r="Q41" s="1653"/>
      <c r="R41" s="1653"/>
      <c r="S41" s="1653"/>
      <c r="T41" s="1653"/>
      <c r="U41" s="1653"/>
      <c r="V41" s="1653"/>
      <c r="W41" s="1653"/>
      <c r="X41" s="1653"/>
      <c r="Y41" s="1653"/>
      <c r="Z41" s="1653"/>
      <c r="AA41" s="1653"/>
      <c r="AB41" s="1653"/>
      <c r="AC41" s="1653"/>
      <c r="AD41" s="1653"/>
      <c r="AE41" s="1653"/>
      <c r="AF41" s="1653"/>
      <c r="AG41" s="1653"/>
      <c r="AH41" s="1653"/>
      <c r="AI41" s="1653">
        <v>0</v>
      </c>
    </row>
    <row s="1858" customFormat="1" customHeight="1" ht="23.25">
      <c r="A42" s="998"/>
      <c r="B42" s="2155" t="str">
        <f>E33&amp;".0"</f>
        <v>2.2.0</v>
      </c>
      <c r="C42" s="1335"/>
      <c r="D42" s="2168"/>
      <c r="E42" s="557" t="str">
        <f>B40&amp;".1"</f>
        <v>2.2.1.1</v>
      </c>
      <c r="F42" s="564" t="s">
        <v>561</v>
      </c>
      <c r="G42" s="565" t="s">
        <v>582</v>
      </c>
      <c r="H42" s="762"/>
      <c r="I42" s="762">
        <v>209679.515246441</v>
      </c>
      <c r="J42" s="762">
        <v>33435.8598983973</v>
      </c>
      <c r="K42" s="762">
        <v>44638.568</v>
      </c>
      <c r="L42" s="762">
        <v>2204.815</v>
      </c>
      <c r="M42" s="1536" t="s">
        <v>562</v>
      </c>
      <c r="N42" s="745"/>
      <c r="O42" s="1653"/>
      <c r="P42" s="1653"/>
      <c r="Q42" s="1377"/>
      <c r="R42" s="1377"/>
      <c r="S42" s="1377"/>
      <c r="T42" s="1377"/>
      <c r="U42" s="1653"/>
      <c r="V42" s="1377"/>
      <c r="W42" s="1377"/>
      <c r="X42" s="747"/>
      <c r="Y42" s="1377"/>
      <c r="Z42" s="1377"/>
      <c r="AA42" s="1377"/>
      <c r="AB42" s="1377"/>
      <c r="AC42" s="1377"/>
      <c r="AD42" s="1643"/>
      <c r="AE42" s="1643"/>
      <c r="AF42" s="1643"/>
      <c r="AG42" s="1643"/>
      <c r="AH42" s="1643"/>
      <c r="AI42" s="1646">
        <v>0</v>
      </c>
    </row>
    <row s="1858" customFormat="1" customHeight="1" ht="18.75">
      <c r="A43" s="998"/>
      <c r="B43" s="2155" t="str">
        <f>E33&amp;".0"</f>
        <v>2.2.0</v>
      </c>
      <c r="C43" s="1335"/>
      <c r="D43" s="2168"/>
      <c r="E43" s="557" t="str">
        <f>B40&amp;".2"</f>
        <v>2.2.1.2</v>
      </c>
      <c r="F43" s="564" t="s">
        <v>563</v>
      </c>
      <c r="G43" s="2396" t="s">
        <v>564</v>
      </c>
      <c r="H43" s="762"/>
      <c r="I43" s="762">
        <v>5.6800750549</v>
      </c>
      <c r="J43" s="762">
        <v>5.6956621402</v>
      </c>
      <c r="K43" s="762">
        <v>5.6881230856</v>
      </c>
      <c r="L43" s="762">
        <v>5.6697812424</v>
      </c>
      <c r="M43" s="1536"/>
      <c r="N43" s="745"/>
      <c r="O43" s="1653"/>
      <c r="P43" s="1653"/>
      <c r="Q43" s="1377"/>
      <c r="R43" s="1377"/>
      <c r="S43" s="1377"/>
      <c r="T43" s="1377"/>
      <c r="U43" s="1653"/>
      <c r="V43" s="1377"/>
      <c r="W43" s="1377"/>
      <c r="X43" s="747"/>
      <c r="Y43" s="1377"/>
      <c r="Z43" s="1377"/>
      <c r="AA43" s="1377"/>
      <c r="AB43" s="1377"/>
      <c r="AC43" s="1377"/>
      <c r="AD43" s="1643"/>
      <c r="AE43" s="1643"/>
      <c r="AF43" s="1643"/>
      <c r="AG43" s="1643"/>
      <c r="AH43" s="1643"/>
      <c r="AI43" s="1646">
        <v>0</v>
      </c>
    </row>
    <row s="1858" customFormat="1" customHeight="1" ht="18.75">
      <c r="A44" s="998"/>
      <c r="B44" s="2155" t="str">
        <f>E33&amp;".0"</f>
        <v>2.2.0</v>
      </c>
      <c r="C44" s="1335"/>
      <c r="D44" s="2168"/>
      <c r="E44" s="557" t="str">
        <f>B40&amp;".3"</f>
        <v>2.2.1.3</v>
      </c>
      <c r="F44" s="564" t="s">
        <v>565</v>
      </c>
      <c r="G44" s="2396" t="s">
        <v>564</v>
      </c>
      <c r="H44" s="762"/>
      <c r="I44" s="762">
        <v>100368.80662077</v>
      </c>
      <c r="J44" s="762">
        <v>41515.561664855</v>
      </c>
      <c r="K44" s="762">
        <v>47793.63995</v>
      </c>
      <c r="L44" s="762">
        <v>2995.80964</v>
      </c>
      <c r="M44" s="1536"/>
      <c r="N44" s="745"/>
      <c r="O44" s="1653"/>
      <c r="P44" s="1653"/>
      <c r="Q44" s="1377"/>
      <c r="R44" s="1377"/>
      <c r="S44" s="1377"/>
      <c r="T44" s="1377"/>
      <c r="U44" s="1653"/>
      <c r="V44" s="1377"/>
      <c r="W44" s="1377"/>
      <c r="X44" s="747"/>
      <c r="Y44" s="1377"/>
      <c r="Z44" s="1377"/>
      <c r="AA44" s="1377"/>
      <c r="AB44" s="1377"/>
      <c r="AC44" s="1377"/>
      <c r="AD44" s="1643"/>
      <c r="AE44" s="1643"/>
      <c r="AF44" s="1643"/>
      <c r="AG44" s="1643"/>
      <c r="AH44" s="1643"/>
      <c r="AI44" s="1646">
        <v>0</v>
      </c>
    </row>
    <row s="1858" customFormat="1" customHeight="1" ht="18.75">
      <c r="A45" s="998"/>
      <c r="B45" s="2155" t="str">
        <f>E33&amp;".0"</f>
        <v>2.2.0</v>
      </c>
      <c r="C45" s="1335"/>
      <c r="D45" s="2168"/>
      <c r="E45" s="557" t="str">
        <f>B40&amp;".4"</f>
        <v>2.2.1.4</v>
      </c>
      <c r="F45" s="564" t="s">
        <v>566</v>
      </c>
      <c r="G45" s="2396" t="s">
        <v>558</v>
      </c>
      <c r="H45" s="566"/>
      <c r="I45" s="566" t="s">
        <v>583</v>
      </c>
      <c r="J45" s="566" t="s">
        <v>583</v>
      </c>
      <c r="K45" s="566" t="s">
        <v>583</v>
      </c>
      <c r="L45" s="566" t="s">
        <v>583</v>
      </c>
      <c r="M45" s="1536"/>
      <c r="N45" s="745"/>
      <c r="O45" s="1653"/>
      <c r="P45" s="1653"/>
      <c r="Q45" s="1377"/>
      <c r="R45" s="1377"/>
      <c r="S45" s="1377"/>
      <c r="T45" s="1377"/>
      <c r="U45" s="1653"/>
      <c r="V45" s="1377"/>
      <c r="W45" s="1377"/>
      <c r="X45" s="747"/>
      <c r="Y45" s="1377"/>
      <c r="Z45" s="1377"/>
      <c r="AA45" s="1377"/>
      <c r="AB45" s="1377"/>
      <c r="AC45" s="1377"/>
      <c r="AD45" s="1643"/>
      <c r="AE45" s="1643"/>
      <c r="AF45" s="1643"/>
      <c r="AG45" s="1643"/>
      <c r="AH45" s="1643"/>
      <c r="AI45" s="1646">
        <v>0</v>
      </c>
    </row>
    <row s="1858" customFormat="1" customHeight="1" ht="23.25">
      <c r="A46" s="998"/>
      <c r="B46" s="2155" t="str">
        <f>E33&amp;".2"</f>
        <v>2.2.2</v>
      </c>
      <c r="C46" s="1335" t="s">
        <v>557</v>
      </c>
      <c r="D46" s="694" t="s">
        <v>105</v>
      </c>
      <c r="E46" s="557" t="str">
        <f>B46</f>
        <v>2.2.2</v>
      </c>
      <c r="F46" s="558" t="s">
        <v>584</v>
      </c>
      <c r="G46" s="2396" t="s">
        <v>558</v>
      </c>
      <c r="H46" s="2396" t="s">
        <v>558</v>
      </c>
      <c r="I46" s="2396" t="s">
        <v>558</v>
      </c>
      <c r="J46" s="2396" t="s">
        <v>558</v>
      </c>
      <c r="K46" s="2396" t="s">
        <v>558</v>
      </c>
      <c r="L46" s="2396" t="s">
        <v>558</v>
      </c>
      <c r="M46" s="1536" t="s">
        <v>559</v>
      </c>
      <c r="N46" s="745"/>
      <c r="O46" s="1653"/>
      <c r="P46" s="1653"/>
      <c r="Q46" s="1377"/>
      <c r="R46" s="1377"/>
      <c r="S46" s="1377"/>
      <c r="T46" s="1377"/>
      <c r="U46" s="1653"/>
      <c r="V46" s="1377"/>
      <c r="W46" s="1377"/>
      <c r="X46" s="747"/>
      <c r="Y46" s="1377"/>
      <c r="Z46" s="1377"/>
      <c r="AA46" s="1377"/>
      <c r="AB46" s="1377"/>
      <c r="AC46" s="1377"/>
      <c r="AD46" s="1643"/>
      <c r="AE46" s="1643"/>
      <c r="AF46" s="1643"/>
      <c r="AG46" s="1643"/>
      <c r="AH46" s="1643"/>
      <c r="AI46" s="1646">
        <v>0</v>
      </c>
    </row>
    <row s="633" customFormat="1" customHeight="1" ht="0.75" hidden="1">
      <c r="A47" s="1653"/>
      <c r="B47" s="2155" t="str">
        <f>E33&amp;".1"</f>
        <v>2.2.1</v>
      </c>
      <c r="C47" s="1335"/>
      <c r="D47" s="1335"/>
      <c r="E47" s="560"/>
      <c r="F47" s="561" t="s">
        <v>560</v>
      </c>
      <c r="G47" s="1384"/>
      <c r="H47" s="1384">
        <f>H48*H49+H50</f>
        <v>0</v>
      </c>
      <c r="I47" s="1384">
        <f>I48*I49+I50</f>
        <v>207.9525</v>
      </c>
      <c r="J47" s="1384">
        <f>J48*J49+J50</f>
        <v>328.26712000184</v>
      </c>
      <c r="K47" s="1384">
        <f>K48*K49+K50</f>
        <v>0</v>
      </c>
      <c r="L47" s="1384">
        <f>L48*L49+L50</f>
        <v>0</v>
      </c>
      <c r="M47" s="1387"/>
      <c r="N47" s="1653"/>
      <c r="O47" s="1653"/>
      <c r="P47" s="1653"/>
      <c r="Q47" s="1653"/>
      <c r="R47" s="1653"/>
      <c r="S47" s="1653"/>
      <c r="T47" s="1653"/>
      <c r="U47" s="1653"/>
      <c r="V47" s="1653"/>
      <c r="W47" s="1653"/>
      <c r="X47" s="1653"/>
      <c r="Y47" s="1653"/>
      <c r="Z47" s="1653"/>
      <c r="AA47" s="1653"/>
      <c r="AB47" s="1653"/>
      <c r="AC47" s="1653"/>
      <c r="AD47" s="1653"/>
      <c r="AE47" s="1653"/>
      <c r="AF47" s="1653"/>
      <c r="AG47" s="1653"/>
      <c r="AH47" s="1653"/>
      <c r="AI47" s="1653">
        <v>0</v>
      </c>
    </row>
    <row s="1858" customFormat="1" customHeight="1" ht="23.25">
      <c r="A48" s="998"/>
      <c r="B48" s="2155" t="str">
        <f>E33&amp;".1"</f>
        <v>2.2.1</v>
      </c>
      <c r="C48" s="1335"/>
      <c r="D48" s="2168"/>
      <c r="E48" s="557" t="str">
        <f>B46&amp;".1"</f>
        <v>2.2.2.1</v>
      </c>
      <c r="F48" s="564" t="s">
        <v>561</v>
      </c>
      <c r="G48" s="565" t="s">
        <v>585</v>
      </c>
      <c r="H48" s="762"/>
      <c r="I48" s="762">
        <v>30</v>
      </c>
      <c r="J48" s="762">
        <v>36.95</v>
      </c>
      <c r="K48" s="762" t="s">
        <v>586</v>
      </c>
      <c r="L48" s="762" t="s">
        <v>586</v>
      </c>
      <c r="M48" s="1536" t="s">
        <v>562</v>
      </c>
      <c r="N48" s="745"/>
      <c r="O48" s="1653"/>
      <c r="P48" s="1653"/>
      <c r="Q48" s="1377"/>
      <c r="R48" s="1377"/>
      <c r="S48" s="1377"/>
      <c r="T48" s="1377"/>
      <c r="U48" s="1653"/>
      <c r="V48" s="1377"/>
      <c r="W48" s="1377"/>
      <c r="X48" s="747"/>
      <c r="Y48" s="1377"/>
      <c r="Z48" s="1377"/>
      <c r="AA48" s="1377"/>
      <c r="AB48" s="1377"/>
      <c r="AC48" s="1377"/>
      <c r="AD48" s="1643"/>
      <c r="AE48" s="1643"/>
      <c r="AF48" s="1643"/>
      <c r="AG48" s="1643"/>
      <c r="AH48" s="1643"/>
      <c r="AI48" s="1646">
        <v>0</v>
      </c>
    </row>
    <row s="1858" customFormat="1" customHeight="1" ht="18.75">
      <c r="A49" s="998"/>
      <c r="B49" s="2155" t="str">
        <f>E33&amp;".1"</f>
        <v>2.2.1</v>
      </c>
      <c r="C49" s="1335"/>
      <c r="D49" s="2168"/>
      <c r="E49" s="557" t="str">
        <f>B46&amp;".2"</f>
        <v>2.2.2.2</v>
      </c>
      <c r="F49" s="564" t="s">
        <v>563</v>
      </c>
      <c r="G49" s="2396" t="s">
        <v>564</v>
      </c>
      <c r="H49" s="762"/>
      <c r="I49" s="762">
        <v>6.91475</v>
      </c>
      <c r="J49" s="762">
        <v>8.8840898512</v>
      </c>
      <c r="K49" s="762" t="s">
        <v>586</v>
      </c>
      <c r="L49" s="762" t="s">
        <v>586</v>
      </c>
      <c r="M49" s="1536"/>
      <c r="N49" s="745"/>
      <c r="O49" s="1653"/>
      <c r="P49" s="1653"/>
      <c r="Q49" s="1377"/>
      <c r="R49" s="1377"/>
      <c r="S49" s="1377"/>
      <c r="T49" s="1377"/>
      <c r="U49" s="1653"/>
      <c r="V49" s="1377"/>
      <c r="W49" s="1377"/>
      <c r="X49" s="747"/>
      <c r="Y49" s="1377"/>
      <c r="Z49" s="1377"/>
      <c r="AA49" s="1377"/>
      <c r="AB49" s="1377"/>
      <c r="AC49" s="1377"/>
      <c r="AD49" s="1643"/>
      <c r="AE49" s="1643"/>
      <c r="AF49" s="1643"/>
      <c r="AG49" s="1643"/>
      <c r="AH49" s="1643"/>
      <c r="AI49" s="1646">
        <v>0</v>
      </c>
    </row>
    <row s="1858" customFormat="1" customHeight="1" ht="18.75">
      <c r="A50" s="998"/>
      <c r="B50" s="2155" t="str">
        <f>E33&amp;".1"</f>
        <v>2.2.1</v>
      </c>
      <c r="C50" s="1335"/>
      <c r="D50" s="2168"/>
      <c r="E50" s="557" t="str">
        <f>B46&amp;".3"</f>
        <v>2.2.2.3</v>
      </c>
      <c r="F50" s="564" t="s">
        <v>565</v>
      </c>
      <c r="G50" s="2396" t="s">
        <v>564</v>
      </c>
      <c r="H50" s="762"/>
      <c r="I50" s="762">
        <v>0.51</v>
      </c>
      <c r="J50" s="762">
        <v>0</v>
      </c>
      <c r="K50" s="762" t="s">
        <v>586</v>
      </c>
      <c r="L50" s="762" t="s">
        <v>586</v>
      </c>
      <c r="M50" s="1536"/>
      <c r="N50" s="745"/>
      <c r="O50" s="1653"/>
      <c r="P50" s="1653"/>
      <c r="Q50" s="1377"/>
      <c r="R50" s="1377"/>
      <c r="S50" s="1377"/>
      <c r="T50" s="1377"/>
      <c r="U50" s="1653"/>
      <c r="V50" s="1377"/>
      <c r="W50" s="1377"/>
      <c r="X50" s="747"/>
      <c r="Y50" s="1377"/>
      <c r="Z50" s="1377"/>
      <c r="AA50" s="1377"/>
      <c r="AB50" s="1377"/>
      <c r="AC50" s="1377"/>
      <c r="AD50" s="1643"/>
      <c r="AE50" s="1643"/>
      <c r="AF50" s="1643"/>
      <c r="AG50" s="1643"/>
      <c r="AH50" s="1643"/>
      <c r="AI50" s="1646">
        <v>0</v>
      </c>
    </row>
    <row s="1858" customFormat="1" customHeight="1" ht="18.75">
      <c r="A51" s="998"/>
      <c r="B51" s="2155" t="str">
        <f>E33&amp;".1"</f>
        <v>2.2.1</v>
      </c>
      <c r="C51" s="1335"/>
      <c r="D51" s="2168"/>
      <c r="E51" s="557" t="str">
        <f>B46&amp;".4"</f>
        <v>2.2.2.4</v>
      </c>
      <c r="F51" s="564" t="s">
        <v>566</v>
      </c>
      <c r="G51" s="2396" t="s">
        <v>558</v>
      </c>
      <c r="H51" s="566"/>
      <c r="I51" s="566" t="s">
        <v>583</v>
      </c>
      <c r="J51" s="566" t="s">
        <v>583</v>
      </c>
      <c r="K51" s="566"/>
      <c r="L51" s="566"/>
      <c r="M51" s="1536"/>
      <c r="N51" s="745"/>
      <c r="O51" s="1653"/>
      <c r="P51" s="1653"/>
      <c r="Q51" s="1377"/>
      <c r="R51" s="1377"/>
      <c r="S51" s="1377"/>
      <c r="T51" s="1377"/>
      <c r="U51" s="1653"/>
      <c r="V51" s="1377"/>
      <c r="W51" s="1377"/>
      <c r="X51" s="747"/>
      <c r="Y51" s="1377"/>
      <c r="Z51" s="1377"/>
      <c r="AA51" s="1377"/>
      <c r="AB51" s="1377"/>
      <c r="AC51" s="1377"/>
      <c r="AD51" s="1643"/>
      <c r="AE51" s="1643"/>
      <c r="AF51" s="1643"/>
      <c r="AG51" s="1643"/>
      <c r="AH51" s="1643"/>
      <c r="AI51" s="1646">
        <v>0</v>
      </c>
    </row>
    <row s="1858" customFormat="1" customHeight="1" ht="23.25">
      <c r="A52" s="998"/>
      <c r="B52" s="2155" t="str">
        <f>E33&amp;".3"</f>
        <v>2.2.3</v>
      </c>
      <c r="C52" s="1335" t="s">
        <v>557</v>
      </c>
      <c r="D52" s="694" t="s">
        <v>105</v>
      </c>
      <c r="E52" s="557" t="str">
        <f>B52</f>
        <v>2.2.3</v>
      </c>
      <c r="F52" s="558" t="s">
        <v>587</v>
      </c>
      <c r="G52" s="2396" t="s">
        <v>558</v>
      </c>
      <c r="H52" s="2396" t="s">
        <v>558</v>
      </c>
      <c r="I52" s="2396" t="s">
        <v>558</v>
      </c>
      <c r="J52" s="2396" t="s">
        <v>558</v>
      </c>
      <c r="K52" s="2396" t="s">
        <v>558</v>
      </c>
      <c r="L52" s="2396" t="s">
        <v>558</v>
      </c>
      <c r="M52" s="1536" t="s">
        <v>559</v>
      </c>
      <c r="N52" s="745"/>
      <c r="O52" s="1653"/>
      <c r="P52" s="1653"/>
      <c r="Q52" s="1377"/>
      <c r="R52" s="1377"/>
      <c r="S52" s="1377"/>
      <c r="T52" s="1377"/>
      <c r="U52" s="1653"/>
      <c r="V52" s="1377"/>
      <c r="W52" s="1377"/>
      <c r="X52" s="747"/>
      <c r="Y52" s="1377"/>
      <c r="Z52" s="1377"/>
      <c r="AA52" s="1377"/>
      <c r="AB52" s="1377"/>
      <c r="AC52" s="1377"/>
      <c r="AD52" s="1643"/>
      <c r="AE52" s="1643"/>
      <c r="AF52" s="1643"/>
      <c r="AG52" s="1643"/>
      <c r="AH52" s="1643"/>
      <c r="AI52" s="1646">
        <v>0</v>
      </c>
    </row>
    <row s="633" customFormat="1" customHeight="1" ht="0.75" hidden="1">
      <c r="A53" s="1653"/>
      <c r="B53" s="2155" t="str">
        <f>E33&amp;".2"</f>
        <v>2.2.2</v>
      </c>
      <c r="C53" s="1335"/>
      <c r="D53" s="1335"/>
      <c r="E53" s="560"/>
      <c r="F53" s="561" t="s">
        <v>560</v>
      </c>
      <c r="G53" s="1384"/>
      <c r="H53" s="1384">
        <f>H54*H55+H56</f>
        <v>0</v>
      </c>
      <c r="I53" s="1384">
        <f>I54*I55+I56</f>
        <v>179.857573163442</v>
      </c>
      <c r="J53" s="1384">
        <f>J54*J55+J56</f>
        <v>4.58335</v>
      </c>
      <c r="K53" s="1384">
        <f>K54*K55+K56</f>
        <v>325.846739999616</v>
      </c>
      <c r="L53" s="1384">
        <f>L54*L55+L56</f>
        <v>0</v>
      </c>
      <c r="M53" s="1387"/>
      <c r="N53" s="1653"/>
      <c r="O53" s="1653"/>
      <c r="P53" s="1653"/>
      <c r="Q53" s="1653"/>
      <c r="R53" s="1653"/>
      <c r="S53" s="1653"/>
      <c r="T53" s="1653"/>
      <c r="U53" s="1653"/>
      <c r="V53" s="1653"/>
      <c r="W53" s="1653"/>
      <c r="X53" s="1653"/>
      <c r="Y53" s="1653"/>
      <c r="Z53" s="1653"/>
      <c r="AA53" s="1653"/>
      <c r="AB53" s="1653"/>
      <c r="AC53" s="1653"/>
      <c r="AD53" s="1653"/>
      <c r="AE53" s="1653"/>
      <c r="AF53" s="1653"/>
      <c r="AG53" s="1653"/>
      <c r="AH53" s="1653"/>
      <c r="AI53" s="1653">
        <v>0</v>
      </c>
    </row>
    <row s="1858" customFormat="1" customHeight="1" ht="23.25">
      <c r="A54" s="998"/>
      <c r="B54" s="2155" t="str">
        <f>E33&amp;".2"</f>
        <v>2.2.2</v>
      </c>
      <c r="C54" s="1335"/>
      <c r="D54" s="2168"/>
      <c r="E54" s="557" t="str">
        <f>B52&amp;".1"</f>
        <v>2.2.3.1</v>
      </c>
      <c r="F54" s="564" t="s">
        <v>561</v>
      </c>
      <c r="G54" s="565" t="s">
        <v>585</v>
      </c>
      <c r="H54" s="762"/>
      <c r="I54" s="762">
        <v>174.4147886575</v>
      </c>
      <c r="J54" s="762">
        <v>1</v>
      </c>
      <c r="K54" s="762">
        <v>63.76</v>
      </c>
      <c r="L54" s="762" t="s">
        <v>586</v>
      </c>
      <c r="M54" s="1536" t="s">
        <v>562</v>
      </c>
      <c r="N54" s="745"/>
      <c r="O54" s="1653"/>
      <c r="P54" s="1653"/>
      <c r="Q54" s="1377"/>
      <c r="R54" s="1377"/>
      <c r="S54" s="1377"/>
      <c r="T54" s="1377"/>
      <c r="U54" s="1653"/>
      <c r="V54" s="1377"/>
      <c r="W54" s="1377"/>
      <c r="X54" s="747"/>
      <c r="Y54" s="1377"/>
      <c r="Z54" s="1377"/>
      <c r="AA54" s="1377"/>
      <c r="AB54" s="1377"/>
      <c r="AC54" s="1377"/>
      <c r="AD54" s="1643"/>
      <c r="AE54" s="1643"/>
      <c r="AF54" s="1643"/>
      <c r="AG54" s="1643"/>
      <c r="AH54" s="1643"/>
      <c r="AI54" s="1646">
        <v>0</v>
      </c>
    </row>
    <row s="1858" customFormat="1" customHeight="1" ht="18.75">
      <c r="A55" s="998"/>
      <c r="B55" s="2155" t="str">
        <f>E33&amp;".2"</f>
        <v>2.2.2</v>
      </c>
      <c r="C55" s="1335"/>
      <c r="D55" s="2168"/>
      <c r="E55" s="557" t="str">
        <f>B52&amp;".2"</f>
        <v>2.2.3.2</v>
      </c>
      <c r="F55" s="564" t="s">
        <v>563</v>
      </c>
      <c r="G55" s="2396" t="s">
        <v>564</v>
      </c>
      <c r="H55" s="762"/>
      <c r="I55" s="762">
        <v>0.54455</v>
      </c>
      <c r="J55" s="762">
        <v>4.58335</v>
      </c>
      <c r="K55" s="762">
        <v>5.1105197616</v>
      </c>
      <c r="L55" s="762" t="s">
        <v>586</v>
      </c>
      <c r="M55" s="1536"/>
      <c r="N55" s="745"/>
      <c r="O55" s="1653"/>
      <c r="P55" s="1653"/>
      <c r="Q55" s="1377"/>
      <c r="R55" s="1377"/>
      <c r="S55" s="1377"/>
      <c r="T55" s="1377"/>
      <c r="U55" s="1653"/>
      <c r="V55" s="1377"/>
      <c r="W55" s="1377"/>
      <c r="X55" s="747"/>
      <c r="Y55" s="1377"/>
      <c r="Z55" s="1377"/>
      <c r="AA55" s="1377"/>
      <c r="AB55" s="1377"/>
      <c r="AC55" s="1377"/>
      <c r="AD55" s="1643"/>
      <c r="AE55" s="1643"/>
      <c r="AF55" s="1643"/>
      <c r="AG55" s="1643"/>
      <c r="AH55" s="1643"/>
      <c r="AI55" s="1646">
        <v>0</v>
      </c>
    </row>
    <row s="1858" customFormat="1" customHeight="1" ht="18.75">
      <c r="A56" s="998"/>
      <c r="B56" s="2155" t="str">
        <f>E33&amp;".2"</f>
        <v>2.2.2</v>
      </c>
      <c r="C56" s="1335"/>
      <c r="D56" s="2168"/>
      <c r="E56" s="557" t="str">
        <f>B52&amp;".3"</f>
        <v>2.2.3.3</v>
      </c>
      <c r="F56" s="564" t="s">
        <v>565</v>
      </c>
      <c r="G56" s="2396" t="s">
        <v>564</v>
      </c>
      <c r="H56" s="762"/>
      <c r="I56" s="762">
        <v>84.88</v>
      </c>
      <c r="J56" s="762">
        <v>0</v>
      </c>
      <c r="K56" s="762">
        <v>0</v>
      </c>
      <c r="L56" s="762" t="s">
        <v>586</v>
      </c>
      <c r="M56" s="1536"/>
      <c r="N56" s="745"/>
      <c r="O56" s="1653"/>
      <c r="P56" s="1653"/>
      <c r="Q56" s="1377"/>
      <c r="R56" s="1377"/>
      <c r="S56" s="1377"/>
      <c r="T56" s="1377"/>
      <c r="U56" s="1653"/>
      <c r="V56" s="1377"/>
      <c r="W56" s="1377"/>
      <c r="X56" s="747"/>
      <c r="Y56" s="1377"/>
      <c r="Z56" s="1377"/>
      <c r="AA56" s="1377"/>
      <c r="AB56" s="1377"/>
      <c r="AC56" s="1377"/>
      <c r="AD56" s="1643"/>
      <c r="AE56" s="1643"/>
      <c r="AF56" s="1643"/>
      <c r="AG56" s="1643"/>
      <c r="AH56" s="1643"/>
      <c r="AI56" s="1646">
        <v>0</v>
      </c>
    </row>
    <row s="1858" customFormat="1" customHeight="1" ht="18.75">
      <c r="A57" s="998"/>
      <c r="B57" s="2155" t="str">
        <f>E33&amp;".2"</f>
        <v>2.2.2</v>
      </c>
      <c r="C57" s="1335"/>
      <c r="D57" s="2168"/>
      <c r="E57" s="557" t="str">
        <f>B52&amp;".4"</f>
        <v>2.2.3.4</v>
      </c>
      <c r="F57" s="564" t="s">
        <v>566</v>
      </c>
      <c r="G57" s="2396" t="s">
        <v>558</v>
      </c>
      <c r="H57" s="566"/>
      <c r="I57" s="566" t="s">
        <v>583</v>
      </c>
      <c r="J57" s="566" t="s">
        <v>583</v>
      </c>
      <c r="K57" s="566" t="s">
        <v>583</v>
      </c>
      <c r="L57" s="566"/>
      <c r="M57" s="1536"/>
      <c r="N57" s="745"/>
      <c r="O57" s="1653"/>
      <c r="P57" s="1653"/>
      <c r="Q57" s="1377"/>
      <c r="R57" s="1377"/>
      <c r="S57" s="1377"/>
      <c r="T57" s="1377"/>
      <c r="U57" s="1653"/>
      <c r="V57" s="1377"/>
      <c r="W57" s="1377"/>
      <c r="X57" s="747"/>
      <c r="Y57" s="1377"/>
      <c r="Z57" s="1377"/>
      <c r="AA57" s="1377"/>
      <c r="AB57" s="1377"/>
      <c r="AC57" s="1377"/>
      <c r="AD57" s="1643"/>
      <c r="AE57" s="1643"/>
      <c r="AF57" s="1643"/>
      <c r="AG57" s="1643"/>
      <c r="AH57" s="1643"/>
      <c r="AI57" s="1646">
        <v>0</v>
      </c>
    </row>
    <row s="1858" customFormat="1" customHeight="1" ht="23.25">
      <c r="A58" s="998"/>
      <c r="B58" s="2155" t="str">
        <f>E33&amp;".4"</f>
        <v>2.2.4</v>
      </c>
      <c r="C58" s="1335" t="s">
        <v>557</v>
      </c>
      <c r="D58" s="694" t="s">
        <v>105</v>
      </c>
      <c r="E58" s="557" t="str">
        <f>B58</f>
        <v>2.2.4</v>
      </c>
      <c r="F58" s="558" t="s">
        <v>588</v>
      </c>
      <c r="G58" s="2396" t="s">
        <v>558</v>
      </c>
      <c r="H58" s="2396" t="s">
        <v>558</v>
      </c>
      <c r="I58" s="2396" t="s">
        <v>558</v>
      </c>
      <c r="J58" s="2396" t="s">
        <v>558</v>
      </c>
      <c r="K58" s="2396" t="s">
        <v>558</v>
      </c>
      <c r="L58" s="2396" t="s">
        <v>558</v>
      </c>
      <c r="M58" s="1536" t="s">
        <v>559</v>
      </c>
      <c r="N58" s="745"/>
      <c r="O58" s="1653"/>
      <c r="P58" s="1653"/>
      <c r="Q58" s="1377"/>
      <c r="R58" s="1377"/>
      <c r="S58" s="1377"/>
      <c r="T58" s="1377"/>
      <c r="U58" s="1653"/>
      <c r="V58" s="1377"/>
      <c r="W58" s="1377"/>
      <c r="X58" s="747"/>
      <c r="Y58" s="1377"/>
      <c r="Z58" s="1377"/>
      <c r="AA58" s="1377"/>
      <c r="AB58" s="1377"/>
      <c r="AC58" s="1377"/>
      <c r="AD58" s="1643"/>
      <c r="AE58" s="1643"/>
      <c r="AF58" s="1643"/>
      <c r="AG58" s="1643"/>
      <c r="AH58" s="1643"/>
      <c r="AI58" s="1646">
        <v>0</v>
      </c>
    </row>
    <row s="633" customFormat="1" customHeight="1" ht="0.75" hidden="1">
      <c r="A59" s="1653"/>
      <c r="B59" s="2155" t="str">
        <f>E33&amp;".3"</f>
        <v>2.2.3</v>
      </c>
      <c r="C59" s="1335"/>
      <c r="D59" s="1335"/>
      <c r="E59" s="560"/>
      <c r="F59" s="561" t="s">
        <v>560</v>
      </c>
      <c r="G59" s="1384"/>
      <c r="H59" s="1384">
        <f>H60*H61+H62</f>
        <v>0</v>
      </c>
      <c r="I59" s="1384">
        <f>I60*I61+I62</f>
        <v>0</v>
      </c>
      <c r="J59" s="1384">
        <f>J60*J61+J62</f>
        <v>1431.03774000121</v>
      </c>
      <c r="K59" s="1384">
        <f>K60*K61+K62</f>
        <v>0</v>
      </c>
      <c r="L59" s="1384">
        <f>L60*L61+L62</f>
        <v>0</v>
      </c>
      <c r="M59" s="1387"/>
      <c r="N59" s="1653"/>
      <c r="O59" s="1653"/>
      <c r="P59" s="1653"/>
      <c r="Q59" s="1653"/>
      <c r="R59" s="1653"/>
      <c r="S59" s="1653"/>
      <c r="T59" s="1653"/>
      <c r="U59" s="1653"/>
      <c r="V59" s="1653"/>
      <c r="W59" s="1653"/>
      <c r="X59" s="1653"/>
      <c r="Y59" s="1653"/>
      <c r="Z59" s="1653"/>
      <c r="AA59" s="1653"/>
      <c r="AB59" s="1653"/>
      <c r="AC59" s="1653"/>
      <c r="AD59" s="1653"/>
      <c r="AE59" s="1653"/>
      <c r="AF59" s="1653"/>
      <c r="AG59" s="1653"/>
      <c r="AH59" s="1653"/>
      <c r="AI59" s="1653">
        <v>0</v>
      </c>
    </row>
    <row s="1858" customFormat="1" customHeight="1" ht="23.25">
      <c r="A60" s="998"/>
      <c r="B60" s="2155" t="str">
        <f>E33&amp;".3"</f>
        <v>2.2.3</v>
      </c>
      <c r="C60" s="1335"/>
      <c r="D60" s="2168"/>
      <c r="E60" s="557" t="str">
        <f>B58&amp;".1"</f>
        <v>2.2.4.1</v>
      </c>
      <c r="F60" s="564" t="s">
        <v>561</v>
      </c>
      <c r="G60" s="565" t="s">
        <v>589</v>
      </c>
      <c r="H60" s="762"/>
      <c r="I60" s="762" t="s">
        <v>586</v>
      </c>
      <c r="J60" s="762">
        <v>216.971</v>
      </c>
      <c r="K60" s="762" t="s">
        <v>586</v>
      </c>
      <c r="L60" s="762" t="s">
        <v>586</v>
      </c>
      <c r="M60" s="1536" t="s">
        <v>562</v>
      </c>
      <c r="N60" s="745"/>
      <c r="O60" s="1653"/>
      <c r="P60" s="1653"/>
      <c r="Q60" s="1377"/>
      <c r="R60" s="1377"/>
      <c r="S60" s="1377"/>
      <c r="T60" s="1377"/>
      <c r="U60" s="1653"/>
      <c r="V60" s="1377"/>
      <c r="W60" s="1377"/>
      <c r="X60" s="747"/>
      <c r="Y60" s="1377"/>
      <c r="Z60" s="1377"/>
      <c r="AA60" s="1377"/>
      <c r="AB60" s="1377"/>
      <c r="AC60" s="1377"/>
      <c r="AD60" s="1643"/>
      <c r="AE60" s="1643"/>
      <c r="AF60" s="1643"/>
      <c r="AG60" s="1643"/>
      <c r="AH60" s="1643"/>
      <c r="AI60" s="1646">
        <v>0</v>
      </c>
    </row>
    <row s="1858" customFormat="1" customHeight="1" ht="18.75">
      <c r="A61" s="998"/>
      <c r="B61" s="2155" t="str">
        <f>E33&amp;".3"</f>
        <v>2.2.3</v>
      </c>
      <c r="C61" s="1335"/>
      <c r="D61" s="2168"/>
      <c r="E61" s="557" t="str">
        <f>B58&amp;".2"</f>
        <v>2.2.4.2</v>
      </c>
      <c r="F61" s="564" t="s">
        <v>563</v>
      </c>
      <c r="G61" s="2396" t="s">
        <v>564</v>
      </c>
      <c r="H61" s="762"/>
      <c r="I61" s="762" t="s">
        <v>586</v>
      </c>
      <c r="J61" s="762">
        <v>6.5955253928</v>
      </c>
      <c r="K61" s="762" t="s">
        <v>586</v>
      </c>
      <c r="L61" s="762" t="s">
        <v>586</v>
      </c>
      <c r="M61" s="1536"/>
      <c r="N61" s="745"/>
      <c r="O61" s="1653"/>
      <c r="P61" s="1653"/>
      <c r="Q61" s="1377"/>
      <c r="R61" s="1377"/>
      <c r="S61" s="1377"/>
      <c r="T61" s="1377"/>
      <c r="U61" s="1653"/>
      <c r="V61" s="1377"/>
      <c r="W61" s="1377"/>
      <c r="X61" s="747"/>
      <c r="Y61" s="1377"/>
      <c r="Z61" s="1377"/>
      <c r="AA61" s="1377"/>
      <c r="AB61" s="1377"/>
      <c r="AC61" s="1377"/>
      <c r="AD61" s="1643"/>
      <c r="AE61" s="1643"/>
      <c r="AF61" s="1643"/>
      <c r="AG61" s="1643"/>
      <c r="AH61" s="1643"/>
      <c r="AI61" s="1646">
        <v>0</v>
      </c>
    </row>
    <row s="1858" customFormat="1" customHeight="1" ht="18.75">
      <c r="A62" s="998"/>
      <c r="B62" s="2155" t="str">
        <f>E33&amp;".3"</f>
        <v>2.2.3</v>
      </c>
      <c r="C62" s="1335"/>
      <c r="D62" s="2168"/>
      <c r="E62" s="557" t="str">
        <f>B58&amp;".3"</f>
        <v>2.2.4.3</v>
      </c>
      <c r="F62" s="564" t="s">
        <v>565</v>
      </c>
      <c r="G62" s="2396" t="s">
        <v>564</v>
      </c>
      <c r="H62" s="762"/>
      <c r="I62" s="762" t="s">
        <v>586</v>
      </c>
      <c r="J62" s="762">
        <v>0</v>
      </c>
      <c r="K62" s="762" t="s">
        <v>586</v>
      </c>
      <c r="L62" s="762" t="s">
        <v>586</v>
      </c>
      <c r="M62" s="1536"/>
      <c r="N62" s="745"/>
      <c r="O62" s="1653"/>
      <c r="P62" s="1653"/>
      <c r="Q62" s="1377"/>
      <c r="R62" s="1377"/>
      <c r="S62" s="1377"/>
      <c r="T62" s="1377"/>
      <c r="U62" s="1653"/>
      <c r="V62" s="1377"/>
      <c r="W62" s="1377"/>
      <c r="X62" s="747"/>
      <c r="Y62" s="1377"/>
      <c r="Z62" s="1377"/>
      <c r="AA62" s="1377"/>
      <c r="AB62" s="1377"/>
      <c r="AC62" s="1377"/>
      <c r="AD62" s="1643"/>
      <c r="AE62" s="1643"/>
      <c r="AF62" s="1643"/>
      <c r="AG62" s="1643"/>
      <c r="AH62" s="1643"/>
      <c r="AI62" s="1646">
        <v>0</v>
      </c>
    </row>
    <row s="1858" customFormat="1" customHeight="1" ht="18.75">
      <c r="A63" s="998"/>
      <c r="B63" s="2155" t="str">
        <f>E33&amp;".3"</f>
        <v>2.2.3</v>
      </c>
      <c r="C63" s="1335"/>
      <c r="D63" s="2168"/>
      <c r="E63" s="557" t="str">
        <f>B58&amp;".4"</f>
        <v>2.2.4.4</v>
      </c>
      <c r="F63" s="564" t="s">
        <v>566</v>
      </c>
      <c r="G63" s="2396" t="s">
        <v>558</v>
      </c>
      <c r="H63" s="566"/>
      <c r="I63" s="566"/>
      <c r="J63" s="566" t="s">
        <v>583</v>
      </c>
      <c r="K63" s="566"/>
      <c r="L63" s="566"/>
      <c r="M63" s="1536"/>
      <c r="N63" s="745"/>
      <c r="O63" s="1653"/>
      <c r="P63" s="1653"/>
      <c r="Q63" s="1377"/>
      <c r="R63" s="1377"/>
      <c r="S63" s="1377"/>
      <c r="T63" s="1377"/>
      <c r="U63" s="1653"/>
      <c r="V63" s="1377"/>
      <c r="W63" s="1377"/>
      <c r="X63" s="747"/>
      <c r="Y63" s="1377"/>
      <c r="Z63" s="1377"/>
      <c r="AA63" s="1377"/>
      <c r="AB63" s="1377"/>
      <c r="AC63" s="1377"/>
      <c r="AD63" s="1643"/>
      <c r="AE63" s="1643"/>
      <c r="AF63" s="1643"/>
      <c r="AG63" s="1643"/>
      <c r="AH63" s="1643"/>
      <c r="AI63" s="1646">
        <v>0</v>
      </c>
    </row>
    <row s="1858" customFormat="1" customHeight="1" ht="23.25">
      <c r="A64" s="998"/>
      <c r="B64" s="2155" t="str">
        <f>E33&amp;".5"</f>
        <v>2.2.5</v>
      </c>
      <c r="C64" s="1335" t="s">
        <v>557</v>
      </c>
      <c r="D64" s="694" t="s">
        <v>105</v>
      </c>
      <c r="E64" s="557" t="str">
        <f>B64</f>
        <v>2.2.5</v>
      </c>
      <c r="F64" s="558" t="s">
        <v>590</v>
      </c>
      <c r="G64" s="2396" t="s">
        <v>558</v>
      </c>
      <c r="H64" s="2396" t="s">
        <v>558</v>
      </c>
      <c r="I64" s="2396" t="s">
        <v>558</v>
      </c>
      <c r="J64" s="2396" t="s">
        <v>558</v>
      </c>
      <c r="K64" s="2396" t="s">
        <v>558</v>
      </c>
      <c r="L64" s="2396" t="s">
        <v>558</v>
      </c>
      <c r="M64" s="1536" t="s">
        <v>559</v>
      </c>
      <c r="N64" s="745"/>
      <c r="O64" s="1653"/>
      <c r="P64" s="1653"/>
      <c r="Q64" s="1377"/>
      <c r="R64" s="1377"/>
      <c r="S64" s="1377"/>
      <c r="T64" s="1377"/>
      <c r="U64" s="1653"/>
      <c r="V64" s="1377"/>
      <c r="W64" s="1377"/>
      <c r="X64" s="747"/>
      <c r="Y64" s="1377"/>
      <c r="Z64" s="1377"/>
      <c r="AA64" s="1377"/>
      <c r="AB64" s="1377"/>
      <c r="AC64" s="1377"/>
      <c r="AD64" s="1643"/>
      <c r="AE64" s="1643"/>
      <c r="AF64" s="1643"/>
      <c r="AG64" s="1643"/>
      <c r="AH64" s="1643"/>
      <c r="AI64" s="1646">
        <v>0</v>
      </c>
    </row>
    <row s="633" customFormat="1" customHeight="1" ht="0.75" hidden="1">
      <c r="A65" s="1653"/>
      <c r="B65" s="2155" t="str">
        <f>E33&amp;".4"</f>
        <v>2.2.4</v>
      </c>
      <c r="C65" s="1335"/>
      <c r="D65" s="1335"/>
      <c r="E65" s="560"/>
      <c r="F65" s="561" t="s">
        <v>560</v>
      </c>
      <c r="G65" s="1384"/>
      <c r="H65" s="1384">
        <f>H66*H67+H68</f>
        <v>0</v>
      </c>
      <c r="I65" s="1384">
        <f>I66*I67+I68</f>
        <v>0</v>
      </c>
      <c r="J65" s="1384">
        <f>J66*J67+J68</f>
        <v>0</v>
      </c>
      <c r="K65" s="1384">
        <f>K66*K67+K68</f>
        <v>5.456269999944</v>
      </c>
      <c r="L65" s="1384">
        <f>L66*L67+L68</f>
        <v>0</v>
      </c>
      <c r="M65" s="1387"/>
      <c r="N65" s="1653"/>
      <c r="O65" s="1653"/>
      <c r="P65" s="1653"/>
      <c r="Q65" s="1653"/>
      <c r="R65" s="1653"/>
      <c r="S65" s="1653"/>
      <c r="T65" s="1653"/>
      <c r="U65" s="1653"/>
      <c r="V65" s="1653"/>
      <c r="W65" s="1653"/>
      <c r="X65" s="1653"/>
      <c r="Y65" s="1653"/>
      <c r="Z65" s="1653"/>
      <c r="AA65" s="1653"/>
      <c r="AB65" s="1653"/>
      <c r="AC65" s="1653"/>
      <c r="AD65" s="1653"/>
      <c r="AE65" s="1653"/>
      <c r="AF65" s="1653"/>
      <c r="AG65" s="1653"/>
      <c r="AH65" s="1653"/>
      <c r="AI65" s="1653">
        <v>0</v>
      </c>
    </row>
    <row s="1858" customFormat="1" customHeight="1" ht="23.25">
      <c r="A66" s="998"/>
      <c r="B66" s="2155" t="str">
        <f>E33&amp;".4"</f>
        <v>2.2.4</v>
      </c>
      <c r="C66" s="1335"/>
      <c r="D66" s="2168"/>
      <c r="E66" s="557" t="str">
        <f>B64&amp;".1"</f>
        <v>2.2.5.1</v>
      </c>
      <c r="F66" s="564" t="s">
        <v>561</v>
      </c>
      <c r="G66" s="565" t="s">
        <v>591</v>
      </c>
      <c r="H66" s="762"/>
      <c r="I66" s="762">
        <v>0</v>
      </c>
      <c r="J66" s="762">
        <v>0</v>
      </c>
      <c r="K66" s="762">
        <v>3.24</v>
      </c>
      <c r="L66" s="762">
        <v>0</v>
      </c>
      <c r="M66" s="1536" t="s">
        <v>562</v>
      </c>
      <c r="N66" s="745"/>
      <c r="O66" s="1653"/>
      <c r="P66" s="1653"/>
      <c r="Q66" s="1377"/>
      <c r="R66" s="1377"/>
      <c r="S66" s="1377"/>
      <c r="T66" s="1377"/>
      <c r="U66" s="1653"/>
      <c r="V66" s="1377"/>
      <c r="W66" s="1377"/>
      <c r="X66" s="747"/>
      <c r="Y66" s="1377"/>
      <c r="Z66" s="1377"/>
      <c r="AA66" s="1377"/>
      <c r="AB66" s="1377"/>
      <c r="AC66" s="1377"/>
      <c r="AD66" s="1643"/>
      <c r="AE66" s="1643"/>
      <c r="AF66" s="1643"/>
      <c r="AG66" s="1643"/>
      <c r="AH66" s="1643"/>
      <c r="AI66" s="1646">
        <v>0</v>
      </c>
    </row>
    <row s="1858" customFormat="1" customHeight="1" ht="18.75">
      <c r="A67" s="998"/>
      <c r="B67" s="2155" t="str">
        <f>E33&amp;".4"</f>
        <v>2.2.4</v>
      </c>
      <c r="C67" s="1335"/>
      <c r="D67" s="2168"/>
      <c r="E67" s="557" t="str">
        <f>B64&amp;".2"</f>
        <v>2.2.5.2</v>
      </c>
      <c r="F67" s="564" t="s">
        <v>563</v>
      </c>
      <c r="G67" s="2396" t="s">
        <v>564</v>
      </c>
      <c r="H67" s="762"/>
      <c r="I67" s="762">
        <v>0</v>
      </c>
      <c r="J67" s="762">
        <v>0</v>
      </c>
      <c r="K67" s="762">
        <v>1.6840339506</v>
      </c>
      <c r="L67" s="762">
        <v>0</v>
      </c>
      <c r="M67" s="1536"/>
      <c r="N67" s="745"/>
      <c r="O67" s="1653"/>
      <c r="P67" s="1653"/>
      <c r="Q67" s="1377"/>
      <c r="R67" s="1377"/>
      <c r="S67" s="1377"/>
      <c r="T67" s="1377"/>
      <c r="U67" s="1653"/>
      <c r="V67" s="1377"/>
      <c r="W67" s="1377"/>
      <c r="X67" s="747"/>
      <c r="Y67" s="1377"/>
      <c r="Z67" s="1377"/>
      <c r="AA67" s="1377"/>
      <c r="AB67" s="1377"/>
      <c r="AC67" s="1377"/>
      <c r="AD67" s="1643"/>
      <c r="AE67" s="1643"/>
      <c r="AF67" s="1643"/>
      <c r="AG67" s="1643"/>
      <c r="AH67" s="1643"/>
      <c r="AI67" s="1646">
        <v>0</v>
      </c>
    </row>
    <row s="1858" customFormat="1" customHeight="1" ht="18.75">
      <c r="A68" s="998"/>
      <c r="B68" s="2155" t="str">
        <f>E33&amp;".4"</f>
        <v>2.2.4</v>
      </c>
      <c r="C68" s="1335"/>
      <c r="D68" s="2168"/>
      <c r="E68" s="557" t="str">
        <f>B64&amp;".3"</f>
        <v>2.2.5.3</v>
      </c>
      <c r="F68" s="564" t="s">
        <v>565</v>
      </c>
      <c r="G68" s="2396" t="s">
        <v>564</v>
      </c>
      <c r="H68" s="762"/>
      <c r="I68" s="762">
        <v>0</v>
      </c>
      <c r="J68" s="762">
        <v>0</v>
      </c>
      <c r="K68" s="762">
        <v>0</v>
      </c>
      <c r="L68" s="762">
        <v>0</v>
      </c>
      <c r="M68" s="1536"/>
      <c r="N68" s="745"/>
      <c r="O68" s="1653"/>
      <c r="P68" s="1653"/>
      <c r="Q68" s="1377"/>
      <c r="R68" s="1377"/>
      <c r="S68" s="1377"/>
      <c r="T68" s="1377"/>
      <c r="U68" s="1653"/>
      <c r="V68" s="1377"/>
      <c r="W68" s="1377"/>
      <c r="X68" s="747"/>
      <c r="Y68" s="1377"/>
      <c r="Z68" s="1377"/>
      <c r="AA68" s="1377"/>
      <c r="AB68" s="1377"/>
      <c r="AC68" s="1377"/>
      <c r="AD68" s="1643"/>
      <c r="AE68" s="1643"/>
      <c r="AF68" s="1643"/>
      <c r="AG68" s="1643"/>
      <c r="AH68" s="1643"/>
      <c r="AI68" s="1646">
        <v>0</v>
      </c>
    </row>
    <row s="1858" customFormat="1" customHeight="1" ht="18.75">
      <c r="A69" s="998"/>
      <c r="B69" s="2155" t="str">
        <f>E33&amp;".4"</f>
        <v>2.2.4</v>
      </c>
      <c r="C69" s="1335"/>
      <c r="D69" s="2168"/>
      <c r="E69" s="557" t="str">
        <f>B64&amp;".4"</f>
        <v>2.2.5.4</v>
      </c>
      <c r="F69" s="564" t="s">
        <v>566</v>
      </c>
      <c r="G69" s="2396" t="s">
        <v>558</v>
      </c>
      <c r="H69" s="566"/>
      <c r="I69" s="566"/>
      <c r="J69" s="566"/>
      <c r="K69" s="566" t="s">
        <v>592</v>
      </c>
      <c r="L69" s="566"/>
      <c r="M69" s="1536"/>
      <c r="N69" s="745"/>
      <c r="O69" s="1653"/>
      <c r="P69" s="1653"/>
      <c r="Q69" s="1377"/>
      <c r="R69" s="1377"/>
      <c r="S69" s="1377"/>
      <c r="T69" s="1377"/>
      <c r="U69" s="1653"/>
      <c r="V69" s="1377"/>
      <c r="W69" s="1377"/>
      <c r="X69" s="747"/>
      <c r="Y69" s="1377"/>
      <c r="Z69" s="1377"/>
      <c r="AA69" s="1377"/>
      <c r="AB69" s="1377"/>
      <c r="AC69" s="1377"/>
      <c r="AD69" s="1643"/>
      <c r="AE69" s="1643"/>
      <c r="AF69" s="1643"/>
      <c r="AG69" s="1643"/>
      <c r="AH69" s="1643"/>
      <c r="AI69" s="1646">
        <v>0</v>
      </c>
    </row>
    <row s="1377" customFormat="1" customHeight="1" ht="15">
      <c r="A70" s="2401"/>
      <c r="C70" s="1647"/>
      <c r="D70" s="1644"/>
      <c r="E70" s="581"/>
      <c r="F70" s="582" t="s">
        <v>593</v>
      </c>
      <c r="G70" s="583"/>
      <c r="H70" s="584"/>
      <c r="I70" s="584"/>
      <c r="J70" s="2667"/>
      <c r="K70" s="2668"/>
      <c r="L70" s="2669"/>
      <c r="M70" s="312"/>
      <c r="N70" s="1647" t="str">
        <f>IF((LEN(E70)-LEN(SUBSTITUTE(E70,".","")))/LEN(".")=1,"p","")</f>
        <v/>
      </c>
      <c r="O70" s="1647"/>
      <c r="P70" s="1647"/>
      <c r="U70" s="1647"/>
      <c r="X70" s="555"/>
      <c r="AD70" s="1643"/>
      <c r="AE70" s="1643"/>
      <c r="AF70" s="1643"/>
      <c r="AG70" s="1643"/>
      <c r="AH70" s="1643"/>
      <c r="AI70" s="1171">
        <v>0</v>
      </c>
    </row>
    <row customHeight="1" ht="11.25" hidden="1">
      <c r="A71" s="2401" t="s">
        <v>594</v>
      </c>
      <c r="D71" s="1649"/>
      <c r="E71" s="557" t="str">
        <f>FHD_NUM_P_5</f>
        <v/>
      </c>
      <c r="F71" s="1535" t="str">
        <f>FHD_P_5</f>
        <v/>
      </c>
      <c r="G71" s="1886" t="s">
        <v>564</v>
      </c>
      <c r="H71" s="568"/>
      <c r="I71" s="568"/>
      <c r="J71" s="568"/>
      <c r="K71" s="568"/>
      <c r="L71" s="568"/>
      <c r="M71" s="300" t="str">
        <f>FHD_NOTE_P_5</f>
        <v/>
      </c>
      <c r="N71" s="1647" t="str">
        <f>IF((LEN(E71)-LEN(SUBSTITUTE(E71,".","")))/LEN(".")=1,"p","")</f>
        <v/>
      </c>
      <c r="AI71" s="1642">
        <v>0</v>
      </c>
    </row>
    <row customHeight="1" ht="11.25" hidden="1">
      <c r="A72" s="2401"/>
      <c r="D72" s="1649"/>
      <c r="E72" s="557" t="str">
        <f>FHD_NUM_P_6</f>
        <v/>
      </c>
      <c r="F72" s="1535" t="str">
        <f>FHD_P_6</f>
        <v/>
      </c>
      <c r="G72" s="1886" t="s">
        <v>564</v>
      </c>
      <c r="H72" s="568"/>
      <c r="I72" s="568"/>
      <c r="J72" s="568"/>
      <c r="K72" s="568"/>
      <c r="L72" s="568"/>
      <c r="M72" s="300" t="str">
        <f>FHD_NOTE_P_6</f>
        <v/>
      </c>
      <c r="N72" s="1647" t="str">
        <f>IF((LEN(E72)-LEN(SUBSTITUTE(E72,".","")))/LEN(".")=1,"p","")</f>
        <v/>
      </c>
      <c r="AI72" s="1642">
        <v>0</v>
      </c>
    </row>
    <row customHeight="1" ht="11.25" hidden="1">
      <c r="A73" s="2401"/>
      <c r="D73" s="1649"/>
      <c r="E73" s="557" t="str">
        <f>FHD_NUM_P_7</f>
        <v/>
      </c>
      <c r="F73" s="1535" t="str">
        <f>FHD_P_7</f>
        <v/>
      </c>
      <c r="G73" s="1886" t="s">
        <v>564</v>
      </c>
      <c r="H73" s="568"/>
      <c r="I73" s="568"/>
      <c r="J73" s="568"/>
      <c r="K73" s="568"/>
      <c r="L73" s="568"/>
      <c r="M73" s="300" t="str">
        <f>FHD_NOTE_P_7</f>
        <v/>
      </c>
      <c r="N73" s="1647" t="str">
        <f>IF((LEN(E73)-LEN(SUBSTITUTE(E73,".","")))/LEN(".")=1,"p","")</f>
        <v/>
      </c>
      <c r="AI73" s="1642">
        <v>0</v>
      </c>
    </row>
    <row customHeight="1" ht="49.5">
      <c r="D74" s="1649"/>
      <c r="E74" s="557" t="str">
        <f>FHD_NUM_P_8</f>
        <v>2.3</v>
      </c>
      <c r="F74" s="1535" t="str">
        <f>FHD_P_8</f>
        <v>Расходы на приобретаемую электрическую энергию (мощность), используемую в технологическом процессе</v>
      </c>
      <c r="G74" s="1886" t="s">
        <v>564</v>
      </c>
      <c r="H74" s="568"/>
      <c r="I74" s="568">
        <v>435720.15323696</v>
      </c>
      <c r="J74" s="568">
        <v>48985.4224140038</v>
      </c>
      <c r="K74" s="568">
        <v>156489.95737</v>
      </c>
      <c r="L74" s="568">
        <v>4520.99892</v>
      </c>
      <c r="M74" s="300" t="str">
        <f>FHD_NOTE_P_8</f>
        <v/>
      </c>
      <c r="N74" s="1647" t="str">
        <f>IF((LEN(E74)-LEN(SUBSTITUTE(E74,".","")))/LEN(".")=1,"p","")</f>
        <v>p</v>
      </c>
      <c r="AI74" s="1642">
        <v>11</v>
      </c>
    </row>
    <row customHeight="1" ht="11.549999999999999">
      <c r="D75" s="1649"/>
      <c r="E75" s="557" t="str">
        <f>FHD_NUM_P_9</f>
        <v>2.3.1</v>
      </c>
      <c r="F75" s="1661" t="str">
        <f>FHD_P_9</f>
        <v>Средневзвешенная стоимость 1 кВт.ч (с учетом мощности)</v>
      </c>
      <c r="G75" s="1886" t="s">
        <v>595</v>
      </c>
      <c r="H75" s="568"/>
      <c r="I75" s="568">
        <v>3.3782391379</v>
      </c>
      <c r="J75" s="568">
        <v>6.8729688772</v>
      </c>
      <c r="K75" s="568">
        <v>7.7104396046</v>
      </c>
      <c r="L75" s="568">
        <v>8.5712709741</v>
      </c>
      <c r="M75" s="300" t="str">
        <f>FHD_NOTE_P_9</f>
        <v/>
      </c>
      <c r="N75" s="1647" t="str">
        <f>IF((LEN(E75)-LEN(SUBSTITUTE(E75,".","")))/LEN(".")=1,"p","")</f>
        <v/>
      </c>
      <c r="AI75" s="1642">
        <v>11</v>
      </c>
    </row>
    <row s="1377" customFormat="1" customHeight="1" ht="11.549999999999999">
      <c r="A76" s="998"/>
      <c r="C76" s="1647"/>
      <c r="D76" s="585"/>
      <c r="E76" s="557" t="str">
        <f>FHD_NUM_P_10</f>
        <v>2.3.2</v>
      </c>
      <c r="F76" s="1661" t="str">
        <f>FHD_P_10</f>
        <v>Объём приобретения электрической энергии</v>
      </c>
      <c r="G76" s="1886" t="s">
        <v>596</v>
      </c>
      <c r="H76" s="568"/>
      <c r="I76" s="568">
        <v>128978.481228067</v>
      </c>
      <c r="J76" s="568">
        <v>7127.258</v>
      </c>
      <c r="K76" s="568">
        <v>20295.8541139824</v>
      </c>
      <c r="L76" s="568">
        <v>527.4595720591</v>
      </c>
      <c r="M76" s="300" t="str">
        <f>FHD_NOTE_P_10</f>
        <v/>
      </c>
      <c r="N76" s="1647" t="str">
        <f>IF((LEN(E76)-LEN(SUBSTITUTE(E76,".","")))/LEN(".")=1,"p","")</f>
        <v/>
      </c>
      <c r="O76" s="1647"/>
      <c r="P76" s="1647"/>
      <c r="U76" s="1647"/>
      <c r="X76" s="555"/>
      <c r="AD76" s="1643"/>
      <c r="AE76" s="1643"/>
      <c r="AF76" s="1643"/>
      <c r="AG76" s="1643"/>
      <c r="AH76" s="1643"/>
      <c r="AI76" s="1171">
        <v>11</v>
      </c>
    </row>
    <row s="1377" customFormat="1" customHeight="1" ht="40.5">
      <c r="A77" s="1000" t="s">
        <v>597</v>
      </c>
      <c r="C77" s="1647"/>
      <c r="D77" s="586"/>
      <c r="E77" s="557" t="str">
        <f>FHD_NUM_P_11</f>
        <v>2.4</v>
      </c>
      <c r="F77" s="1535" t="str">
        <f>FHD_P_11</f>
        <v>Расходы на приобретение холодной воды, используемой в технологическом процессе</v>
      </c>
      <c r="G77" s="1886" t="s">
        <v>564</v>
      </c>
      <c r="H77" s="568"/>
      <c r="I77" s="568">
        <v>2247.37136608</v>
      </c>
      <c r="J77" s="568">
        <v>3479.3743975482</v>
      </c>
      <c r="K77" s="568">
        <v>413.61385</v>
      </c>
      <c r="L77" s="568">
        <v>20.21473</v>
      </c>
      <c r="M77" s="300" t="str">
        <f>FHD_NOTE_P_11</f>
        <v/>
      </c>
      <c r="N77" s="1647" t="str">
        <f>IF((LEN(E77)-LEN(SUBSTITUTE(E77,".","")))/LEN(".")=1,"p","")</f>
        <v>p</v>
      </c>
      <c r="O77" s="1647"/>
      <c r="P77" s="1647"/>
      <c r="U77" s="1647"/>
      <c r="X77" s="555"/>
      <c r="AD77" s="1643"/>
      <c r="AE77" s="1643"/>
      <c r="AF77" s="1643"/>
      <c r="AG77" s="1643"/>
      <c r="AH77" s="1643"/>
      <c r="AI77" s="1171">
        <v>0</v>
      </c>
    </row>
    <row s="1377" customFormat="1" customHeight="1" ht="43.5">
      <c r="A78" s="1000" t="s">
        <v>598</v>
      </c>
      <c r="C78" s="1647"/>
      <c r="D78" s="1649"/>
      <c r="E78" s="557" t="str">
        <f>FHD_NUM_P_12</f>
        <v>2.5</v>
      </c>
      <c r="F78" s="1535" t="str">
        <f>FHD_P_12</f>
        <v>Расходы на  химические реагенты, используемые в технологическом процессе</v>
      </c>
      <c r="G78" s="1886" t="s">
        <v>564</v>
      </c>
      <c r="H78" s="588"/>
      <c r="I78" s="588">
        <v>20658.68381504</v>
      </c>
      <c r="J78" s="588">
        <v>1511.1369064926</v>
      </c>
      <c r="K78" s="588">
        <v>1894.97086</v>
      </c>
      <c r="L78" s="588">
        <v>0</v>
      </c>
      <c r="M78" s="300" t="str">
        <f>FHD_NOTE_P_12</f>
        <v/>
      </c>
      <c r="N78" s="1647" t="str">
        <f>IF((LEN(E78)-LEN(SUBSTITUTE(E78,".","")))/LEN(".")=1,"p","")</f>
        <v>p</v>
      </c>
      <c r="O78" s="1647"/>
      <c r="P78" s="1647"/>
      <c r="U78" s="1647"/>
      <c r="X78" s="555"/>
      <c r="AD78" s="1643"/>
      <c r="AE78" s="1643"/>
      <c r="AF78" s="1643"/>
      <c r="AG78" s="1643"/>
      <c r="AH78" s="1643"/>
      <c r="AI78" s="1171">
        <v>18</v>
      </c>
    </row>
    <row s="1376" customFormat="1" customHeight="1" ht="30.75">
      <c r="A79" s="999"/>
      <c r="C79" s="741"/>
      <c r="D79" s="684"/>
      <c r="E79" s="557" t="str">
        <f>FHD_NUM_P_13</f>
        <v>2.6</v>
      </c>
      <c r="F79" s="15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9" s="1886" t="s">
        <v>564</v>
      </c>
      <c r="H79" s="568"/>
      <c r="I79" s="568">
        <v>825336.53455464</v>
      </c>
      <c r="J79" s="568">
        <v>259189.021158805</v>
      </c>
      <c r="K79" s="568">
        <v>255865.83828</v>
      </c>
      <c r="L79" s="568">
        <v>28421.32756</v>
      </c>
      <c r="M79" s="300" t="str">
        <f>FHD_NOTE_P_13</f>
        <v/>
      </c>
      <c r="N79" s="1647" t="str">
        <f>IF((LEN(E79)-LEN(SUBSTITUTE(E79,".","")))/LEN(".")=1,"p","")</f>
        <v>p</v>
      </c>
      <c r="O79" s="741"/>
      <c r="P79" s="741"/>
      <c r="U79" s="741"/>
      <c r="X79" s="742"/>
      <c r="AD79" s="743"/>
      <c r="AE79" s="743"/>
      <c r="AF79" s="743"/>
      <c r="AG79" s="743"/>
      <c r="AH79" s="743"/>
      <c r="AI79" s="740">
        <v>11</v>
      </c>
    </row>
    <row s="1376" customFormat="1" customHeight="1" ht="51">
      <c r="A80" s="999"/>
      <c r="C80" s="741"/>
      <c r="D80" s="684"/>
      <c r="E80" s="557" t="str">
        <f>FHD_NUM_P_14</f>
        <v>2.6.1</v>
      </c>
      <c r="F80" s="1661" t="str">
        <f>FHD_P_14</f>
        <v>Расходы на оплату труда основного производственного персонала</v>
      </c>
      <c r="G80" s="1886" t="s">
        <v>564</v>
      </c>
      <c r="H80" s="568"/>
      <c r="I80" s="568">
        <v>627174.68475</v>
      </c>
      <c r="J80" s="568">
        <v>199260.32928</v>
      </c>
      <c r="K80" s="568">
        <v>196423.79851</v>
      </c>
      <c r="L80" s="568">
        <v>21842.39905</v>
      </c>
      <c r="M80" s="300" t="str">
        <f>FHD_NOTE_P_14</f>
        <v/>
      </c>
      <c r="N80" s="1647" t="str">
        <f>IF((LEN(E80)-LEN(SUBSTITUTE(E80,".","")))/LEN(".")=1,"p","")</f>
        <v/>
      </c>
      <c r="O80" s="741"/>
      <c r="P80" s="741"/>
      <c r="U80" s="741"/>
      <c r="X80" s="742"/>
      <c r="AD80" s="743"/>
      <c r="AE80" s="743"/>
      <c r="AF80" s="743"/>
      <c r="AG80" s="743"/>
      <c r="AH80" s="743"/>
      <c r="AI80" s="740">
        <v>11</v>
      </c>
    </row>
    <row s="1376" customFormat="1" customHeight="1" ht="48">
      <c r="A81" s="999"/>
      <c r="C81" s="741"/>
      <c r="D81" s="684"/>
      <c r="E81" s="557" t="str">
        <f>FHD_NUM_P_15</f>
        <v>2.6.2</v>
      </c>
      <c r="F81" s="1661" t="str">
        <f>FHD_P_15</f>
        <v>Страховые взносы на обязательное социальное страхование, выплачиваемые из фонда оплаты труда основного производственного персонала</v>
      </c>
      <c r="G81" s="1886" t="s">
        <v>564</v>
      </c>
      <c r="H81" s="568"/>
      <c r="I81" s="568">
        <v>198161.84980464</v>
      </c>
      <c r="J81" s="568">
        <v>59928.6918788051</v>
      </c>
      <c r="K81" s="568">
        <v>59442.03977</v>
      </c>
      <c r="L81" s="568">
        <v>6578.92851</v>
      </c>
      <c r="M81" s="300" t="str">
        <f>FHD_NOTE_P_15</f>
        <v/>
      </c>
      <c r="N81" s="1647" t="str">
        <f>IF((LEN(E81)-LEN(SUBSTITUTE(E81,".","")))/LEN(".")=1,"p","")</f>
        <v/>
      </c>
      <c r="O81" s="741"/>
      <c r="P81" s="741"/>
      <c r="U81" s="741"/>
      <c r="X81" s="742"/>
      <c r="AD81" s="743"/>
      <c r="AE81" s="743"/>
      <c r="AF81" s="743"/>
      <c r="AG81" s="743"/>
      <c r="AH81" s="743"/>
      <c r="AI81" s="740">
        <v>11</v>
      </c>
    </row>
    <row s="1377" customFormat="1" customHeight="1" ht="51.75">
      <c r="A82" s="998"/>
      <c r="C82" s="1647"/>
      <c r="D82" s="1649"/>
      <c r="E82" s="557" t="str">
        <f>FHD_NUM_P_16</f>
        <v>2.7</v>
      </c>
      <c r="F82" s="15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82" s="1886" t="s">
        <v>564</v>
      </c>
      <c r="H82" s="568"/>
      <c r="I82" s="568">
        <v>159590.73697504</v>
      </c>
      <c r="J82" s="568">
        <v>22283.3094324822</v>
      </c>
      <c r="K82" s="568">
        <v>34237.19807</v>
      </c>
      <c r="L82" s="568">
        <v>2427.18474</v>
      </c>
      <c r="M82" s="300" t="str">
        <f>FHD_NOTE_P_16</f>
        <v/>
      </c>
      <c r="N82" s="1647" t="str">
        <f>IF((LEN(E82)-LEN(SUBSTITUTE(E82,".","")))/LEN(".")=1,"p","")</f>
        <v>p</v>
      </c>
      <c r="O82" s="1647"/>
      <c r="P82" s="1653"/>
      <c r="Q82" s="548"/>
      <c r="R82" s="548"/>
      <c r="U82" s="1647"/>
      <c r="X82" s="555"/>
      <c r="AD82" s="1643"/>
      <c r="AE82" s="1643"/>
      <c r="AF82" s="1643"/>
      <c r="AG82" s="1643"/>
      <c r="AH82" s="1643"/>
      <c r="AI82" s="1171">
        <v>11</v>
      </c>
    </row>
    <row s="1377" customFormat="1" customHeight="1" ht="47.25">
      <c r="A83" s="998"/>
      <c r="C83" s="1647"/>
      <c r="D83" s="1649"/>
      <c r="E83" s="557" t="str">
        <f>FHD_NUM_P_17</f>
        <v>2.7.1</v>
      </c>
      <c r="F83" s="1661" t="str">
        <f>FHD_P_17</f>
        <v>Расходы на оплату труда административно-управленческого персонала</v>
      </c>
      <c r="G83" s="1886" t="s">
        <v>564</v>
      </c>
      <c r="H83" s="568"/>
      <c r="I83" s="568">
        <v>128278.11017504</v>
      </c>
      <c r="J83" s="568">
        <v>16981.059988478</v>
      </c>
      <c r="K83" s="568">
        <v>26852.34447</v>
      </c>
      <c r="L83" s="568">
        <v>1905.32512</v>
      </c>
      <c r="M83" s="300" t="str">
        <f>FHD_NOTE_P_17</f>
        <v/>
      </c>
      <c r="N83" s="1647" t="str">
        <f>IF((LEN(E83)-LEN(SUBSTITUTE(E83,".","")))/LEN(".")=1,"p","")</f>
        <v/>
      </c>
      <c r="O83" s="1647"/>
      <c r="P83" s="1653"/>
      <c r="Q83" s="548"/>
      <c r="R83" s="548"/>
      <c r="U83" s="1647"/>
      <c r="X83" s="555"/>
      <c r="AD83" s="1643"/>
      <c r="AE83" s="1643"/>
      <c r="AF83" s="1643"/>
      <c r="AG83" s="1643"/>
      <c r="AH83" s="1643"/>
      <c r="AI83" s="1171">
        <v>11</v>
      </c>
    </row>
    <row s="1377" customFormat="1" customHeight="1" ht="66">
      <c r="A84" s="998"/>
      <c r="C84" s="1647"/>
      <c r="D84" s="1649"/>
      <c r="E84" s="557" t="str">
        <f>FHD_NUM_P_18</f>
        <v>2.7.2</v>
      </c>
      <c r="F84" s="1661" t="str">
        <f>FHD_P_18</f>
        <v>Страховые взносы на обязательное социальное страхование, выплачиваемые из фонда оплаты труда административно-управленческого персонала</v>
      </c>
      <c r="G84" s="1886" t="s">
        <v>564</v>
      </c>
      <c r="H84" s="568"/>
      <c r="I84" s="568">
        <v>31312.6268</v>
      </c>
      <c r="J84" s="568">
        <v>5302.2494440042</v>
      </c>
      <c r="K84" s="568">
        <v>7384.8536</v>
      </c>
      <c r="L84" s="568">
        <v>521.85962</v>
      </c>
      <c r="M84" s="300" t="str">
        <f>FHD_NOTE_P_18</f>
        <v/>
      </c>
      <c r="N84" s="1647" t="str">
        <f>IF((LEN(E84)-LEN(SUBSTITUTE(E84,".","")))/LEN(".")=1,"p","")</f>
        <v/>
      </c>
      <c r="O84" s="1647"/>
      <c r="P84" s="1653"/>
      <c r="Q84" s="548"/>
      <c r="R84" s="548"/>
      <c r="U84" s="1647"/>
      <c r="X84" s="555"/>
      <c r="AD84" s="1643"/>
      <c r="AE84" s="1643"/>
      <c r="AF84" s="1643"/>
      <c r="AG84" s="1643"/>
      <c r="AH84" s="1643"/>
      <c r="AI84" s="1171">
        <v>11</v>
      </c>
    </row>
    <row s="1377" customFormat="1" customHeight="1" ht="58.5">
      <c r="A85" s="998"/>
      <c r="C85" s="1647"/>
      <c r="D85" s="586"/>
      <c r="E85" s="557" t="str">
        <f>FHD_NUM_P_19</f>
        <v>2.8</v>
      </c>
      <c r="F85" s="1535" t="str">
        <f>FHD_P_19</f>
        <v>Расходы на амортизацию основных средств и нематериальных активов</v>
      </c>
      <c r="G85" s="1886" t="s">
        <v>564</v>
      </c>
      <c r="H85" s="568"/>
      <c r="I85" s="568">
        <v>538927.34474944</v>
      </c>
      <c r="J85" s="568">
        <v>18308.4767695383</v>
      </c>
      <c r="K85" s="568">
        <v>47673.31548</v>
      </c>
      <c r="L85" s="568">
        <v>1680.86847</v>
      </c>
      <c r="M85" s="300" t="str">
        <f>FHD_NOTE_P_19</f>
        <v/>
      </c>
      <c r="N85" s="1647" t="str">
        <f>IF((LEN(E85)-LEN(SUBSTITUTE(E85,".","")))/LEN(".")=1,"p","")</f>
        <v>p</v>
      </c>
      <c r="O85" s="1647"/>
      <c r="P85" s="1647"/>
      <c r="U85" s="1647"/>
      <c r="X85" s="555"/>
      <c r="AD85" s="1643"/>
      <c r="AE85" s="1643"/>
      <c r="AF85" s="1643"/>
      <c r="AG85" s="1643"/>
      <c r="AH85" s="1643"/>
      <c r="AI85" s="1171">
        <v>11</v>
      </c>
    </row>
    <row s="1377" customFormat="1" customHeight="1" ht="42.75">
      <c r="A86" s="998"/>
      <c r="C86" s="1647"/>
      <c r="D86" s="586"/>
      <c r="E86" s="557" t="str">
        <f>FHD_NUM_P_20</f>
        <v>2.8.1</v>
      </c>
      <c r="F86" s="1661" t="str">
        <f>FHD_P_20</f>
        <v>Расходы на амортизацию основных средств</v>
      </c>
      <c r="G86" s="1886" t="s">
        <v>564</v>
      </c>
      <c r="H86" s="568"/>
      <c r="I86" s="568">
        <v>537839.59779088</v>
      </c>
      <c r="J86" s="568">
        <v>18202.2764309897</v>
      </c>
      <c r="K86" s="568">
        <v>47508.99937</v>
      </c>
      <c r="L86" s="568">
        <v>1668.93901</v>
      </c>
      <c r="M86" s="300" t="str">
        <f>FHD_NOTE_P_20</f>
        <v/>
      </c>
      <c r="N86" s="1647" t="str">
        <f>IF((LEN(E86)-LEN(SUBSTITUTE(E86,".","")))/LEN(".")=1,"p","")</f>
        <v/>
      </c>
      <c r="O86" s="1647"/>
      <c r="P86" s="1647"/>
      <c r="U86" s="1647"/>
      <c r="X86" s="555"/>
      <c r="AD86" s="1643"/>
      <c r="AE86" s="1643"/>
      <c r="AF86" s="1643"/>
      <c r="AG86" s="1643"/>
      <c r="AH86" s="1643"/>
      <c r="AI86" s="1171">
        <v>11</v>
      </c>
    </row>
    <row s="1377" customFormat="1" customHeight="1" ht="70.5">
      <c r="A87" s="998"/>
      <c r="C87" s="1647"/>
      <c r="D87" s="586"/>
      <c r="E87" s="557" t="str">
        <f>FHD_NUM_P_21</f>
        <v>2.8.2</v>
      </c>
      <c r="F87" s="1661" t="str">
        <f>FHD_P_21</f>
        <v>Расходы на амортизацию нематериальных активов</v>
      </c>
      <c r="G87" s="1886" t="s">
        <v>564</v>
      </c>
      <c r="H87" s="568"/>
      <c r="I87" s="568">
        <v>1087.74695856</v>
      </c>
      <c r="J87" s="568">
        <v>106.2003385486</v>
      </c>
      <c r="K87" s="568">
        <v>164.31611</v>
      </c>
      <c r="L87" s="568">
        <v>11.92946</v>
      </c>
      <c r="M87" s="300" t="str">
        <f>FHD_NOTE_P_21</f>
        <v/>
      </c>
      <c r="N87" s="1647" t="str">
        <f>IF((LEN(E87)-LEN(SUBSTITUTE(E87,".","")))/LEN(".")=1,"p","")</f>
        <v/>
      </c>
      <c r="O87" s="1647"/>
      <c r="P87" s="1647"/>
      <c r="U87" s="1647"/>
      <c r="X87" s="555"/>
      <c r="AD87" s="1643"/>
      <c r="AE87" s="1643"/>
      <c r="AF87" s="1643"/>
      <c r="AG87" s="1643"/>
      <c r="AH87" s="1643"/>
      <c r="AI87" s="1171">
        <v>11</v>
      </c>
    </row>
    <row s="1377" customFormat="1" customHeight="1" ht="42.75">
      <c r="A88" s="998"/>
      <c r="C88" s="1647"/>
      <c r="D88" s="1649"/>
      <c r="E88" s="557" t="str">
        <f>FHD_NUM_P_22</f>
        <v>2.9</v>
      </c>
      <c r="F88" s="1535" t="str">
        <f>FHD_P_22</f>
        <v>Расходы на аренду имущества, используемого для осуществления регулируемого вида деятельности</v>
      </c>
      <c r="G88" s="1886" t="s">
        <v>564</v>
      </c>
      <c r="H88" s="568"/>
      <c r="I88" s="568">
        <v>28312.5417195107</v>
      </c>
      <c r="J88" s="568">
        <v>10843.5933183717</v>
      </c>
      <c r="K88" s="568">
        <v>12760.8641969775</v>
      </c>
      <c r="L88" s="568">
        <v>668.9866419025</v>
      </c>
      <c r="M88" s="300" t="str">
        <f>FHD_NOTE_P_22</f>
        <v/>
      </c>
      <c r="N88" s="1647" t="str">
        <f>IF((LEN(E88)-LEN(SUBSTITUTE(E88,".","")))/LEN(".")=1,"p","")</f>
        <v>p</v>
      </c>
      <c r="O88" s="1647"/>
      <c r="P88" s="1647"/>
      <c r="U88" s="1647"/>
      <c r="X88" s="555"/>
      <c r="AD88" s="1643"/>
      <c r="AE88" s="1643"/>
      <c r="AF88" s="1643"/>
      <c r="AG88" s="1643"/>
      <c r="AH88" s="1643"/>
      <c r="AI88" s="1171">
        <v>11</v>
      </c>
    </row>
    <row s="1377" customFormat="1" customHeight="1" ht="35.25">
      <c r="A89" s="998"/>
      <c r="C89" s="1647"/>
      <c r="D89" s="586"/>
      <c r="E89" s="557" t="str">
        <f>FHD_NUM_P_23</f>
        <v>2.10</v>
      </c>
      <c r="F89" s="1535" t="str">
        <f>FHD_P_23</f>
        <v>Общепроизводственные расходы, в том числе:</v>
      </c>
      <c r="G89" s="1886" t="s">
        <v>564</v>
      </c>
      <c r="H89" s="568"/>
      <c r="I89" s="568">
        <v>642631.482935131</v>
      </c>
      <c r="J89" s="568">
        <v>61060.0124757895</v>
      </c>
      <c r="K89" s="568">
        <v>95459.1370629017</v>
      </c>
      <c r="L89" s="568">
        <v>8653.8068165162</v>
      </c>
      <c r="M89" s="300" t="str">
        <f>FHD_NOTE_P_23</f>
        <v>Указывается общая сумма общепроизводственных расходов.</v>
      </c>
      <c r="N89" s="1647" t="str">
        <f>IF((LEN(E89)-LEN(SUBSTITUTE(E89,".","")))/LEN(".")=1,"p","")</f>
        <v>p</v>
      </c>
      <c r="O89" s="1647"/>
      <c r="P89" s="1647"/>
      <c r="U89" s="1647"/>
      <c r="X89" s="555"/>
      <c r="AD89" s="1643"/>
      <c r="AE89" s="1643"/>
      <c r="AF89" s="1643"/>
      <c r="AG89" s="1643"/>
      <c r="AH89" s="1643"/>
      <c r="AI89" s="1171">
        <v>11</v>
      </c>
    </row>
    <row s="1377" customFormat="1" customHeight="1" ht="38.25">
      <c r="A90" s="998"/>
      <c r="C90" s="1647"/>
      <c r="D90" s="586"/>
      <c r="E90" s="557" t="str">
        <f>FHD_NUM_P_24</f>
        <v>2.10.1</v>
      </c>
      <c r="F90" s="1661" t="str">
        <f>FHD_P_24</f>
        <v>Расходы на текущий ремонт</v>
      </c>
      <c r="G90" s="1886" t="s">
        <v>564</v>
      </c>
      <c r="H90" s="568"/>
      <c r="I90" s="568">
        <v>6149.29848</v>
      </c>
      <c r="J90" s="568">
        <v>886.67924</v>
      </c>
      <c r="K90" s="568">
        <v>1185.61497</v>
      </c>
      <c r="L90" s="568">
        <v>65.52624</v>
      </c>
      <c r="M90" s="300" t="str">
        <f>FHD_NOTE_P_24</f>
        <v>Указываются расходы на текущий ремонт, отнесенные к общепроизводственным расходам.</v>
      </c>
      <c r="N90" s="1647" t="str">
        <f>IF((LEN(E90)-LEN(SUBSTITUTE(E90,".","")))/LEN(".")=1,"p","")</f>
        <v/>
      </c>
      <c r="O90" s="1647"/>
      <c r="P90" s="1647"/>
      <c r="U90" s="1647"/>
      <c r="X90" s="555"/>
      <c r="AD90" s="1643"/>
      <c r="AE90" s="1643"/>
      <c r="AF90" s="1643"/>
      <c r="AG90" s="1643"/>
      <c r="AH90" s="1643"/>
      <c r="AI90" s="1171">
        <v>11</v>
      </c>
    </row>
    <row s="1377" customFormat="1" customHeight="1" ht="11.549999999999999">
      <c r="A91" s="998"/>
      <c r="C91" s="1647"/>
      <c r="D91" s="586"/>
      <c r="E91" s="557" t="str">
        <f>FHD_NUM_P_25</f>
        <v>2.10.2</v>
      </c>
      <c r="F91" s="1661" t="str">
        <f>FHD_P_25</f>
        <v>Расходы на капитальный ремонт</v>
      </c>
      <c r="G91" s="1886" t="s">
        <v>564</v>
      </c>
      <c r="H91" s="568"/>
      <c r="I91" s="568">
        <v>0</v>
      </c>
      <c r="J91" s="568">
        <v>0</v>
      </c>
      <c r="K91" s="568">
        <v>0</v>
      </c>
      <c r="L91" s="568">
        <v>0</v>
      </c>
      <c r="M91" s="300" t="str">
        <f>FHD_NOTE_P_25</f>
        <v>Указываются расходы на капитальный ремонт, отнесенные к общепроизводственным расходам.</v>
      </c>
      <c r="N91" s="1647" t="str">
        <f>IF((LEN(E91)-LEN(SUBSTITUTE(E91,".","")))/LEN(".")=1,"p","")</f>
        <v/>
      </c>
      <c r="O91" s="1647"/>
      <c r="P91" s="1647"/>
      <c r="U91" s="1647"/>
      <c r="X91" s="555"/>
      <c r="AD91" s="1643"/>
      <c r="AE91" s="1643"/>
      <c r="AF91" s="1643"/>
      <c r="AG91" s="1643"/>
      <c r="AH91" s="1643"/>
      <c r="AI91" s="1171">
        <v>11</v>
      </c>
    </row>
    <row s="1377" customFormat="1" customHeight="1" ht="11.549999999999999">
      <c r="A92" s="998"/>
      <c r="C92" s="1647"/>
      <c r="D92" s="1649"/>
      <c r="E92" s="557" t="str">
        <f>FHD_NUM_P_26</f>
        <v>2.11</v>
      </c>
      <c r="F92" s="1535" t="str">
        <f>FHD_P_26</f>
        <v>Общехозяйственные расходы, в том числе:</v>
      </c>
      <c r="G92" s="1886" t="s">
        <v>564</v>
      </c>
      <c r="H92" s="568"/>
      <c r="I92" s="568">
        <v>30022.9633</v>
      </c>
      <c r="J92" s="568">
        <v>5087.70997</v>
      </c>
      <c r="K92" s="568">
        <v>7134.69233</v>
      </c>
      <c r="L92" s="568">
        <v>497.82666</v>
      </c>
      <c r="M92" s="300" t="str">
        <f>FHD_NOTE_P_26</f>
        <v>Указывается общая сумма общехозяйственных расходов.</v>
      </c>
      <c r="N92" s="1647" t="str">
        <f>IF((LEN(E92)-LEN(SUBSTITUTE(E92,".","")))/LEN(".")=1,"p","")</f>
        <v>p</v>
      </c>
      <c r="O92" s="1647"/>
      <c r="P92" s="1647"/>
      <c r="U92" s="1647"/>
      <c r="X92" s="555"/>
      <c r="AD92" s="1643"/>
      <c r="AE92" s="1643"/>
      <c r="AF92" s="1643"/>
      <c r="AG92" s="1643"/>
      <c r="AH92" s="1643"/>
      <c r="AI92" s="1171">
        <v>11</v>
      </c>
    </row>
    <row s="1377" customFormat="1" customHeight="1" ht="11.549999999999999">
      <c r="A93" s="998"/>
      <c r="C93" s="1647"/>
      <c r="D93" s="1649"/>
      <c r="E93" s="557" t="str">
        <f>FHD_NUM_P_27</f>
        <v>2.11.1</v>
      </c>
      <c r="F93" s="1661" t="str">
        <f>FHD_P_27</f>
        <v>Расходы на текущий ремонт</v>
      </c>
      <c r="G93" s="1886" t="s">
        <v>564</v>
      </c>
      <c r="H93" s="568"/>
      <c r="I93" s="568">
        <v>233.20789</v>
      </c>
      <c r="J93" s="568">
        <v>37.58558</v>
      </c>
      <c r="K93" s="568">
        <v>53.7174</v>
      </c>
      <c r="L93" s="568">
        <v>3.66432</v>
      </c>
      <c r="M93" s="300" t="str">
        <f>FHD_NOTE_P_27</f>
        <v>Указываются расходы на текущий ремонт, отнесенные к общехозяйственным расходам.</v>
      </c>
      <c r="N93" s="1647" t="str">
        <f>IF((LEN(E93)-LEN(SUBSTITUTE(E93,".","")))/LEN(".")=1,"p","")</f>
        <v/>
      </c>
      <c r="O93" s="1647"/>
      <c r="P93" s="1647"/>
      <c r="U93" s="1647"/>
      <c r="X93" s="555"/>
      <c r="AD93" s="1643"/>
      <c r="AE93" s="1643"/>
      <c r="AF93" s="1643"/>
      <c r="AG93" s="1643"/>
      <c r="AH93" s="1643"/>
      <c r="AI93" s="1171">
        <v>11</v>
      </c>
    </row>
    <row s="1377" customFormat="1" customHeight="1" ht="11.549999999999999">
      <c r="A94" s="998"/>
      <c r="C94" s="1647"/>
      <c r="D94" s="1649"/>
      <c r="E94" s="557" t="str">
        <f>FHD_NUM_P_28</f>
        <v>2.11.2</v>
      </c>
      <c r="F94" s="1661" t="str">
        <f>FHD_P_28</f>
        <v>Расходы на капитальный ремонт</v>
      </c>
      <c r="G94" s="1886" t="s">
        <v>564</v>
      </c>
      <c r="H94" s="568"/>
      <c r="I94" s="568">
        <v>0</v>
      </c>
      <c r="J94" s="568">
        <v>0</v>
      </c>
      <c r="K94" s="568">
        <v>0</v>
      </c>
      <c r="L94" s="568">
        <v>0</v>
      </c>
      <c r="M94" s="300" t="str">
        <f>FHD_NOTE_P_28</f>
        <v>Указываются расходы на капитальный ремонт, отнесенные к общехозяйственным расходам.</v>
      </c>
      <c r="N94" s="1647" t="str">
        <f>IF((LEN(E94)-LEN(SUBSTITUTE(E94,".","")))/LEN(".")=1,"p","")</f>
        <v/>
      </c>
      <c r="O94" s="1647"/>
      <c r="P94" s="1647"/>
      <c r="U94" s="1647"/>
      <c r="X94" s="555"/>
      <c r="AD94" s="1643"/>
      <c r="AE94" s="1643"/>
      <c r="AF94" s="1643"/>
      <c r="AG94" s="1643"/>
      <c r="AH94" s="1643"/>
      <c r="AI94" s="1171">
        <v>11</v>
      </c>
    </row>
    <row s="1377" customFormat="1" customHeight="1" ht="11.549999999999999">
      <c r="A95" s="998"/>
      <c r="C95" s="1647"/>
      <c r="D95" s="1649"/>
      <c r="E95" s="557" t="str">
        <f>FHD_NUM_P_29</f>
        <v>2.12</v>
      </c>
      <c r="F95" s="1535" t="str">
        <f>FHD_P_29</f>
        <v>Расходы на капитальный и текущий ремонт основных средств</v>
      </c>
      <c r="G95" s="1886" t="s">
        <v>564</v>
      </c>
      <c r="H95" s="568"/>
      <c r="I95" s="568">
        <v>592353.95802811</v>
      </c>
      <c r="J95" s="568">
        <v>25403.1710090418</v>
      </c>
      <c r="K95" s="568">
        <v>59851.99884</v>
      </c>
      <c r="L95" s="568">
        <v>875.64358</v>
      </c>
      <c r="M95" s="30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95" s="1647" t="str">
        <f>IF((LEN(E95)-LEN(SUBSTITUTE(E95,".","")))/LEN(".")=1,"p","")</f>
        <v>p</v>
      </c>
      <c r="O95" s="1647"/>
      <c r="P95" s="1647"/>
      <c r="U95" s="1647"/>
      <c r="X95" s="555"/>
      <c r="AD95" s="1643"/>
      <c r="AE95" s="1643"/>
      <c r="AF95" s="1643"/>
      <c r="AG95" s="1643"/>
      <c r="AH95" s="1643"/>
      <c r="AI95" s="1171">
        <v>11</v>
      </c>
    </row>
    <row s="1377" customFormat="1" customHeight="1" ht="59.25">
      <c r="A96" s="998"/>
      <c r="C96" s="1647"/>
      <c r="D96" s="1649"/>
      <c r="E96" s="557" t="str">
        <f>FHD_NUM_P_30</f>
        <v>2.12.1</v>
      </c>
      <c r="F96" s="166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6" s="1886" t="s">
        <v>320</v>
      </c>
      <c r="H96" s="1660" t="s">
        <v>599</v>
      </c>
      <c r="I96" s="1660" t="s">
        <v>600</v>
      </c>
      <c r="J96" s="2515" t="s">
        <v>600</v>
      </c>
      <c r="K96" s="2515" t="s">
        <v>600</v>
      </c>
      <c r="L96" s="2515" t="s">
        <v>600</v>
      </c>
      <c r="M96" s="300" t="str">
        <f>FHD_NOTE_P_30</f>
        <v/>
      </c>
      <c r="N96" s="1647" t="str">
        <f>IF((LEN(E96)-LEN(SUBSTITUTE(E96,".","")))/LEN(".")=1,"p","")</f>
        <v/>
      </c>
      <c r="O96" s="1647">
        <f>_xlfn.IFERROR(MATCH("есть",B_FHD_FLAG_INDEX_1,0),0)</f>
        <v>2</v>
      </c>
      <c r="P96" s="1647"/>
      <c r="U96" s="1647"/>
      <c r="X96" s="555"/>
      <c r="AD96" s="1643"/>
      <c r="AE96" s="1643"/>
      <c r="AF96" s="1643"/>
      <c r="AG96" s="1643"/>
      <c r="AH96" s="1643"/>
      <c r="AI96" s="1171">
        <v>11</v>
      </c>
    </row>
    <row s="1377" customFormat="1" customHeight="1" ht="23.25" hidden="1">
      <c r="A97" s="2401" t="s">
        <v>601</v>
      </c>
      <c r="C97" s="1647"/>
      <c r="D97" s="1649"/>
      <c r="E97" s="557" t="str">
        <f>FHD_NUM_P_31</f>
        <v/>
      </c>
      <c r="F97" s="1535" t="str">
        <f>FHD_P_31</f>
        <v/>
      </c>
      <c r="G97" s="1886" t="s">
        <v>564</v>
      </c>
      <c r="H97" s="568"/>
      <c r="I97" s="568"/>
      <c r="J97" s="568"/>
      <c r="K97" s="568"/>
      <c r="L97" s="568"/>
      <c r="M97" s="300" t="str">
        <f>FHD_NOTE_P_31</f>
        <v/>
      </c>
      <c r="N97" s="1647" t="str">
        <f>IF((LEN(E97)-LEN(SUBSTITUTE(E97,".","")))/LEN(".")=1,"p","")</f>
        <v/>
      </c>
      <c r="O97" s="1647"/>
      <c r="P97" s="1647"/>
      <c r="U97" s="1647"/>
      <c r="X97" s="555"/>
      <c r="AD97" s="1643"/>
      <c r="AE97" s="1643"/>
      <c r="AF97" s="1643"/>
      <c r="AG97" s="1643"/>
      <c r="AH97" s="1643"/>
      <c r="AI97" s="1171">
        <v>22</v>
      </c>
    </row>
    <row s="1377" customFormat="1" customHeight="1" ht="47.25" hidden="1">
      <c r="A98" s="2401"/>
      <c r="C98" s="1647"/>
      <c r="D98" s="1649"/>
      <c r="E98" s="557" t="str">
        <f>FHD_NUM_P_32</f>
        <v/>
      </c>
      <c r="F98" s="1661" t="str">
        <f>FHD_P_32</f>
        <v/>
      </c>
      <c r="G98" s="1886" t="s">
        <v>320</v>
      </c>
      <c r="H98" s="1660" t="s">
        <v>599</v>
      </c>
      <c r="I98" s="1660" t="s">
        <v>599</v>
      </c>
      <c r="J98" s="2515" t="s">
        <v>599</v>
      </c>
      <c r="K98" s="2515" t="s">
        <v>599</v>
      </c>
      <c r="L98" s="2515" t="s">
        <v>599</v>
      </c>
      <c r="M98" s="300" t="str">
        <f>FHD_NOTE_P_32</f>
        <v/>
      </c>
      <c r="N98" s="1647" t="str">
        <f>IF((LEN(E98)-LEN(SUBSTITUTE(E98,".","")))/LEN(".")=1,"p","")</f>
        <v/>
      </c>
      <c r="O98" s="1647">
        <f>_xlfn.IFERROR(MATCH("есть",B_FHD_FLAG_INDEX_2,0),0)</f>
        <v>0</v>
      </c>
      <c r="P98" s="1647"/>
      <c r="U98" s="1647"/>
      <c r="X98" s="555"/>
      <c r="AD98" s="1643"/>
      <c r="AE98" s="1643"/>
      <c r="AF98" s="1643"/>
      <c r="AG98" s="1643"/>
      <c r="AH98" s="1643"/>
      <c r="AI98" s="1171">
        <v>45</v>
      </c>
    </row>
    <row s="1377" customFormat="1" customHeight="1" ht="11.549999999999999">
      <c r="A99" s="998"/>
      <c r="C99" s="1647"/>
      <c r="D99" s="1649"/>
      <c r="E99" s="557" t="str">
        <f>FHD_NUM_P_33</f>
        <v>2.13</v>
      </c>
      <c r="F99" s="1535" t="str">
        <f>FHD_P_33</f>
        <v>Прочие расходы, которые подлежат отнесению на регулируемые виды деятельности в соответствии с законодательством Российской Федерации</v>
      </c>
      <c r="G99" s="1887" t="s">
        <v>564</v>
      </c>
      <c r="H99" s="590">
        <f>SUM(H100:H102)</f>
        <v>0</v>
      </c>
      <c r="I99" s="590">
        <f>SUM(I100:I102)</f>
        <v>144852.866813231</v>
      </c>
      <c r="J99" s="590">
        <f>SUM(J100:J102)</f>
        <v>19192.890956886</v>
      </c>
      <c r="K99" s="590">
        <f>SUM(K100:K102)</f>
        <v>29145.1904628539</v>
      </c>
      <c r="L99" s="590">
        <f>SUM(L100:L102)</f>
        <v>1780.0166346137</v>
      </c>
      <c r="M99" s="30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99" s="1647" t="str">
        <f>IF((LEN(E99)-LEN(SUBSTITUTE(E99,".","")))/LEN(".")=1,"p","")</f>
        <v>p</v>
      </c>
      <c r="O99" s="1647"/>
      <c r="P99" s="1647"/>
      <c r="U99" s="1647"/>
      <c r="X99" s="555"/>
      <c r="AD99" s="1643"/>
      <c r="AE99" s="1643"/>
      <c r="AF99" s="1643"/>
      <c r="AG99" s="1643"/>
      <c r="AH99" s="1643"/>
      <c r="AI99" s="1171">
        <v>11</v>
      </c>
    </row>
    <row s="1653" customFormat="1" customHeight="1" ht="1.05">
      <c r="A100" s="1178"/>
      <c r="D100" s="559"/>
      <c r="E100" s="1024" t="str">
        <f>E99&amp;".0"</f>
        <v>2.13.0</v>
      </c>
      <c r="F100" s="1002"/>
      <c r="G100" s="1024"/>
      <c r="H100" s="1003"/>
      <c r="I100" s="1003"/>
      <c r="J100" s="1003"/>
      <c r="K100" s="1003"/>
      <c r="L100" s="1003"/>
      <c r="M100" s="1004"/>
      <c r="N100" s="1647" t="str">
        <f>IF((LEN(E100)-LEN(SUBSTITUTE(E100,".","")))/LEN(".")=1,"p","")</f>
        <v/>
      </c>
      <c r="AI100" s="1647">
        <v>1</v>
      </c>
    </row>
    <row s="1643" customFormat="1" customHeight="1" ht="22.5">
      <c r="A101" s="998"/>
      <c r="B101" s="1377"/>
      <c r="C101" s="1653"/>
      <c r="D101" s="694" t="s">
        <v>105</v>
      </c>
      <c r="E101" s="2396" t="str">
        <f>E99&amp;".1"</f>
        <v>2.13.1</v>
      </c>
      <c r="F101" s="551" t="s">
        <v>602</v>
      </c>
      <c r="G101" s="2396" t="s">
        <v>564</v>
      </c>
      <c r="H101" s="762"/>
      <c r="I101" s="762">
        <v>144852.866813231</v>
      </c>
      <c r="J101" s="762">
        <v>19192.890956886</v>
      </c>
      <c r="K101" s="762">
        <v>29145.1904628539</v>
      </c>
      <c r="L101" s="762">
        <v>1780.0166346137</v>
      </c>
      <c r="M101" s="553" t="s">
        <v>567</v>
      </c>
      <c r="N101" s="745"/>
      <c r="O101" s="1653"/>
      <c r="P101" s="1653"/>
      <c r="Q101" s="1377"/>
      <c r="R101" s="1377"/>
      <c r="S101" s="1377"/>
      <c r="T101" s="1377"/>
      <c r="U101" s="1653"/>
      <c r="V101" s="1377"/>
      <c r="W101" s="1377"/>
      <c r="X101" s="747"/>
      <c r="Y101" s="1377"/>
      <c r="Z101" s="1377"/>
      <c r="AA101" s="1377"/>
      <c r="AB101" s="1377"/>
      <c r="AC101" s="1377"/>
      <c r="AD101" s="1643"/>
      <c r="AE101" s="1643"/>
      <c r="AF101" s="1643"/>
      <c r="AG101" s="1643"/>
      <c r="AH101" s="1643"/>
      <c r="AI101" s="1377">
        <v>0</v>
      </c>
    </row>
    <row s="1377" customFormat="1" customHeight="1" ht="14.699999999999998">
      <c r="A102" s="998"/>
      <c r="C102" s="1647"/>
      <c r="D102" s="1644"/>
      <c r="E102" s="581"/>
      <c r="F102" s="582" t="s">
        <v>603</v>
      </c>
      <c r="G102" s="583"/>
      <c r="H102" s="584"/>
      <c r="I102" s="584"/>
      <c r="J102" s="2670"/>
      <c r="K102" s="2671"/>
      <c r="L102" s="2672"/>
      <c r="M102" s="312"/>
      <c r="N102" s="1647"/>
      <c r="O102" s="1647"/>
      <c r="P102" s="1647"/>
      <c r="U102" s="1647"/>
      <c r="X102" s="555"/>
      <c r="AD102" s="1643"/>
      <c r="AE102" s="1643"/>
      <c r="AF102" s="1643"/>
      <c r="AG102" s="1643"/>
      <c r="AH102" s="1643"/>
      <c r="AI102" s="1171">
        <v>14</v>
      </c>
    </row>
    <row s="1377" customFormat="1" customHeight="1" ht="47.25">
      <c r="A103" s="1000" t="s">
        <v>604</v>
      </c>
      <c r="C103" s="1647"/>
      <c r="D103" s="1649"/>
      <c r="E103" s="557" t="str">
        <f>FHD_NUM_P_34</f>
        <v>3</v>
      </c>
      <c r="F103" s="1888" t="str">
        <f>FHD_P_34</f>
        <v>Валовая прибыль (убытки) от реализации товаров и оказания услуг по регулируемому виду деятельности</v>
      </c>
      <c r="G103" s="1886" t="s">
        <v>564</v>
      </c>
      <c r="H103" s="568"/>
      <c r="I103" s="568">
        <v>-1467315.33648859</v>
      </c>
      <c r="J103" s="568">
        <v>32279.5109140408</v>
      </c>
      <c r="K103" s="568">
        <v>-381522.638630803</v>
      </c>
      <c r="L103" s="568">
        <v>-39356.3319730323</v>
      </c>
      <c r="M103" s="300" t="str">
        <f>FHD_NOTE_P_34</f>
        <v/>
      </c>
      <c r="N103" s="554"/>
      <c r="O103" s="1647"/>
      <c r="P103" s="1647"/>
      <c r="U103" s="1647"/>
      <c r="X103" s="555"/>
      <c r="AD103" s="1643"/>
      <c r="AE103" s="1643"/>
      <c r="AF103" s="1643"/>
      <c r="AG103" s="1643"/>
      <c r="AH103" s="1643"/>
      <c r="AI103" s="1171">
        <v>0</v>
      </c>
    </row>
    <row s="1377" customFormat="1" customHeight="1" ht="34.5">
      <c r="A104" s="998"/>
      <c r="C104" s="1647"/>
      <c r="D104" s="586"/>
      <c r="E104" s="557" t="str">
        <f>FHD_NUM_P_35</f>
        <v>4</v>
      </c>
      <c r="F104" s="1888" t="str">
        <f>FHD_P_35</f>
        <v>Чистая прибыль, полученная от регулируемого вида деятельности, в том числе:</v>
      </c>
      <c r="G104" s="1886" t="s">
        <v>564</v>
      </c>
      <c r="H104" s="568"/>
      <c r="I104" s="568">
        <v>-1467315.33648859</v>
      </c>
      <c r="J104" s="568">
        <v>32279.5109140408</v>
      </c>
      <c r="K104" s="568">
        <v>-381522.638630803</v>
      </c>
      <c r="L104" s="568">
        <v>-39356.3319730323</v>
      </c>
      <c r="M104" s="300" t="str">
        <f>FHD_NOTE_P_35</f>
        <v>Указывается общая сумма чистой прибыли, полученной от регулируемого вида деятельности.</v>
      </c>
      <c r="N104" s="554"/>
      <c r="O104" s="1647"/>
      <c r="P104" s="1647"/>
      <c r="U104" s="1647"/>
      <c r="X104" s="555"/>
      <c r="AD104" s="1643"/>
      <c r="AE104" s="1643"/>
      <c r="AF104" s="1643"/>
      <c r="AG104" s="1643"/>
      <c r="AH104" s="1643"/>
      <c r="AI104" s="1171">
        <v>19</v>
      </c>
    </row>
    <row s="1377" customFormat="1" customHeight="1" ht="30.83333333333333">
      <c r="A105" s="998"/>
      <c r="C105" s="1647"/>
      <c r="D105" s="1649"/>
      <c r="E105" s="557" t="str">
        <f>FHD_NUM_P_36</f>
        <v>4.1</v>
      </c>
      <c r="F105" s="1535" t="str">
        <f>FHD_P_36</f>
        <v>Размер расходования чистой прибыли на финансирование мероприятий, предусмотренных инвестиционной программой регулируемой организации</v>
      </c>
      <c r="G105" s="1886" t="s">
        <v>564</v>
      </c>
      <c r="H105" s="568"/>
      <c r="I105" s="568">
        <v>0</v>
      </c>
      <c r="J105" s="568">
        <v>0</v>
      </c>
      <c r="K105" s="568">
        <v>0</v>
      </c>
      <c r="L105" s="568">
        <v>0</v>
      </c>
      <c r="M105" s="300" t="str">
        <f>FHD_NOTE_P_36</f>
        <v/>
      </c>
      <c r="N105" s="554"/>
      <c r="O105" s="1647"/>
      <c r="P105" s="1647"/>
      <c r="U105" s="1647"/>
      <c r="X105" s="555"/>
      <c r="AD105" s="1643"/>
      <c r="AE105" s="1643"/>
      <c r="AF105" s="1643"/>
      <c r="AG105" s="1643"/>
      <c r="AH105" s="1643"/>
      <c r="AI105" s="1171">
        <v>19</v>
      </c>
    </row>
    <row s="1377" customFormat="1" customHeight="1" ht="20.25">
      <c r="A106" s="998"/>
      <c r="C106" s="1647"/>
      <c r="D106" s="1649"/>
      <c r="E106" s="557" t="str">
        <f>FHD_NUM_P_37</f>
        <v>5</v>
      </c>
      <c r="F106" s="1888" t="str">
        <f>FHD_P_37</f>
        <v>Изменение стоимости основных фондов, в том числе:</v>
      </c>
      <c r="G106" s="1886" t="s">
        <v>564</v>
      </c>
      <c r="H106" s="568"/>
      <c r="I106" s="568">
        <v>2211511.71236</v>
      </c>
      <c r="J106" s="568">
        <v>5064906.32079</v>
      </c>
      <c r="K106" s="568">
        <v>5531282.658787</v>
      </c>
      <c r="L106" s="568">
        <v>722770.7198</v>
      </c>
      <c r="M106" s="300" t="str">
        <f>FHD_NOTE_P_37</f>
        <v>Указывается общее изменение стоимости основных фондов.</v>
      </c>
      <c r="N106" s="554"/>
      <c r="O106" s="1647"/>
      <c r="P106" s="1647"/>
      <c r="U106" s="1647"/>
      <c r="X106" s="555"/>
      <c r="AD106" s="1643"/>
      <c r="AE106" s="1643"/>
      <c r="AF106" s="1643"/>
      <c r="AG106" s="1643"/>
      <c r="AH106" s="1643"/>
      <c r="AI106" s="1171">
        <v>19</v>
      </c>
    </row>
    <row s="1377" customFormat="1" customHeight="1" ht="20.25">
      <c r="A107" s="998"/>
      <c r="C107" s="1647"/>
      <c r="D107" s="1649"/>
      <c r="E107" s="557" t="str">
        <f>FHD_NUM_P_38</f>
        <v>5.1</v>
      </c>
      <c r="F107" s="1535" t="str">
        <f>FHD_P_38</f>
        <v>Изменение стоимости основных фондов за счет:</v>
      </c>
      <c r="G107" s="1886" t="s">
        <v>564</v>
      </c>
      <c r="H107" s="568"/>
      <c r="I107" s="568">
        <v>1050906.63419</v>
      </c>
      <c r="J107" s="568">
        <v>336917.57754</v>
      </c>
      <c r="K107" s="568">
        <v>982166.927757</v>
      </c>
      <c r="L107" s="568">
        <v>30987.94547</v>
      </c>
      <c r="M107" s="300" t="str">
        <f>FHD_NOTE_P_38</f>
        <v>Указываются общее изменение стоимости основных фондов за счет их ввода в эксплуатацию и вывода из эксплуатации.</v>
      </c>
      <c r="N107" s="554"/>
      <c r="O107" s="1647"/>
      <c r="P107" s="1647"/>
      <c r="U107" s="1647"/>
      <c r="X107" s="555"/>
      <c r="AD107" s="1643"/>
      <c r="AE107" s="1643"/>
      <c r="AF107" s="1643"/>
      <c r="AG107" s="1643"/>
      <c r="AH107" s="1643"/>
      <c r="AI107" s="1171">
        <v>19</v>
      </c>
    </row>
    <row s="1377" customFormat="1" customHeight="1" ht="20.25">
      <c r="A108" s="998"/>
      <c r="C108" s="1647"/>
      <c r="D108" s="1649"/>
      <c r="E108" s="557" t="str">
        <f>FHD_NUM_P_39</f>
        <v>5.1.1</v>
      </c>
      <c r="F108" s="1661" t="str">
        <f>FHD_P_39</f>
        <v>Изменения стоимости основных фондов за счет их ввода в эксплуатацию</v>
      </c>
      <c r="G108" s="2080" t="s">
        <v>564</v>
      </c>
      <c r="H108" s="568"/>
      <c r="I108" s="568">
        <v>1184594.73738</v>
      </c>
      <c r="J108" s="568">
        <v>342910.64006</v>
      </c>
      <c r="K108" s="568">
        <v>982187.64333</v>
      </c>
      <c r="L108" s="568">
        <v>30987.94547</v>
      </c>
      <c r="M108" s="300" t="str">
        <f>FHD_NOTE_P_39</f>
        <v>Указываются изменение стоимости основных фондов за счет их ввода в эксплуатацию.</v>
      </c>
      <c r="N108" s="554"/>
      <c r="O108" s="1647"/>
      <c r="P108" s="1647"/>
      <c r="U108" s="1647"/>
      <c r="X108" s="555"/>
      <c r="AD108" s="1643"/>
      <c r="AE108" s="1643"/>
      <c r="AF108" s="1643"/>
      <c r="AG108" s="1643"/>
      <c r="AH108" s="1643"/>
      <c r="AI108" s="1171">
        <v>19</v>
      </c>
    </row>
    <row s="1377" customFormat="1" customHeight="1" ht="20.25">
      <c r="A109" s="998"/>
      <c r="C109" s="1647"/>
      <c r="D109" s="1649"/>
      <c r="E109" s="557" t="str">
        <f>FHD_NUM_P_40</f>
        <v>5.1.2</v>
      </c>
      <c r="F109" s="2084" t="str">
        <f>FHD_P_40</f>
        <v>Изменения стоимости основных фондов за счет их вывода в эксплуатацию</v>
      </c>
      <c r="G109" s="2079" t="s">
        <v>564</v>
      </c>
      <c r="H109" s="987"/>
      <c r="I109" s="568">
        <v>133688.10319</v>
      </c>
      <c r="J109" s="987">
        <v>5993.06252</v>
      </c>
      <c r="K109" s="987">
        <v>20.715573</v>
      </c>
      <c r="L109" s="987" t="s">
        <v>586</v>
      </c>
      <c r="M109" s="300" t="str">
        <f>FHD_NOTE_P_40</f>
        <v>Указываются изменение стоимости основных фондов за счет их вывода из эксплуатации.</v>
      </c>
      <c r="N109" s="554"/>
      <c r="O109" s="1647"/>
      <c r="P109" s="1647"/>
      <c r="U109" s="1647"/>
      <c r="X109" s="555"/>
      <c r="AD109" s="1643"/>
      <c r="AE109" s="1643"/>
      <c r="AF109" s="1643"/>
      <c r="AG109" s="1643"/>
      <c r="AH109" s="1643"/>
      <c r="AI109" s="1171">
        <v>19</v>
      </c>
    </row>
    <row s="1377" customFormat="1" customHeight="1" ht="20.25">
      <c r="A110" s="998"/>
      <c r="C110" s="1647"/>
      <c r="D110" s="1649"/>
      <c r="E110" s="557" t="str">
        <f>FHD_NUM_P_41</f>
        <v>5.2</v>
      </c>
      <c r="F110" s="2083" t="str">
        <f>FHD_P_41</f>
        <v>Изменение стоимости основных фондов за счет их переоценки</v>
      </c>
      <c r="G110" s="2079" t="s">
        <v>564</v>
      </c>
      <c r="H110" s="987"/>
      <c r="I110" s="568">
        <v>1160605.07817</v>
      </c>
      <c r="J110" s="987">
        <v>4727988.74325</v>
      </c>
      <c r="K110" s="987">
        <v>4549115.73103</v>
      </c>
      <c r="L110" s="987">
        <v>691782.77433</v>
      </c>
      <c r="M110" s="300" t="str">
        <f>FHD_NOTE_P_41</f>
        <v/>
      </c>
      <c r="N110" s="554"/>
      <c r="O110" s="1647"/>
      <c r="P110" s="1647"/>
      <c r="U110" s="1647"/>
      <c r="X110" s="555"/>
      <c r="AD110" s="1643"/>
      <c r="AE110" s="1643"/>
      <c r="AF110" s="1643"/>
      <c r="AG110" s="1643"/>
      <c r="AH110" s="1643"/>
      <c r="AI110" s="1171">
        <v>19</v>
      </c>
    </row>
    <row s="1377" customFormat="1" customHeight="1" ht="20.25" hidden="1">
      <c r="A111" s="1000" t="s">
        <v>605</v>
      </c>
      <c r="C111" s="1647"/>
      <c r="D111" s="1649"/>
      <c r="E111" s="557" t="str">
        <f>FHD_NUM_P_42</f>
        <v/>
      </c>
      <c r="F111" s="2081" t="str">
        <f>FHD_P_42</f>
        <v/>
      </c>
      <c r="G111" s="2079" t="s">
        <v>564</v>
      </c>
      <c r="H111" s="987"/>
      <c r="I111" s="568"/>
      <c r="J111" s="987"/>
      <c r="K111" s="987"/>
      <c r="L111" s="987"/>
      <c r="M111" s="300" t="str">
        <f>FHD_NOTE_P_42</f>
        <v/>
      </c>
      <c r="N111" s="554"/>
      <c r="O111" s="1647"/>
      <c r="P111" s="1647"/>
      <c r="U111" s="1647"/>
      <c r="X111" s="555"/>
      <c r="AD111" s="1643"/>
      <c r="AE111" s="1643"/>
      <c r="AF111" s="1643"/>
      <c r="AG111" s="1643"/>
      <c r="AH111" s="1643"/>
      <c r="AI111" s="1171">
        <v>19</v>
      </c>
    </row>
    <row s="1377" customFormat="1" customHeight="1" ht="42.75">
      <c r="A112" s="998"/>
      <c r="C112" s="1647" t="s">
        <v>606</v>
      </c>
      <c r="D112" s="1649"/>
      <c r="E112" s="557" t="str">
        <f>FHD_NUM_P_43</f>
        <v>6</v>
      </c>
      <c r="F112" s="1888" t="str">
        <f>FHD_P_43</f>
        <v>Годовая бухгалтерская (финансовая) отчетность, включая бухгалтерский баланс и приложения к нему</v>
      </c>
      <c r="G112" s="2082" t="s">
        <v>320</v>
      </c>
      <c r="H112" s="1066"/>
      <c r="I112" s="829" t="s">
        <v>607</v>
      </c>
      <c r="J112" s="1066" t="s">
        <v>607</v>
      </c>
      <c r="K112" s="1066" t="s">
        <v>607</v>
      </c>
      <c r="L112" s="1066" t="s">
        <v>607</v>
      </c>
      <c r="M112" s="30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112" s="554"/>
      <c r="O112" s="1647"/>
      <c r="P112" s="1647"/>
      <c r="U112" s="1647"/>
      <c r="X112" s="555"/>
      <c r="AD112" s="1643"/>
      <c r="AE112" s="1643"/>
      <c r="AF112" s="1643"/>
      <c r="AG112" s="1643"/>
      <c r="AH112" s="1643"/>
      <c r="AI112" s="1171">
        <v>19</v>
      </c>
    </row>
    <row s="1377" customFormat="1" customHeight="1" ht="18.75" hidden="1">
      <c r="A113" s="2401" t="s">
        <v>608</v>
      </c>
      <c r="C113" s="746"/>
      <c r="D113" s="744"/>
      <c r="E113" s="557" t="str">
        <f>FHD_NUM_P_44</f>
        <v/>
      </c>
      <c r="F113" s="1888" t="str">
        <f>FHD_P_44</f>
        <v/>
      </c>
      <c r="G113" s="1889" t="s">
        <v>609</v>
      </c>
      <c r="H113" s="988"/>
      <c r="I113" s="588"/>
      <c r="J113" s="988"/>
      <c r="K113" s="988"/>
      <c r="L113" s="988"/>
      <c r="M113" s="300" t="str">
        <f>FHD_NOTE_P_44</f>
        <v/>
      </c>
      <c r="N113" s="745"/>
      <c r="O113" s="746"/>
      <c r="P113" s="746"/>
      <c r="U113" s="746"/>
      <c r="X113" s="747"/>
      <c r="AD113" s="748"/>
      <c r="AE113" s="748"/>
      <c r="AF113" s="748"/>
      <c r="AG113" s="748"/>
      <c r="AH113" s="748"/>
      <c r="AI113" s="921">
        <v>0</v>
      </c>
    </row>
    <row s="1377" customFormat="1" customHeight="1" ht="18.75" hidden="1">
      <c r="A114" s="2401"/>
      <c r="C114" s="746"/>
      <c r="D114" s="744"/>
      <c r="E114" s="557" t="str">
        <f>FHD_NUM_P_45</f>
        <v/>
      </c>
      <c r="F114" s="1888" t="str">
        <f>FHD_P_45</f>
        <v/>
      </c>
      <c r="G114" s="1889" t="s">
        <v>609</v>
      </c>
      <c r="H114" s="988"/>
      <c r="I114" s="588"/>
      <c r="J114" s="988"/>
      <c r="K114" s="988"/>
      <c r="L114" s="988"/>
      <c r="M114" s="300" t="str">
        <f>FHD_NOTE_P_45</f>
        <v/>
      </c>
      <c r="N114" s="745"/>
      <c r="O114" s="746"/>
      <c r="P114" s="746"/>
      <c r="U114" s="746"/>
      <c r="X114" s="747"/>
      <c r="AD114" s="748"/>
      <c r="AE114" s="748"/>
      <c r="AF114" s="748"/>
      <c r="AG114" s="748"/>
      <c r="AH114" s="748"/>
      <c r="AI114" s="921">
        <v>0</v>
      </c>
    </row>
    <row s="1377" customFormat="1" customHeight="1" ht="18.75" hidden="1">
      <c r="A115" s="2401"/>
      <c r="C115" s="746"/>
      <c r="D115" s="749"/>
      <c r="E115" s="557" t="str">
        <f>FHD_NUM_P_46</f>
        <v/>
      </c>
      <c r="F115" s="1888" t="str">
        <f>FHD_P_46</f>
        <v/>
      </c>
      <c r="G115" s="1889" t="s">
        <v>609</v>
      </c>
      <c r="H115" s="988"/>
      <c r="I115" s="588"/>
      <c r="J115" s="988"/>
      <c r="K115" s="988"/>
      <c r="L115" s="988"/>
      <c r="M115" s="300" t="str">
        <f>FHD_NOTE_P_46</f>
        <v/>
      </c>
      <c r="N115" s="745"/>
      <c r="O115" s="746"/>
      <c r="P115" s="746"/>
      <c r="U115" s="746"/>
      <c r="X115" s="747"/>
      <c r="AD115" s="748"/>
      <c r="AE115" s="748"/>
      <c r="AF115" s="748"/>
      <c r="AG115" s="748"/>
      <c r="AH115" s="748"/>
      <c r="AI115" s="921">
        <v>0</v>
      </c>
    </row>
    <row s="1377" customFormat="1" customHeight="1" ht="18.75" hidden="1">
      <c r="A116" s="2401"/>
      <c r="C116" s="746"/>
      <c r="D116" s="744"/>
      <c r="E116" s="557" t="str">
        <f>FHD_NUM_P_47</f>
        <v/>
      </c>
      <c r="F116" s="1888" t="str">
        <f>FHD_P_47</f>
        <v/>
      </c>
      <c r="G116" s="1889" t="s">
        <v>609</v>
      </c>
      <c r="H116" s="988"/>
      <c r="I116" s="588"/>
      <c r="J116" s="988"/>
      <c r="K116" s="988"/>
      <c r="L116" s="988"/>
      <c r="M116" s="300" t="str">
        <f>FHD_NOTE_P_47</f>
        <v/>
      </c>
      <c r="N116" s="745"/>
      <c r="O116" s="746"/>
      <c r="P116" s="746"/>
      <c r="U116" s="746"/>
      <c r="X116" s="747"/>
      <c r="AD116" s="748"/>
      <c r="AE116" s="748"/>
      <c r="AF116" s="748"/>
      <c r="AG116" s="748"/>
      <c r="AH116" s="748"/>
      <c r="AI116" s="921">
        <v>0</v>
      </c>
    </row>
    <row s="1646" customFormat="1" customHeight="1" ht="18.75" hidden="1">
      <c r="A117" s="2401"/>
      <c r="B117" s="921"/>
      <c r="C117" s="746"/>
      <c r="D117" s="744"/>
      <c r="E117" s="557" t="str">
        <f>FHD_NUM_P_48</f>
        <v/>
      </c>
      <c r="F117" s="1888" t="str">
        <f>FHD_P_48</f>
        <v/>
      </c>
      <c r="G117" s="1889" t="s">
        <v>609</v>
      </c>
      <c r="H117" s="988"/>
      <c r="I117" s="588"/>
      <c r="J117" s="988"/>
      <c r="K117" s="988"/>
      <c r="L117" s="988"/>
      <c r="M117" s="300" t="str">
        <f>FHD_NOTE_P_48</f>
        <v/>
      </c>
      <c r="N117" s="745"/>
      <c r="O117" s="746"/>
      <c r="P117" s="746"/>
      <c r="Q117" s="921"/>
      <c r="R117" s="921"/>
      <c r="S117" s="921"/>
      <c r="T117" s="921"/>
      <c r="U117" s="746"/>
      <c r="V117" s="921"/>
      <c r="W117" s="921"/>
      <c r="X117" s="747"/>
      <c r="Y117" s="921"/>
      <c r="Z117" s="921"/>
      <c r="AA117" s="921"/>
      <c r="AB117" s="921"/>
      <c r="AC117" s="921"/>
      <c r="AD117" s="748"/>
      <c r="AE117" s="748"/>
      <c r="AF117" s="748"/>
      <c r="AG117" s="748"/>
      <c r="AH117" s="748"/>
      <c r="AI117" s="750">
        <v>0</v>
      </c>
    </row>
    <row s="1646" customFormat="1" customHeight="1" ht="18.75" hidden="1">
      <c r="A118" s="2401"/>
      <c r="B118" s="921"/>
      <c r="C118" s="746"/>
      <c r="D118" s="744"/>
      <c r="E118" s="557" t="str">
        <f>FHD_NUM_P_49</f>
        <v/>
      </c>
      <c r="F118" s="1888" t="str">
        <f>FHD_P_49</f>
        <v/>
      </c>
      <c r="G118" s="1889" t="s">
        <v>609</v>
      </c>
      <c r="H118" s="989">
        <f>SUM(H119:H120)</f>
        <v>0</v>
      </c>
      <c r="I118" s="760">
        <f>SUM(I119:I120)</f>
        <v>0</v>
      </c>
      <c r="J118" s="989">
        <f>SUM(J119:J120)</f>
        <v>0</v>
      </c>
      <c r="K118" s="989">
        <f>SUM(K119:K120)</f>
        <v>0</v>
      </c>
      <c r="L118" s="989">
        <f>SUM(L119:L120)</f>
        <v>0</v>
      </c>
      <c r="M118" s="300" t="str">
        <f>FHD_NOTE_P_49</f>
        <v/>
      </c>
      <c r="N118" s="745"/>
      <c r="O118" s="746"/>
      <c r="P118" s="746"/>
      <c r="Q118" s="921"/>
      <c r="R118" s="921"/>
      <c r="S118" s="921"/>
      <c r="T118" s="921"/>
      <c r="U118" s="746"/>
      <c r="V118" s="921"/>
      <c r="W118" s="921"/>
      <c r="X118" s="747"/>
      <c r="Y118" s="921"/>
      <c r="Z118" s="921"/>
      <c r="AA118" s="921"/>
      <c r="AB118" s="921"/>
      <c r="AC118" s="921"/>
      <c r="AD118" s="748"/>
      <c r="AE118" s="748"/>
      <c r="AF118" s="748"/>
      <c r="AG118" s="748"/>
      <c r="AH118" s="748"/>
      <c r="AI118" s="750">
        <v>0</v>
      </c>
    </row>
    <row s="1646" customFormat="1" customHeight="1" ht="18.75" hidden="1">
      <c r="A119" s="2401"/>
      <c r="B119" s="921"/>
      <c r="C119" s="746"/>
      <c r="D119" s="744"/>
      <c r="E119" s="557" t="str">
        <f>FHD_NUM_P_50</f>
        <v/>
      </c>
      <c r="F119" s="1888" t="str">
        <f>FHD_P_50</f>
        <v/>
      </c>
      <c r="G119" s="1889" t="s">
        <v>609</v>
      </c>
      <c r="H119" s="988"/>
      <c r="I119" s="588"/>
      <c r="J119" s="988"/>
      <c r="K119" s="988"/>
      <c r="L119" s="988"/>
      <c r="M119" s="300" t="str">
        <f>FHD_NOTE_P_50</f>
        <v/>
      </c>
      <c r="N119" s="745"/>
      <c r="O119" s="746"/>
      <c r="P119" s="746"/>
      <c r="Q119" s="921"/>
      <c r="R119" s="921"/>
      <c r="S119" s="921"/>
      <c r="T119" s="921"/>
      <c r="U119" s="746"/>
      <c r="V119" s="921"/>
      <c r="W119" s="921"/>
      <c r="X119" s="747"/>
      <c r="Y119" s="921"/>
      <c r="Z119" s="921"/>
      <c r="AA119" s="921"/>
      <c r="AB119" s="921"/>
      <c r="AC119" s="921"/>
      <c r="AD119" s="748"/>
      <c r="AE119" s="748"/>
      <c r="AF119" s="748"/>
      <c r="AG119" s="748"/>
      <c r="AH119" s="748"/>
      <c r="AI119" s="750">
        <v>0</v>
      </c>
    </row>
    <row s="1646" customFormat="1" customHeight="1" ht="18.75" hidden="1">
      <c r="A120" s="2401"/>
      <c r="B120" s="921"/>
      <c r="C120" s="746"/>
      <c r="D120" s="744"/>
      <c r="E120" s="557" t="str">
        <f>FHD_NUM_P_51</f>
        <v/>
      </c>
      <c r="F120" s="1888" t="str">
        <f>FHD_P_51</f>
        <v/>
      </c>
      <c r="G120" s="1889" t="s">
        <v>609</v>
      </c>
      <c r="H120" s="988"/>
      <c r="I120" s="588"/>
      <c r="J120" s="988"/>
      <c r="K120" s="988"/>
      <c r="L120" s="988"/>
      <c r="M120" s="300" t="str">
        <f>FHD_NOTE_P_51</f>
        <v/>
      </c>
      <c r="N120" s="745"/>
      <c r="O120" s="746"/>
      <c r="P120" s="746"/>
      <c r="Q120" s="921"/>
      <c r="R120" s="921"/>
      <c r="S120" s="921"/>
      <c r="T120" s="921"/>
      <c r="U120" s="746"/>
      <c r="V120" s="921"/>
      <c r="W120" s="921"/>
      <c r="X120" s="747"/>
      <c r="Y120" s="921"/>
      <c r="Z120" s="921"/>
      <c r="AA120" s="921"/>
      <c r="AB120" s="921"/>
      <c r="AC120" s="921"/>
      <c r="AD120" s="748"/>
      <c r="AE120" s="748"/>
      <c r="AF120" s="748"/>
      <c r="AG120" s="748"/>
      <c r="AH120" s="748"/>
      <c r="AI120" s="750">
        <v>0</v>
      </c>
    </row>
    <row s="1646" customFormat="1" customHeight="1" ht="18.75" hidden="1">
      <c r="A121" s="2401"/>
      <c r="B121" s="921"/>
      <c r="C121" s="746"/>
      <c r="D121" s="744"/>
      <c r="E121" s="557" t="str">
        <f>FHD_NUM_P_52</f>
        <v/>
      </c>
      <c r="F121" s="1888" t="str">
        <f>FHD_P_52</f>
        <v/>
      </c>
      <c r="G121" s="1889" t="s">
        <v>570</v>
      </c>
      <c r="H121" s="987"/>
      <c r="I121" s="568"/>
      <c r="J121" s="987"/>
      <c r="K121" s="987"/>
      <c r="L121" s="987"/>
      <c r="M121" s="300" t="str">
        <f>FHD_NOTE_P_52</f>
        <v/>
      </c>
      <c r="N121" s="745"/>
      <c r="O121" s="746"/>
      <c r="P121" s="746"/>
      <c r="Q121" s="921"/>
      <c r="R121" s="921"/>
      <c r="S121" s="921"/>
      <c r="T121" s="921"/>
      <c r="U121" s="746"/>
      <c r="V121" s="921"/>
      <c r="W121" s="921"/>
      <c r="X121" s="747"/>
      <c r="Y121" s="921"/>
      <c r="Z121" s="921"/>
      <c r="AA121" s="921"/>
      <c r="AB121" s="921"/>
      <c r="AC121" s="921"/>
      <c r="AD121" s="748"/>
      <c r="AE121" s="748"/>
      <c r="AF121" s="748"/>
      <c r="AG121" s="748"/>
      <c r="AH121" s="748"/>
      <c r="AI121" s="750">
        <v>0</v>
      </c>
    </row>
    <row s="1377" customFormat="1" customHeight="1" ht="18.75" hidden="1">
      <c r="A122" s="2403" t="s">
        <v>610</v>
      </c>
      <c r="C122" s="746"/>
      <c r="D122" s="744"/>
      <c r="E122" s="557" t="str">
        <f>FHD_NUM_P_53</f>
        <v/>
      </c>
      <c r="F122" s="1888" t="str">
        <f>FHD_P_53</f>
        <v/>
      </c>
      <c r="G122" s="1889" t="s">
        <v>609</v>
      </c>
      <c r="H122" s="988"/>
      <c r="I122" s="588"/>
      <c r="J122" s="988"/>
      <c r="K122" s="988"/>
      <c r="L122" s="988"/>
      <c r="M122" s="300" t="str">
        <f>FHD_NOTE_P_53</f>
        <v/>
      </c>
      <c r="N122" s="745"/>
      <c r="O122" s="746"/>
      <c r="P122" s="746"/>
      <c r="U122" s="746"/>
      <c r="X122" s="747"/>
      <c r="AD122" s="748"/>
      <c r="AE122" s="748"/>
      <c r="AF122" s="748"/>
      <c r="AG122" s="748"/>
      <c r="AH122" s="748"/>
      <c r="AI122" s="921">
        <v>0</v>
      </c>
    </row>
    <row s="1377" customFormat="1" customHeight="1" ht="18.75" hidden="1">
      <c r="A123" s="2403"/>
      <c r="C123" s="746"/>
      <c r="D123" s="744"/>
      <c r="E123" s="557" t="str">
        <f>FHD_NUM_P_54</f>
        <v/>
      </c>
      <c r="F123" s="1888" t="str">
        <f>FHD_P_54</f>
        <v/>
      </c>
      <c r="G123" s="1889" t="s">
        <v>609</v>
      </c>
      <c r="H123" s="988"/>
      <c r="I123" s="588"/>
      <c r="J123" s="988"/>
      <c r="K123" s="988"/>
      <c r="L123" s="988"/>
      <c r="M123" s="300" t="str">
        <f>FHD_NOTE_P_54</f>
        <v/>
      </c>
      <c r="N123" s="745"/>
      <c r="O123" s="746"/>
      <c r="P123" s="746"/>
      <c r="U123" s="746"/>
      <c r="X123" s="747"/>
      <c r="AD123" s="748"/>
      <c r="AE123" s="748"/>
      <c r="AF123" s="748"/>
      <c r="AG123" s="748"/>
      <c r="AH123" s="748"/>
      <c r="AI123" s="921">
        <v>0</v>
      </c>
    </row>
    <row s="1377" customFormat="1" customHeight="1" ht="18.75" hidden="1">
      <c r="A124" s="2403"/>
      <c r="C124" s="746"/>
      <c r="D124" s="749"/>
      <c r="E124" s="557" t="str">
        <f>FHD_NUM_P_55</f>
        <v/>
      </c>
      <c r="F124" s="1888" t="str">
        <f>FHD_P_55</f>
        <v/>
      </c>
      <c r="G124" s="1892"/>
      <c r="H124" s="988"/>
      <c r="I124" s="588"/>
      <c r="J124" s="988"/>
      <c r="K124" s="988"/>
      <c r="L124" s="988"/>
      <c r="M124" s="300" t="str">
        <f>FHD_NOTE_P_55</f>
        <v/>
      </c>
      <c r="N124" s="745"/>
      <c r="O124" s="746"/>
      <c r="P124" s="746"/>
      <c r="U124" s="746"/>
      <c r="X124" s="747"/>
      <c r="AD124" s="748"/>
      <c r="AE124" s="748"/>
      <c r="AF124" s="748"/>
      <c r="AG124" s="748"/>
      <c r="AH124" s="748"/>
      <c r="AI124" s="921">
        <v>0</v>
      </c>
    </row>
    <row s="1377" customFormat="1" customHeight="1" ht="18.75" hidden="1">
      <c r="A125" s="2403"/>
      <c r="C125" s="746"/>
      <c r="D125" s="744"/>
      <c r="E125" s="557" t="str">
        <f>FHD_NUM_P_56</f>
        <v/>
      </c>
      <c r="F125" s="1888" t="str">
        <f>FHD_P_56</f>
        <v/>
      </c>
      <c r="G125" s="1889" t="s">
        <v>611</v>
      </c>
      <c r="H125" s="988"/>
      <c r="I125" s="588"/>
      <c r="J125" s="988"/>
      <c r="K125" s="988"/>
      <c r="L125" s="988"/>
      <c r="M125" s="300" t="str">
        <f>FHD_NOTE_P_56</f>
        <v/>
      </c>
      <c r="N125" s="745"/>
      <c r="O125" s="746"/>
      <c r="P125" s="746"/>
      <c r="U125" s="746"/>
      <c r="X125" s="747"/>
      <c r="AD125" s="748"/>
      <c r="AE125" s="748"/>
      <c r="AF125" s="748"/>
      <c r="AG125" s="748"/>
      <c r="AH125" s="748"/>
      <c r="AI125" s="921">
        <v>0</v>
      </c>
    </row>
    <row s="1646" customFormat="1" customHeight="1" ht="18.75" hidden="1">
      <c r="A126" s="2403"/>
      <c r="B126" s="921"/>
      <c r="C126" s="746"/>
      <c r="D126" s="744"/>
      <c r="E126" s="557" t="str">
        <f>FHD_NUM_P_57</f>
        <v/>
      </c>
      <c r="F126" s="1888" t="str">
        <f>FHD_P_57</f>
        <v/>
      </c>
      <c r="G126" s="1889" t="s">
        <v>570</v>
      </c>
      <c r="H126" s="987"/>
      <c r="I126" s="568"/>
      <c r="J126" s="987"/>
      <c r="K126" s="987"/>
      <c r="L126" s="987"/>
      <c r="M126" s="300" t="str">
        <f>FHD_NOTE_P_57</f>
        <v/>
      </c>
      <c r="N126" s="745"/>
      <c r="O126" s="746"/>
      <c r="P126" s="746"/>
      <c r="Q126" s="921"/>
      <c r="R126" s="921"/>
      <c r="S126" s="921"/>
      <c r="T126" s="921"/>
      <c r="U126" s="746"/>
      <c r="V126" s="921"/>
      <c r="W126" s="921"/>
      <c r="X126" s="747"/>
      <c r="Y126" s="921"/>
      <c r="Z126" s="921"/>
      <c r="AA126" s="921"/>
      <c r="AB126" s="921"/>
      <c r="AC126" s="921"/>
      <c r="AD126" s="748"/>
      <c r="AE126" s="748"/>
      <c r="AF126" s="748"/>
      <c r="AG126" s="748"/>
      <c r="AH126" s="748"/>
      <c r="AI126" s="750">
        <v>0</v>
      </c>
    </row>
    <row customHeight="1" ht="18.75" hidden="1">
      <c r="A127" s="2401" t="s">
        <v>612</v>
      </c>
      <c r="D127" s="1649"/>
      <c r="E127" s="557" t="str">
        <f>FHD_NUM_P_58</f>
        <v/>
      </c>
      <c r="F127" s="1888" t="str">
        <f>FHD_P_58</f>
        <v/>
      </c>
      <c r="G127" s="1889" t="s">
        <v>609</v>
      </c>
      <c r="H127" s="988"/>
      <c r="I127" s="588"/>
      <c r="J127" s="988"/>
      <c r="K127" s="988"/>
      <c r="L127" s="988"/>
      <c r="M127" s="300" t="str">
        <f>FHD_NOTE_P_58</f>
        <v/>
      </c>
      <c r="N127" s="554"/>
      <c r="AI127" s="1642">
        <v>0</v>
      </c>
    </row>
    <row customHeight="1" ht="18.75" hidden="1">
      <c r="A128" s="2401"/>
      <c r="D128" s="1649"/>
      <c r="E128" s="557" t="str">
        <f>FHD_NUM_P_59</f>
        <v/>
      </c>
      <c r="F128" s="1888" t="str">
        <f>FHD_P_59</f>
        <v/>
      </c>
      <c r="G128" s="1889" t="s">
        <v>609</v>
      </c>
      <c r="H128" s="988"/>
      <c r="I128" s="588"/>
      <c r="J128" s="988"/>
      <c r="K128" s="988"/>
      <c r="L128" s="988"/>
      <c r="M128" s="300" t="str">
        <f>FHD_NOTE_P_59</f>
        <v/>
      </c>
      <c r="N128" s="554"/>
      <c r="AI128" s="1642">
        <v>0</v>
      </c>
    </row>
    <row customHeight="1" ht="18.75" hidden="1">
      <c r="A129" s="2401"/>
      <c r="D129" s="1649"/>
      <c r="E129" s="557" t="str">
        <f>FHD_NUM_P_60</f>
        <v/>
      </c>
      <c r="F129" s="1888" t="str">
        <f>FHD_P_60</f>
        <v/>
      </c>
      <c r="G129" s="1889" t="s">
        <v>609</v>
      </c>
      <c r="H129" s="988"/>
      <c r="I129" s="588"/>
      <c r="J129" s="988"/>
      <c r="K129" s="988"/>
      <c r="L129" s="988"/>
      <c r="M129" s="300" t="str">
        <f>FHD_NOTE_P_60</f>
        <v/>
      </c>
      <c r="N129" s="554"/>
      <c r="AI129" s="1642">
        <v>0</v>
      </c>
    </row>
    <row s="1377" customFormat="1" customHeight="1" ht="64.5">
      <c r="A130" s="2401" t="s">
        <v>613</v>
      </c>
      <c r="C130" s="1647"/>
      <c r="D130" s="1649"/>
      <c r="E130" s="557" t="str">
        <f>FHD_NUM_P_61</f>
        <v>7</v>
      </c>
      <c r="F130" s="188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30" s="1886" t="s">
        <v>568</v>
      </c>
      <c r="H130" s="990"/>
      <c r="I130" s="753">
        <v>1265.445</v>
      </c>
      <c r="J130" s="990">
        <v>244.711</v>
      </c>
      <c r="K130" s="990">
        <v>331.6</v>
      </c>
      <c r="L130" s="990">
        <v>14.063</v>
      </c>
      <c r="M130" s="30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130" s="554"/>
      <c r="O130" s="1647"/>
      <c r="P130" s="1647"/>
      <c r="U130" s="1647"/>
      <c r="X130" s="555"/>
      <c r="AD130" s="1643"/>
      <c r="AE130" s="1643"/>
      <c r="AF130" s="1643"/>
      <c r="AG130" s="1643"/>
      <c r="AH130" s="1643"/>
      <c r="AI130" s="1171">
        <v>0</v>
      </c>
    </row>
    <row s="1653" customFormat="1" customHeight="1" ht="0.75">
      <c r="A131" s="2401"/>
      <c r="D131" s="559"/>
      <c r="E131" s="1024" t="str">
        <f>E130&amp;".0"</f>
        <v>7.0</v>
      </c>
      <c r="F131" s="1005"/>
      <c r="G131" s="1006"/>
      <c r="H131" s="1003"/>
      <c r="I131" s="1003"/>
      <c r="J131" s="1003"/>
      <c r="K131" s="1003"/>
      <c r="L131" s="1003"/>
      <c r="M131" s="1007"/>
      <c r="AI131" s="1647">
        <v>0</v>
      </c>
    </row>
    <row s="1858" customFormat="1" customHeight="1" ht="18.75">
      <c r="A132" s="998"/>
      <c r="B132" s="1377"/>
      <c r="C132" s="1653"/>
      <c r="D132" s="694" t="s">
        <v>105</v>
      </c>
      <c r="E132" s="557" t="str">
        <f>E130&amp;".1"</f>
        <v>7.1</v>
      </c>
      <c r="F132" s="551" t="s">
        <v>614</v>
      </c>
      <c r="G132" s="2396" t="s">
        <v>568</v>
      </c>
      <c r="H132" s="762"/>
      <c r="I132" s="762">
        <v>1217</v>
      </c>
      <c r="J132" s="762"/>
      <c r="K132" s="762"/>
      <c r="L132" s="762"/>
      <c r="M132" s="1536" t="s">
        <v>569</v>
      </c>
      <c r="N132" s="745"/>
      <c r="O132" s="1653"/>
      <c r="P132" s="1653"/>
      <c r="Q132" s="1377"/>
      <c r="R132" s="1377"/>
      <c r="S132" s="1377"/>
      <c r="T132" s="1377"/>
      <c r="U132" s="1653"/>
      <c r="V132" s="1377"/>
      <c r="W132" s="1377"/>
      <c r="X132" s="747"/>
      <c r="Y132" s="1377"/>
      <c r="Z132" s="1377"/>
      <c r="AA132" s="1377"/>
      <c r="AB132" s="1377"/>
      <c r="AC132" s="1377"/>
      <c r="AD132" s="1643"/>
      <c r="AE132" s="1643"/>
      <c r="AF132" s="1643"/>
      <c r="AG132" s="1643"/>
      <c r="AH132" s="1643"/>
      <c r="AI132" s="1646">
        <v>0</v>
      </c>
    </row>
    <row s="1858" customFormat="1" customHeight="1" ht="18.75">
      <c r="A133" s="998"/>
      <c r="B133" s="1377"/>
      <c r="C133" s="1653"/>
      <c r="D133" s="694" t="s">
        <v>105</v>
      </c>
      <c r="E133" s="557" t="str">
        <f>E130&amp;".2"</f>
        <v>7.2</v>
      </c>
      <c r="F133" s="551" t="s">
        <v>615</v>
      </c>
      <c r="G133" s="2396" t="s">
        <v>568</v>
      </c>
      <c r="H133" s="762"/>
      <c r="I133" s="762">
        <v>48.445</v>
      </c>
      <c r="J133" s="762"/>
      <c r="K133" s="762"/>
      <c r="L133" s="762"/>
      <c r="M133" s="1536" t="s">
        <v>569</v>
      </c>
      <c r="N133" s="745"/>
      <c r="O133" s="1653"/>
      <c r="P133" s="1653"/>
      <c r="Q133" s="1377"/>
      <c r="R133" s="1377"/>
      <c r="S133" s="1377"/>
      <c r="T133" s="1377"/>
      <c r="U133" s="1653"/>
      <c r="V133" s="1377"/>
      <c r="W133" s="1377"/>
      <c r="X133" s="747"/>
      <c r="Y133" s="1377"/>
      <c r="Z133" s="1377"/>
      <c r="AA133" s="1377"/>
      <c r="AB133" s="1377"/>
      <c r="AC133" s="1377"/>
      <c r="AD133" s="1643"/>
      <c r="AE133" s="1643"/>
      <c r="AF133" s="1643"/>
      <c r="AG133" s="1643"/>
      <c r="AH133" s="1643"/>
      <c r="AI133" s="1646">
        <v>0</v>
      </c>
    </row>
    <row s="1858" customFormat="1" customHeight="1" ht="18.75">
      <c r="A134" s="998"/>
      <c r="B134" s="1377"/>
      <c r="C134" s="1653"/>
      <c r="D134" s="694" t="s">
        <v>105</v>
      </c>
      <c r="E134" s="557" t="str">
        <f>E130&amp;".3"</f>
        <v>7.3</v>
      </c>
      <c r="F134" s="551" t="s">
        <v>616</v>
      </c>
      <c r="G134" s="2396" t="s">
        <v>568</v>
      </c>
      <c r="H134" s="762"/>
      <c r="I134" s="762"/>
      <c r="J134" s="762">
        <v>44</v>
      </c>
      <c r="K134" s="762"/>
      <c r="L134" s="762"/>
      <c r="M134" s="1536" t="s">
        <v>569</v>
      </c>
      <c r="N134" s="745"/>
      <c r="O134" s="1653"/>
      <c r="P134" s="1653"/>
      <c r="Q134" s="1377"/>
      <c r="R134" s="1377"/>
      <c r="S134" s="1377"/>
      <c r="T134" s="1377"/>
      <c r="U134" s="1653"/>
      <c r="V134" s="1377"/>
      <c r="W134" s="1377"/>
      <c r="X134" s="747"/>
      <c r="Y134" s="1377"/>
      <c r="Z134" s="1377"/>
      <c r="AA134" s="1377"/>
      <c r="AB134" s="1377"/>
      <c r="AC134" s="1377"/>
      <c r="AD134" s="1643"/>
      <c r="AE134" s="1643"/>
      <c r="AF134" s="1643"/>
      <c r="AG134" s="1643"/>
      <c r="AH134" s="1643"/>
      <c r="AI134" s="1646">
        <v>0</v>
      </c>
    </row>
    <row s="1858" customFormat="1" customHeight="1" ht="18.75">
      <c r="A135" s="998"/>
      <c r="B135" s="1377"/>
      <c r="C135" s="1653"/>
      <c r="D135" s="694" t="s">
        <v>105</v>
      </c>
      <c r="E135" s="557" t="str">
        <f>E130&amp;".4"</f>
        <v>7.4</v>
      </c>
      <c r="F135" s="551" t="s">
        <v>617</v>
      </c>
      <c r="G135" s="2396" t="s">
        <v>568</v>
      </c>
      <c r="H135" s="762"/>
      <c r="I135" s="762"/>
      <c r="J135" s="762">
        <v>7.83</v>
      </c>
      <c r="K135" s="762"/>
      <c r="L135" s="762"/>
      <c r="M135" s="1536" t="s">
        <v>569</v>
      </c>
      <c r="N135" s="745"/>
      <c r="O135" s="1653"/>
      <c r="P135" s="1653"/>
      <c r="Q135" s="1377"/>
      <c r="R135" s="1377"/>
      <c r="S135" s="1377"/>
      <c r="T135" s="1377"/>
      <c r="U135" s="1653"/>
      <c r="V135" s="1377"/>
      <c r="W135" s="1377"/>
      <c r="X135" s="747"/>
      <c r="Y135" s="1377"/>
      <c r="Z135" s="1377"/>
      <c r="AA135" s="1377"/>
      <c r="AB135" s="1377"/>
      <c r="AC135" s="1377"/>
      <c r="AD135" s="1643"/>
      <c r="AE135" s="1643"/>
      <c r="AF135" s="1643"/>
      <c r="AG135" s="1643"/>
      <c r="AH135" s="1643"/>
      <c r="AI135" s="1646">
        <v>0</v>
      </c>
    </row>
    <row s="1858" customFormat="1" customHeight="1" ht="18.75">
      <c r="A136" s="998"/>
      <c r="B136" s="1377"/>
      <c r="C136" s="1653"/>
      <c r="D136" s="694" t="s">
        <v>105</v>
      </c>
      <c r="E136" s="557" t="str">
        <f>E130&amp;".5"</f>
        <v>7.5</v>
      </c>
      <c r="F136" s="551" t="s">
        <v>618</v>
      </c>
      <c r="G136" s="2396" t="s">
        <v>568</v>
      </c>
      <c r="H136" s="762"/>
      <c r="I136" s="762"/>
      <c r="J136" s="762">
        <v>6</v>
      </c>
      <c r="K136" s="762"/>
      <c r="L136" s="762"/>
      <c r="M136" s="1536" t="s">
        <v>569</v>
      </c>
      <c r="N136" s="745"/>
      <c r="O136" s="1653"/>
      <c r="P136" s="1653"/>
      <c r="Q136" s="1377"/>
      <c r="R136" s="1377"/>
      <c r="S136" s="1377"/>
      <c r="T136" s="1377"/>
      <c r="U136" s="1653"/>
      <c r="V136" s="1377"/>
      <c r="W136" s="1377"/>
      <c r="X136" s="747"/>
      <c r="Y136" s="1377"/>
      <c r="Z136" s="1377"/>
      <c r="AA136" s="1377"/>
      <c r="AB136" s="1377"/>
      <c r="AC136" s="1377"/>
      <c r="AD136" s="1643"/>
      <c r="AE136" s="1643"/>
      <c r="AF136" s="1643"/>
      <c r="AG136" s="1643"/>
      <c r="AH136" s="1643"/>
      <c r="AI136" s="1646">
        <v>0</v>
      </c>
    </row>
    <row s="1858" customFormat="1" customHeight="1" ht="18.75">
      <c r="A137" s="998"/>
      <c r="B137" s="1377"/>
      <c r="C137" s="1653"/>
      <c r="D137" s="694" t="s">
        <v>105</v>
      </c>
      <c r="E137" s="557" t="str">
        <f>E130&amp;".6"</f>
        <v>7.6</v>
      </c>
      <c r="F137" s="551" t="s">
        <v>619</v>
      </c>
      <c r="G137" s="2396" t="s">
        <v>568</v>
      </c>
      <c r="H137" s="762"/>
      <c r="I137" s="762"/>
      <c r="J137" s="762">
        <v>13.14</v>
      </c>
      <c r="K137" s="762"/>
      <c r="L137" s="762"/>
      <c r="M137" s="1536" t="s">
        <v>569</v>
      </c>
      <c r="N137" s="745"/>
      <c r="O137" s="1653"/>
      <c r="P137" s="1653"/>
      <c r="Q137" s="1377"/>
      <c r="R137" s="1377"/>
      <c r="S137" s="1377"/>
      <c r="T137" s="1377"/>
      <c r="U137" s="1653"/>
      <c r="V137" s="1377"/>
      <c r="W137" s="1377"/>
      <c r="X137" s="747"/>
      <c r="Y137" s="1377"/>
      <c r="Z137" s="1377"/>
      <c r="AA137" s="1377"/>
      <c r="AB137" s="1377"/>
      <c r="AC137" s="1377"/>
      <c r="AD137" s="1643"/>
      <c r="AE137" s="1643"/>
      <c r="AF137" s="1643"/>
      <c r="AG137" s="1643"/>
      <c r="AH137" s="1643"/>
      <c r="AI137" s="1646">
        <v>0</v>
      </c>
    </row>
    <row s="1858" customFormat="1" customHeight="1" ht="18.75">
      <c r="A138" s="998"/>
      <c r="B138" s="1377"/>
      <c r="C138" s="1653"/>
      <c r="D138" s="694" t="s">
        <v>105</v>
      </c>
      <c r="E138" s="557" t="str">
        <f>E130&amp;".7"</f>
        <v>7.7</v>
      </c>
      <c r="F138" s="551" t="s">
        <v>620</v>
      </c>
      <c r="G138" s="2396" t="s">
        <v>568</v>
      </c>
      <c r="H138" s="762"/>
      <c r="I138" s="762"/>
      <c r="J138" s="762">
        <v>38.072</v>
      </c>
      <c r="K138" s="762"/>
      <c r="L138" s="762"/>
      <c r="M138" s="1536" t="s">
        <v>569</v>
      </c>
      <c r="N138" s="745"/>
      <c r="O138" s="1653"/>
      <c r="P138" s="1653"/>
      <c r="Q138" s="1377"/>
      <c r="R138" s="1377"/>
      <c r="S138" s="1377"/>
      <c r="T138" s="1377"/>
      <c r="U138" s="1653"/>
      <c r="V138" s="1377"/>
      <c r="W138" s="1377"/>
      <c r="X138" s="747"/>
      <c r="Y138" s="1377"/>
      <c r="Z138" s="1377"/>
      <c r="AA138" s="1377"/>
      <c r="AB138" s="1377"/>
      <c r="AC138" s="1377"/>
      <c r="AD138" s="1643"/>
      <c r="AE138" s="1643"/>
      <c r="AF138" s="1643"/>
      <c r="AG138" s="1643"/>
      <c r="AH138" s="1643"/>
      <c r="AI138" s="1646">
        <v>0</v>
      </c>
    </row>
    <row s="1858" customFormat="1" customHeight="1" ht="18.75">
      <c r="A139" s="998"/>
      <c r="B139" s="1377"/>
      <c r="C139" s="1653"/>
      <c r="D139" s="694" t="s">
        <v>105</v>
      </c>
      <c r="E139" s="557" t="str">
        <f>E130&amp;".8"</f>
        <v>7.8</v>
      </c>
      <c r="F139" s="551" t="s">
        <v>621</v>
      </c>
      <c r="G139" s="2396" t="s">
        <v>568</v>
      </c>
      <c r="H139" s="762"/>
      <c r="I139" s="762"/>
      <c r="J139" s="762">
        <v>10.7</v>
      </c>
      <c r="K139" s="762"/>
      <c r="L139" s="762"/>
      <c r="M139" s="1536" t="s">
        <v>569</v>
      </c>
      <c r="N139" s="745"/>
      <c r="O139" s="1653"/>
      <c r="P139" s="1653"/>
      <c r="Q139" s="1377"/>
      <c r="R139" s="1377"/>
      <c r="S139" s="1377"/>
      <c r="T139" s="1377"/>
      <c r="U139" s="1653"/>
      <c r="V139" s="1377"/>
      <c r="W139" s="1377"/>
      <c r="X139" s="747"/>
      <c r="Y139" s="1377"/>
      <c r="Z139" s="1377"/>
      <c r="AA139" s="1377"/>
      <c r="AB139" s="1377"/>
      <c r="AC139" s="1377"/>
      <c r="AD139" s="1643"/>
      <c r="AE139" s="1643"/>
      <c r="AF139" s="1643"/>
      <c r="AG139" s="1643"/>
      <c r="AH139" s="1643"/>
      <c r="AI139" s="1646">
        <v>0</v>
      </c>
    </row>
    <row s="1858" customFormat="1" customHeight="1" ht="18.75">
      <c r="A140" s="998"/>
      <c r="B140" s="1377"/>
      <c r="C140" s="1653"/>
      <c r="D140" s="694" t="s">
        <v>105</v>
      </c>
      <c r="E140" s="557" t="str">
        <f>E130&amp;".9"</f>
        <v>7.9</v>
      </c>
      <c r="F140" s="551" t="s">
        <v>622</v>
      </c>
      <c r="G140" s="2396" t="s">
        <v>568</v>
      </c>
      <c r="H140" s="762"/>
      <c r="I140" s="762"/>
      <c r="J140" s="762">
        <v>9.44</v>
      </c>
      <c r="K140" s="762"/>
      <c r="L140" s="762"/>
      <c r="M140" s="1536" t="s">
        <v>569</v>
      </c>
      <c r="N140" s="745"/>
      <c r="O140" s="1653"/>
      <c r="P140" s="1653"/>
      <c r="Q140" s="1377"/>
      <c r="R140" s="1377"/>
      <c r="S140" s="1377"/>
      <c r="T140" s="1377"/>
      <c r="U140" s="1653"/>
      <c r="V140" s="1377"/>
      <c r="W140" s="1377"/>
      <c r="X140" s="747"/>
      <c r="Y140" s="1377"/>
      <c r="Z140" s="1377"/>
      <c r="AA140" s="1377"/>
      <c r="AB140" s="1377"/>
      <c r="AC140" s="1377"/>
      <c r="AD140" s="1643"/>
      <c r="AE140" s="1643"/>
      <c r="AF140" s="1643"/>
      <c r="AG140" s="1643"/>
      <c r="AH140" s="1643"/>
      <c r="AI140" s="1646">
        <v>0</v>
      </c>
    </row>
    <row s="1858" customFormat="1" customHeight="1" ht="18.75">
      <c r="A141" s="998"/>
      <c r="B141" s="1377"/>
      <c r="C141" s="1653"/>
      <c r="D141" s="694" t="s">
        <v>105</v>
      </c>
      <c r="E141" s="557" t="str">
        <f>E130&amp;".10"</f>
        <v>7.10</v>
      </c>
      <c r="F141" s="551" t="s">
        <v>623</v>
      </c>
      <c r="G141" s="2396" t="s">
        <v>568</v>
      </c>
      <c r="H141" s="762"/>
      <c r="I141" s="762"/>
      <c r="J141" s="762">
        <v>16.6</v>
      </c>
      <c r="K141" s="762"/>
      <c r="L141" s="762"/>
      <c r="M141" s="1536" t="s">
        <v>569</v>
      </c>
      <c r="N141" s="745"/>
      <c r="O141" s="1653"/>
      <c r="P141" s="1653"/>
      <c r="Q141" s="1377"/>
      <c r="R141" s="1377"/>
      <c r="S141" s="1377"/>
      <c r="T141" s="1377"/>
      <c r="U141" s="1653"/>
      <c r="V141" s="1377"/>
      <c r="W141" s="1377"/>
      <c r="X141" s="747"/>
      <c r="Y141" s="1377"/>
      <c r="Z141" s="1377"/>
      <c r="AA141" s="1377"/>
      <c r="AB141" s="1377"/>
      <c r="AC141" s="1377"/>
      <c r="AD141" s="1643"/>
      <c r="AE141" s="1643"/>
      <c r="AF141" s="1643"/>
      <c r="AG141" s="1643"/>
      <c r="AH141" s="1643"/>
      <c r="AI141" s="1646">
        <v>0</v>
      </c>
    </row>
    <row s="1858" customFormat="1" customHeight="1" ht="18.75">
      <c r="A142" s="998"/>
      <c r="B142" s="1377"/>
      <c r="C142" s="1653"/>
      <c r="D142" s="694" t="s">
        <v>105</v>
      </c>
      <c r="E142" s="557" t="str">
        <f>E130&amp;".11"</f>
        <v>7.11</v>
      </c>
      <c r="F142" s="551" t="s">
        <v>624</v>
      </c>
      <c r="G142" s="2396" t="s">
        <v>568</v>
      </c>
      <c r="H142" s="762"/>
      <c r="I142" s="762"/>
      <c r="J142" s="762">
        <v>30.4</v>
      </c>
      <c r="K142" s="762"/>
      <c r="L142" s="762"/>
      <c r="M142" s="1536" t="s">
        <v>569</v>
      </c>
      <c r="N142" s="745"/>
      <c r="O142" s="1653"/>
      <c r="P142" s="1653"/>
      <c r="Q142" s="1377"/>
      <c r="R142" s="1377"/>
      <c r="S142" s="1377"/>
      <c r="T142" s="1377"/>
      <c r="U142" s="1653"/>
      <c r="V142" s="1377"/>
      <c r="W142" s="1377"/>
      <c r="X142" s="747"/>
      <c r="Y142" s="1377"/>
      <c r="Z142" s="1377"/>
      <c r="AA142" s="1377"/>
      <c r="AB142" s="1377"/>
      <c r="AC142" s="1377"/>
      <c r="AD142" s="1643"/>
      <c r="AE142" s="1643"/>
      <c r="AF142" s="1643"/>
      <c r="AG142" s="1643"/>
      <c r="AH142" s="1643"/>
      <c r="AI142" s="1646">
        <v>0</v>
      </c>
    </row>
    <row s="1858" customFormat="1" customHeight="1" ht="18.75">
      <c r="A143" s="998"/>
      <c r="B143" s="1377"/>
      <c r="C143" s="1653"/>
      <c r="D143" s="694" t="s">
        <v>105</v>
      </c>
      <c r="E143" s="557" t="str">
        <f>E130&amp;".12"</f>
        <v>7.12</v>
      </c>
      <c r="F143" s="551" t="s">
        <v>625</v>
      </c>
      <c r="G143" s="2396" t="s">
        <v>568</v>
      </c>
      <c r="H143" s="762"/>
      <c r="I143" s="762"/>
      <c r="J143" s="762">
        <v>10.78</v>
      </c>
      <c r="K143" s="762"/>
      <c r="L143" s="762"/>
      <c r="M143" s="1536" t="s">
        <v>569</v>
      </c>
      <c r="N143" s="745"/>
      <c r="O143" s="1653"/>
      <c r="P143" s="1653"/>
      <c r="Q143" s="1377"/>
      <c r="R143" s="1377"/>
      <c r="S143" s="1377"/>
      <c r="T143" s="1377"/>
      <c r="U143" s="1653"/>
      <c r="V143" s="1377"/>
      <c r="W143" s="1377"/>
      <c r="X143" s="747"/>
      <c r="Y143" s="1377"/>
      <c r="Z143" s="1377"/>
      <c r="AA143" s="1377"/>
      <c r="AB143" s="1377"/>
      <c r="AC143" s="1377"/>
      <c r="AD143" s="1643"/>
      <c r="AE143" s="1643"/>
      <c r="AF143" s="1643"/>
      <c r="AG143" s="1643"/>
      <c r="AH143" s="1643"/>
      <c r="AI143" s="1646">
        <v>0</v>
      </c>
    </row>
    <row s="1858" customFormat="1" customHeight="1" ht="18.75">
      <c r="A144" s="998"/>
      <c r="B144" s="1377"/>
      <c r="C144" s="1653"/>
      <c r="D144" s="694" t="s">
        <v>105</v>
      </c>
      <c r="E144" s="557" t="str">
        <f>E130&amp;".13"</f>
        <v>7.13</v>
      </c>
      <c r="F144" s="551" t="s">
        <v>626</v>
      </c>
      <c r="G144" s="2396" t="s">
        <v>568</v>
      </c>
      <c r="H144" s="762"/>
      <c r="I144" s="762"/>
      <c r="J144" s="762">
        <v>1.388</v>
      </c>
      <c r="K144" s="762"/>
      <c r="L144" s="762"/>
      <c r="M144" s="1536" t="s">
        <v>569</v>
      </c>
      <c r="N144" s="745"/>
      <c r="O144" s="1653"/>
      <c r="P144" s="1653"/>
      <c r="Q144" s="1377"/>
      <c r="R144" s="1377"/>
      <c r="S144" s="1377"/>
      <c r="T144" s="1377"/>
      <c r="U144" s="1653"/>
      <c r="V144" s="1377"/>
      <c r="W144" s="1377"/>
      <c r="X144" s="747"/>
      <c r="Y144" s="1377"/>
      <c r="Z144" s="1377"/>
      <c r="AA144" s="1377"/>
      <c r="AB144" s="1377"/>
      <c r="AC144" s="1377"/>
      <c r="AD144" s="1643"/>
      <c r="AE144" s="1643"/>
      <c r="AF144" s="1643"/>
      <c r="AG144" s="1643"/>
      <c r="AH144" s="1643"/>
      <c r="AI144" s="1646">
        <v>0</v>
      </c>
    </row>
    <row s="1858" customFormat="1" customHeight="1" ht="18.75">
      <c r="A145" s="998"/>
      <c r="B145" s="1377"/>
      <c r="C145" s="1653"/>
      <c r="D145" s="694" t="s">
        <v>105</v>
      </c>
      <c r="E145" s="557" t="str">
        <f>E130&amp;".14"</f>
        <v>7.14</v>
      </c>
      <c r="F145" s="551" t="s">
        <v>627</v>
      </c>
      <c r="G145" s="2396" t="s">
        <v>568</v>
      </c>
      <c r="H145" s="762"/>
      <c r="I145" s="762"/>
      <c r="J145" s="762">
        <v>20</v>
      </c>
      <c r="K145" s="762"/>
      <c r="L145" s="762"/>
      <c r="M145" s="1536" t="s">
        <v>569</v>
      </c>
      <c r="N145" s="745"/>
      <c r="O145" s="1653"/>
      <c r="P145" s="1653"/>
      <c r="Q145" s="1377"/>
      <c r="R145" s="1377"/>
      <c r="S145" s="1377"/>
      <c r="T145" s="1377"/>
      <c r="U145" s="1653"/>
      <c r="V145" s="1377"/>
      <c r="W145" s="1377"/>
      <c r="X145" s="747"/>
      <c r="Y145" s="1377"/>
      <c r="Z145" s="1377"/>
      <c r="AA145" s="1377"/>
      <c r="AB145" s="1377"/>
      <c r="AC145" s="1377"/>
      <c r="AD145" s="1643"/>
      <c r="AE145" s="1643"/>
      <c r="AF145" s="1643"/>
      <c r="AG145" s="1643"/>
      <c r="AH145" s="1643"/>
      <c r="AI145" s="1646">
        <v>0</v>
      </c>
    </row>
    <row s="1858" customFormat="1" customHeight="1" ht="18.75">
      <c r="A146" s="998"/>
      <c r="B146" s="1377"/>
      <c r="C146" s="1653"/>
      <c r="D146" s="694" t="s">
        <v>105</v>
      </c>
      <c r="E146" s="557" t="str">
        <f>E130&amp;".15"</f>
        <v>7.15</v>
      </c>
      <c r="F146" s="551" t="s">
        <v>628</v>
      </c>
      <c r="G146" s="2396" t="s">
        <v>568</v>
      </c>
      <c r="H146" s="762"/>
      <c r="I146" s="762"/>
      <c r="J146" s="762">
        <v>1.29</v>
      </c>
      <c r="K146" s="762"/>
      <c r="L146" s="762"/>
      <c r="M146" s="1536" t="s">
        <v>569</v>
      </c>
      <c r="N146" s="745"/>
      <c r="O146" s="1653"/>
      <c r="P146" s="1653"/>
      <c r="Q146" s="1377"/>
      <c r="R146" s="1377"/>
      <c r="S146" s="1377"/>
      <c r="T146" s="1377"/>
      <c r="U146" s="1653"/>
      <c r="V146" s="1377"/>
      <c r="W146" s="1377"/>
      <c r="X146" s="747"/>
      <c r="Y146" s="1377"/>
      <c r="Z146" s="1377"/>
      <c r="AA146" s="1377"/>
      <c r="AB146" s="1377"/>
      <c r="AC146" s="1377"/>
      <c r="AD146" s="1643"/>
      <c r="AE146" s="1643"/>
      <c r="AF146" s="1643"/>
      <c r="AG146" s="1643"/>
      <c r="AH146" s="1643"/>
      <c r="AI146" s="1646">
        <v>0</v>
      </c>
    </row>
    <row s="1858" customFormat="1" customHeight="1" ht="18.75">
      <c r="A147" s="998"/>
      <c r="B147" s="1377"/>
      <c r="C147" s="1653"/>
      <c r="D147" s="694" t="s">
        <v>105</v>
      </c>
      <c r="E147" s="557" t="str">
        <f>E130&amp;".16"</f>
        <v>7.16</v>
      </c>
      <c r="F147" s="551" t="s">
        <v>629</v>
      </c>
      <c r="G147" s="2396" t="s">
        <v>568</v>
      </c>
      <c r="H147" s="762"/>
      <c r="I147" s="762"/>
      <c r="J147" s="762">
        <v>2.345</v>
      </c>
      <c r="K147" s="762"/>
      <c r="L147" s="762"/>
      <c r="M147" s="1536" t="s">
        <v>569</v>
      </c>
      <c r="N147" s="745"/>
      <c r="O147" s="1653"/>
      <c r="P147" s="1653"/>
      <c r="Q147" s="1377"/>
      <c r="R147" s="1377"/>
      <c r="S147" s="1377"/>
      <c r="T147" s="1377"/>
      <c r="U147" s="1653"/>
      <c r="V147" s="1377"/>
      <c r="W147" s="1377"/>
      <c r="X147" s="747"/>
      <c r="Y147" s="1377"/>
      <c r="Z147" s="1377"/>
      <c r="AA147" s="1377"/>
      <c r="AB147" s="1377"/>
      <c r="AC147" s="1377"/>
      <c r="AD147" s="1643"/>
      <c r="AE147" s="1643"/>
      <c r="AF147" s="1643"/>
      <c r="AG147" s="1643"/>
      <c r="AH147" s="1643"/>
      <c r="AI147" s="1646">
        <v>0</v>
      </c>
    </row>
    <row s="1858" customFormat="1" customHeight="1" ht="18.75">
      <c r="A148" s="998"/>
      <c r="B148" s="1377"/>
      <c r="C148" s="1653"/>
      <c r="D148" s="694" t="s">
        <v>105</v>
      </c>
      <c r="E148" s="557" t="str">
        <f>E130&amp;".17"</f>
        <v>7.17</v>
      </c>
      <c r="F148" s="551" t="s">
        <v>630</v>
      </c>
      <c r="G148" s="2396" t="s">
        <v>568</v>
      </c>
      <c r="H148" s="762"/>
      <c r="I148" s="762"/>
      <c r="J148" s="762">
        <v>7</v>
      </c>
      <c r="K148" s="762"/>
      <c r="L148" s="762"/>
      <c r="M148" s="1536" t="s">
        <v>569</v>
      </c>
      <c r="N148" s="745"/>
      <c r="O148" s="1653"/>
      <c r="P148" s="1653"/>
      <c r="Q148" s="1377"/>
      <c r="R148" s="1377"/>
      <c r="S148" s="1377"/>
      <c r="T148" s="1377"/>
      <c r="U148" s="1653"/>
      <c r="V148" s="1377"/>
      <c r="W148" s="1377"/>
      <c r="X148" s="747"/>
      <c r="Y148" s="1377"/>
      <c r="Z148" s="1377"/>
      <c r="AA148" s="1377"/>
      <c r="AB148" s="1377"/>
      <c r="AC148" s="1377"/>
      <c r="AD148" s="1643"/>
      <c r="AE148" s="1643"/>
      <c r="AF148" s="1643"/>
      <c r="AG148" s="1643"/>
      <c r="AH148" s="1643"/>
      <c r="AI148" s="1646">
        <v>0</v>
      </c>
    </row>
    <row s="1858" customFormat="1" customHeight="1" ht="18.75">
      <c r="A149" s="998"/>
      <c r="B149" s="1377"/>
      <c r="C149" s="1653"/>
      <c r="D149" s="694" t="s">
        <v>105</v>
      </c>
      <c r="E149" s="557" t="str">
        <f>E130&amp;".18"</f>
        <v>7.18</v>
      </c>
      <c r="F149" s="551" t="s">
        <v>631</v>
      </c>
      <c r="G149" s="2396" t="s">
        <v>568</v>
      </c>
      <c r="H149" s="762"/>
      <c r="I149" s="762"/>
      <c r="J149" s="762">
        <v>0.258</v>
      </c>
      <c r="K149" s="762"/>
      <c r="L149" s="762"/>
      <c r="M149" s="1536" t="s">
        <v>569</v>
      </c>
      <c r="N149" s="745"/>
      <c r="O149" s="1653"/>
      <c r="P149" s="1653"/>
      <c r="Q149" s="1377"/>
      <c r="R149" s="1377"/>
      <c r="S149" s="1377"/>
      <c r="T149" s="1377"/>
      <c r="U149" s="1653"/>
      <c r="V149" s="1377"/>
      <c r="W149" s="1377"/>
      <c r="X149" s="747"/>
      <c r="Y149" s="1377"/>
      <c r="Z149" s="1377"/>
      <c r="AA149" s="1377"/>
      <c r="AB149" s="1377"/>
      <c r="AC149" s="1377"/>
      <c r="AD149" s="1643"/>
      <c r="AE149" s="1643"/>
      <c r="AF149" s="1643"/>
      <c r="AG149" s="1643"/>
      <c r="AH149" s="1643"/>
      <c r="AI149" s="1646">
        <v>0</v>
      </c>
    </row>
    <row s="1858" customFormat="1" customHeight="1" ht="18.75">
      <c r="A150" s="998"/>
      <c r="B150" s="1377"/>
      <c r="C150" s="1653"/>
      <c r="D150" s="694" t="s">
        <v>105</v>
      </c>
      <c r="E150" s="557" t="str">
        <f>E130&amp;".19"</f>
        <v>7.19</v>
      </c>
      <c r="F150" s="551" t="s">
        <v>632</v>
      </c>
      <c r="G150" s="2396" t="s">
        <v>568</v>
      </c>
      <c r="H150" s="762"/>
      <c r="I150" s="762"/>
      <c r="J150" s="762">
        <v>3.268</v>
      </c>
      <c r="K150" s="762"/>
      <c r="L150" s="762"/>
      <c r="M150" s="1536" t="s">
        <v>569</v>
      </c>
      <c r="N150" s="745"/>
      <c r="O150" s="1653"/>
      <c r="P150" s="1653"/>
      <c r="Q150" s="1377"/>
      <c r="R150" s="1377"/>
      <c r="S150" s="1377"/>
      <c r="T150" s="1377"/>
      <c r="U150" s="1653"/>
      <c r="V150" s="1377"/>
      <c r="W150" s="1377"/>
      <c r="X150" s="747"/>
      <c r="Y150" s="1377"/>
      <c r="Z150" s="1377"/>
      <c r="AA150" s="1377"/>
      <c r="AB150" s="1377"/>
      <c r="AC150" s="1377"/>
      <c r="AD150" s="1643"/>
      <c r="AE150" s="1643"/>
      <c r="AF150" s="1643"/>
      <c r="AG150" s="1643"/>
      <c r="AH150" s="1643"/>
      <c r="AI150" s="1646">
        <v>0</v>
      </c>
    </row>
    <row s="1858" customFormat="1" customHeight="1" ht="18.75">
      <c r="A151" s="998"/>
      <c r="B151" s="1377"/>
      <c r="C151" s="1653"/>
      <c r="D151" s="694" t="s">
        <v>105</v>
      </c>
      <c r="E151" s="557" t="str">
        <f>E130&amp;".20"</f>
        <v>7.20</v>
      </c>
      <c r="F151" s="551" t="s">
        <v>633</v>
      </c>
      <c r="G151" s="2396" t="s">
        <v>568</v>
      </c>
      <c r="H151" s="762"/>
      <c r="I151" s="762"/>
      <c r="J151" s="762">
        <v>22.2</v>
      </c>
      <c r="K151" s="762"/>
      <c r="L151" s="762"/>
      <c r="M151" s="1536" t="s">
        <v>569</v>
      </c>
      <c r="N151" s="745"/>
      <c r="O151" s="1653"/>
      <c r="P151" s="1653"/>
      <c r="Q151" s="1377"/>
      <c r="R151" s="1377"/>
      <c r="S151" s="1377"/>
      <c r="T151" s="1377"/>
      <c r="U151" s="1653"/>
      <c r="V151" s="1377"/>
      <c r="W151" s="1377"/>
      <c r="X151" s="747"/>
      <c r="Y151" s="1377"/>
      <c r="Z151" s="1377"/>
      <c r="AA151" s="1377"/>
      <c r="AB151" s="1377"/>
      <c r="AC151" s="1377"/>
      <c r="AD151" s="1643"/>
      <c r="AE151" s="1643"/>
      <c r="AF151" s="1643"/>
      <c r="AG151" s="1643"/>
      <c r="AH151" s="1643"/>
      <c r="AI151" s="1646">
        <v>0</v>
      </c>
    </row>
    <row s="1858" customFormat="1" customHeight="1" ht="18.75">
      <c r="A152" s="998"/>
      <c r="B152" s="1377"/>
      <c r="C152" s="1653"/>
      <c r="D152" s="694" t="s">
        <v>105</v>
      </c>
      <c r="E152" s="557" t="str">
        <f>E130&amp;".21"</f>
        <v>7.21</v>
      </c>
      <c r="F152" s="551" t="s">
        <v>634</v>
      </c>
      <c r="G152" s="2396" t="s">
        <v>568</v>
      </c>
      <c r="H152" s="762"/>
      <c r="I152" s="762"/>
      <c r="J152" s="762"/>
      <c r="K152" s="762">
        <v>260</v>
      </c>
      <c r="L152" s="762"/>
      <c r="M152" s="1536" t="s">
        <v>569</v>
      </c>
      <c r="N152" s="745"/>
      <c r="O152" s="1653"/>
      <c r="P152" s="1653"/>
      <c r="Q152" s="1377"/>
      <c r="R152" s="1377"/>
      <c r="S152" s="1377"/>
      <c r="T152" s="1377"/>
      <c r="U152" s="1653"/>
      <c r="V152" s="1377"/>
      <c r="W152" s="1377"/>
      <c r="X152" s="747"/>
      <c r="Y152" s="1377"/>
      <c r="Z152" s="1377"/>
      <c r="AA152" s="1377"/>
      <c r="AB152" s="1377"/>
      <c r="AC152" s="1377"/>
      <c r="AD152" s="1643"/>
      <c r="AE152" s="1643"/>
      <c r="AF152" s="1643"/>
      <c r="AG152" s="1643"/>
      <c r="AH152" s="1643"/>
      <c r="AI152" s="1646">
        <v>0</v>
      </c>
    </row>
    <row s="1858" customFormat="1" customHeight="1" ht="18.75">
      <c r="A153" s="998"/>
      <c r="B153" s="1377"/>
      <c r="C153" s="1653"/>
      <c r="D153" s="694" t="s">
        <v>105</v>
      </c>
      <c r="E153" s="557" t="str">
        <f>E130&amp;".22"</f>
        <v>7.22</v>
      </c>
      <c r="F153" s="551" t="s">
        <v>635</v>
      </c>
      <c r="G153" s="2396" t="s">
        <v>568</v>
      </c>
      <c r="H153" s="762"/>
      <c r="I153" s="762"/>
      <c r="J153" s="762"/>
      <c r="K153" s="762">
        <v>3.29</v>
      </c>
      <c r="L153" s="762"/>
      <c r="M153" s="1536" t="s">
        <v>569</v>
      </c>
      <c r="N153" s="745"/>
      <c r="O153" s="1653"/>
      <c r="P153" s="1653"/>
      <c r="Q153" s="1377"/>
      <c r="R153" s="1377"/>
      <c r="S153" s="1377"/>
      <c r="T153" s="1377"/>
      <c r="U153" s="1653"/>
      <c r="V153" s="1377"/>
      <c r="W153" s="1377"/>
      <c r="X153" s="747"/>
      <c r="Y153" s="1377"/>
      <c r="Z153" s="1377"/>
      <c r="AA153" s="1377"/>
      <c r="AB153" s="1377"/>
      <c r="AC153" s="1377"/>
      <c r="AD153" s="1643"/>
      <c r="AE153" s="1643"/>
      <c r="AF153" s="1643"/>
      <c r="AG153" s="1643"/>
      <c r="AH153" s="1643"/>
      <c r="AI153" s="1646">
        <v>0</v>
      </c>
    </row>
    <row s="1858" customFormat="1" customHeight="1" ht="18.75">
      <c r="A154" s="998"/>
      <c r="B154" s="1377"/>
      <c r="C154" s="1653"/>
      <c r="D154" s="694" t="s">
        <v>105</v>
      </c>
      <c r="E154" s="557" t="str">
        <f>E130&amp;".23"</f>
        <v>7.23</v>
      </c>
      <c r="F154" s="551" t="s">
        <v>636</v>
      </c>
      <c r="G154" s="2396" t="s">
        <v>568</v>
      </c>
      <c r="H154" s="762"/>
      <c r="I154" s="762"/>
      <c r="J154" s="762"/>
      <c r="K154" s="762">
        <v>14.13</v>
      </c>
      <c r="L154" s="762"/>
      <c r="M154" s="1536" t="s">
        <v>569</v>
      </c>
      <c r="N154" s="745"/>
      <c r="O154" s="1653"/>
      <c r="P154" s="1653"/>
      <c r="Q154" s="1377"/>
      <c r="R154" s="1377"/>
      <c r="S154" s="1377"/>
      <c r="T154" s="1377"/>
      <c r="U154" s="1653"/>
      <c r="V154" s="1377"/>
      <c r="W154" s="1377"/>
      <c r="X154" s="747"/>
      <c r="Y154" s="1377"/>
      <c r="Z154" s="1377"/>
      <c r="AA154" s="1377"/>
      <c r="AB154" s="1377"/>
      <c r="AC154" s="1377"/>
      <c r="AD154" s="1643"/>
      <c r="AE154" s="1643"/>
      <c r="AF154" s="1643"/>
      <c r="AG154" s="1643"/>
      <c r="AH154" s="1643"/>
      <c r="AI154" s="1646">
        <v>0</v>
      </c>
    </row>
    <row s="1858" customFormat="1" customHeight="1" ht="18.75">
      <c r="A155" s="998"/>
      <c r="B155" s="1377"/>
      <c r="C155" s="1653"/>
      <c r="D155" s="694" t="s">
        <v>105</v>
      </c>
      <c r="E155" s="557" t="str">
        <f>E130&amp;".24"</f>
        <v>7.24</v>
      </c>
      <c r="F155" s="551" t="s">
        <v>637</v>
      </c>
      <c r="G155" s="2396" t="s">
        <v>568</v>
      </c>
      <c r="H155" s="762"/>
      <c r="I155" s="762"/>
      <c r="J155" s="762"/>
      <c r="K155" s="762">
        <v>5</v>
      </c>
      <c r="L155" s="762"/>
      <c r="M155" s="1536" t="s">
        <v>569</v>
      </c>
      <c r="N155" s="745"/>
      <c r="O155" s="1653"/>
      <c r="P155" s="1653"/>
      <c r="Q155" s="1377"/>
      <c r="R155" s="1377"/>
      <c r="S155" s="1377"/>
      <c r="T155" s="1377"/>
      <c r="U155" s="1653"/>
      <c r="V155" s="1377"/>
      <c r="W155" s="1377"/>
      <c r="X155" s="747"/>
      <c r="Y155" s="1377"/>
      <c r="Z155" s="1377"/>
      <c r="AA155" s="1377"/>
      <c r="AB155" s="1377"/>
      <c r="AC155" s="1377"/>
      <c r="AD155" s="1643"/>
      <c r="AE155" s="1643"/>
      <c r="AF155" s="1643"/>
      <c r="AG155" s="1643"/>
      <c r="AH155" s="1643"/>
      <c r="AI155" s="1646">
        <v>0</v>
      </c>
    </row>
    <row s="1858" customFormat="1" customHeight="1" ht="18.75">
      <c r="A156" s="998"/>
      <c r="B156" s="1377"/>
      <c r="C156" s="1653"/>
      <c r="D156" s="694" t="s">
        <v>105</v>
      </c>
      <c r="E156" s="557" t="str">
        <f>E130&amp;".25"</f>
        <v>7.25</v>
      </c>
      <c r="F156" s="551" t="s">
        <v>638</v>
      </c>
      <c r="G156" s="2396" t="s">
        <v>568</v>
      </c>
      <c r="H156" s="762"/>
      <c r="I156" s="762"/>
      <c r="J156" s="762"/>
      <c r="K156" s="762">
        <v>28.4</v>
      </c>
      <c r="L156" s="762"/>
      <c r="M156" s="1536" t="s">
        <v>569</v>
      </c>
      <c r="N156" s="745"/>
      <c r="O156" s="1653"/>
      <c r="P156" s="1653"/>
      <c r="Q156" s="1377"/>
      <c r="R156" s="1377"/>
      <c r="S156" s="1377"/>
      <c r="T156" s="1377"/>
      <c r="U156" s="1653"/>
      <c r="V156" s="1377"/>
      <c r="W156" s="1377"/>
      <c r="X156" s="747"/>
      <c r="Y156" s="1377"/>
      <c r="Z156" s="1377"/>
      <c r="AA156" s="1377"/>
      <c r="AB156" s="1377"/>
      <c r="AC156" s="1377"/>
      <c r="AD156" s="1643"/>
      <c r="AE156" s="1643"/>
      <c r="AF156" s="1643"/>
      <c r="AG156" s="1643"/>
      <c r="AH156" s="1643"/>
      <c r="AI156" s="1646">
        <v>0</v>
      </c>
    </row>
    <row s="1858" customFormat="1" customHeight="1" ht="18.75">
      <c r="A157" s="998"/>
      <c r="B157" s="1377"/>
      <c r="C157" s="1653"/>
      <c r="D157" s="694" t="s">
        <v>105</v>
      </c>
      <c r="E157" s="557" t="str">
        <f>E130&amp;".26"</f>
        <v>7.26</v>
      </c>
      <c r="F157" s="551" t="s">
        <v>639</v>
      </c>
      <c r="G157" s="2396" t="s">
        <v>568</v>
      </c>
      <c r="H157" s="762"/>
      <c r="I157" s="762"/>
      <c r="J157" s="762"/>
      <c r="K157" s="762">
        <v>6.4</v>
      </c>
      <c r="L157" s="762"/>
      <c r="M157" s="1536" t="s">
        <v>569</v>
      </c>
      <c r="N157" s="745"/>
      <c r="O157" s="1653"/>
      <c r="P157" s="1653"/>
      <c r="Q157" s="1377"/>
      <c r="R157" s="1377"/>
      <c r="S157" s="1377"/>
      <c r="T157" s="1377"/>
      <c r="U157" s="1653"/>
      <c r="V157" s="1377"/>
      <c r="W157" s="1377"/>
      <c r="X157" s="747"/>
      <c r="Y157" s="1377"/>
      <c r="Z157" s="1377"/>
      <c r="AA157" s="1377"/>
      <c r="AB157" s="1377"/>
      <c r="AC157" s="1377"/>
      <c r="AD157" s="1643"/>
      <c r="AE157" s="1643"/>
      <c r="AF157" s="1643"/>
      <c r="AG157" s="1643"/>
      <c r="AH157" s="1643"/>
      <c r="AI157" s="1646">
        <v>0</v>
      </c>
    </row>
    <row s="1858" customFormat="1" customHeight="1" ht="18.75">
      <c r="A158" s="998"/>
      <c r="B158" s="1377"/>
      <c r="C158" s="1653"/>
      <c r="D158" s="694" t="s">
        <v>105</v>
      </c>
      <c r="E158" s="557" t="str">
        <f>E130&amp;".27"</f>
        <v>7.27</v>
      </c>
      <c r="F158" s="551" t="s">
        <v>640</v>
      </c>
      <c r="G158" s="2396" t="s">
        <v>568</v>
      </c>
      <c r="H158" s="762"/>
      <c r="I158" s="762"/>
      <c r="J158" s="762"/>
      <c r="K158" s="762">
        <v>3.2</v>
      </c>
      <c r="L158" s="762"/>
      <c r="M158" s="1536" t="s">
        <v>569</v>
      </c>
      <c r="N158" s="745"/>
      <c r="O158" s="1653"/>
      <c r="P158" s="1653"/>
      <c r="Q158" s="1377"/>
      <c r="R158" s="1377"/>
      <c r="S158" s="1377"/>
      <c r="T158" s="1377"/>
      <c r="U158" s="1653"/>
      <c r="V158" s="1377"/>
      <c r="W158" s="1377"/>
      <c r="X158" s="747"/>
      <c r="Y158" s="1377"/>
      <c r="Z158" s="1377"/>
      <c r="AA158" s="1377"/>
      <c r="AB158" s="1377"/>
      <c r="AC158" s="1377"/>
      <c r="AD158" s="1643"/>
      <c r="AE158" s="1643"/>
      <c r="AF158" s="1643"/>
      <c r="AG158" s="1643"/>
      <c r="AH158" s="1643"/>
      <c r="AI158" s="1646">
        <v>0</v>
      </c>
    </row>
    <row s="1858" customFormat="1" customHeight="1" ht="18.75">
      <c r="A159" s="998"/>
      <c r="B159" s="1377"/>
      <c r="C159" s="1653"/>
      <c r="D159" s="694" t="s">
        <v>105</v>
      </c>
      <c r="E159" s="557" t="str">
        <f>E130&amp;".28"</f>
        <v>7.28</v>
      </c>
      <c r="F159" s="551" t="s">
        <v>641</v>
      </c>
      <c r="G159" s="2396" t="s">
        <v>568</v>
      </c>
      <c r="H159" s="762"/>
      <c r="I159" s="762"/>
      <c r="J159" s="762"/>
      <c r="K159" s="762">
        <v>11.18</v>
      </c>
      <c r="L159" s="762"/>
      <c r="M159" s="1536" t="s">
        <v>569</v>
      </c>
      <c r="N159" s="745"/>
      <c r="O159" s="1653"/>
      <c r="P159" s="1653"/>
      <c r="Q159" s="1377"/>
      <c r="R159" s="1377"/>
      <c r="S159" s="1377"/>
      <c r="T159" s="1377"/>
      <c r="U159" s="1653"/>
      <c r="V159" s="1377"/>
      <c r="W159" s="1377"/>
      <c r="X159" s="747"/>
      <c r="Y159" s="1377"/>
      <c r="Z159" s="1377"/>
      <c r="AA159" s="1377"/>
      <c r="AB159" s="1377"/>
      <c r="AC159" s="1377"/>
      <c r="AD159" s="1643"/>
      <c r="AE159" s="1643"/>
      <c r="AF159" s="1643"/>
      <c r="AG159" s="1643"/>
      <c r="AH159" s="1643"/>
      <c r="AI159" s="1646">
        <v>0</v>
      </c>
    </row>
    <row s="1858" customFormat="1" customHeight="1" ht="18.75">
      <c r="A160" s="998"/>
      <c r="B160" s="1377"/>
      <c r="C160" s="1653"/>
      <c r="D160" s="694" t="s">
        <v>105</v>
      </c>
      <c r="E160" s="557" t="str">
        <f>E130&amp;".29"</f>
        <v>7.29</v>
      </c>
      <c r="F160" s="551" t="s">
        <v>642</v>
      </c>
      <c r="G160" s="2396" t="s">
        <v>568</v>
      </c>
      <c r="H160" s="762"/>
      <c r="I160" s="762"/>
      <c r="J160" s="762"/>
      <c r="K160" s="762"/>
      <c r="L160" s="762">
        <v>8</v>
      </c>
      <c r="M160" s="1536" t="s">
        <v>569</v>
      </c>
      <c r="N160" s="745"/>
      <c r="O160" s="1653"/>
      <c r="P160" s="1653"/>
      <c r="Q160" s="1377"/>
      <c r="R160" s="1377"/>
      <c r="S160" s="1377"/>
      <c r="T160" s="1377"/>
      <c r="U160" s="1653"/>
      <c r="V160" s="1377"/>
      <c r="W160" s="1377"/>
      <c r="X160" s="747"/>
      <c r="Y160" s="1377"/>
      <c r="Z160" s="1377"/>
      <c r="AA160" s="1377"/>
      <c r="AB160" s="1377"/>
      <c r="AC160" s="1377"/>
      <c r="AD160" s="1643"/>
      <c r="AE160" s="1643"/>
      <c r="AF160" s="1643"/>
      <c r="AG160" s="1643"/>
      <c r="AH160" s="1643"/>
      <c r="AI160" s="1646">
        <v>0</v>
      </c>
    </row>
    <row s="1858" customFormat="1" customHeight="1" ht="18.75">
      <c r="A161" s="998"/>
      <c r="B161" s="1377"/>
      <c r="C161" s="1653"/>
      <c r="D161" s="694" t="s">
        <v>105</v>
      </c>
      <c r="E161" s="557" t="str">
        <f>E130&amp;".30"</f>
        <v>7.30</v>
      </c>
      <c r="F161" s="551" t="s">
        <v>643</v>
      </c>
      <c r="G161" s="2396" t="s">
        <v>568</v>
      </c>
      <c r="H161" s="762"/>
      <c r="I161" s="762"/>
      <c r="J161" s="762"/>
      <c r="K161" s="762"/>
      <c r="L161" s="762">
        <v>0.301</v>
      </c>
      <c r="M161" s="1536" t="s">
        <v>569</v>
      </c>
      <c r="N161" s="745"/>
      <c r="O161" s="1653"/>
      <c r="P161" s="1653"/>
      <c r="Q161" s="1377"/>
      <c r="R161" s="1377"/>
      <c r="S161" s="1377"/>
      <c r="T161" s="1377"/>
      <c r="U161" s="1653"/>
      <c r="V161" s="1377"/>
      <c r="W161" s="1377"/>
      <c r="X161" s="747"/>
      <c r="Y161" s="1377"/>
      <c r="Z161" s="1377"/>
      <c r="AA161" s="1377"/>
      <c r="AB161" s="1377"/>
      <c r="AC161" s="1377"/>
      <c r="AD161" s="1643"/>
      <c r="AE161" s="1643"/>
      <c r="AF161" s="1643"/>
      <c r="AG161" s="1643"/>
      <c r="AH161" s="1643"/>
      <c r="AI161" s="1646">
        <v>0</v>
      </c>
    </row>
    <row s="1858" customFormat="1" customHeight="1" ht="18.75">
      <c r="A162" s="998"/>
      <c r="B162" s="1377"/>
      <c r="C162" s="1653"/>
      <c r="D162" s="694" t="s">
        <v>105</v>
      </c>
      <c r="E162" s="557" t="str">
        <f>E130&amp;".31"</f>
        <v>7.31</v>
      </c>
      <c r="F162" s="551" t="s">
        <v>644</v>
      </c>
      <c r="G162" s="2396" t="s">
        <v>568</v>
      </c>
      <c r="H162" s="762"/>
      <c r="I162" s="762"/>
      <c r="J162" s="762"/>
      <c r="K162" s="762"/>
      <c r="L162" s="762">
        <v>2.57</v>
      </c>
      <c r="M162" s="1536" t="s">
        <v>569</v>
      </c>
      <c r="N162" s="745"/>
      <c r="O162" s="1653"/>
      <c r="P162" s="1653"/>
      <c r="Q162" s="1377"/>
      <c r="R162" s="1377"/>
      <c r="S162" s="1377"/>
      <c r="T162" s="1377"/>
      <c r="U162" s="1653"/>
      <c r="V162" s="1377"/>
      <c r="W162" s="1377"/>
      <c r="X162" s="747"/>
      <c r="Y162" s="1377"/>
      <c r="Z162" s="1377"/>
      <c r="AA162" s="1377"/>
      <c r="AB162" s="1377"/>
      <c r="AC162" s="1377"/>
      <c r="AD162" s="1643"/>
      <c r="AE162" s="1643"/>
      <c r="AF162" s="1643"/>
      <c r="AG162" s="1643"/>
      <c r="AH162" s="1643"/>
      <c r="AI162" s="1646">
        <v>0</v>
      </c>
    </row>
    <row s="1858" customFormat="1" customHeight="1" ht="18.75">
      <c r="A163" s="998"/>
      <c r="B163" s="1377"/>
      <c r="C163" s="1653"/>
      <c r="D163" s="694" t="s">
        <v>105</v>
      </c>
      <c r="E163" s="557" t="str">
        <f>E130&amp;".32"</f>
        <v>7.32</v>
      </c>
      <c r="F163" s="551" t="s">
        <v>645</v>
      </c>
      <c r="G163" s="2396" t="s">
        <v>568</v>
      </c>
      <c r="H163" s="762"/>
      <c r="I163" s="762"/>
      <c r="J163" s="762"/>
      <c r="K163" s="762"/>
      <c r="L163" s="762">
        <v>3.02</v>
      </c>
      <c r="M163" s="1536" t="s">
        <v>569</v>
      </c>
      <c r="N163" s="745"/>
      <c r="O163" s="1653"/>
      <c r="P163" s="1653"/>
      <c r="Q163" s="1377"/>
      <c r="R163" s="1377"/>
      <c r="S163" s="1377"/>
      <c r="T163" s="1377"/>
      <c r="U163" s="1653"/>
      <c r="V163" s="1377"/>
      <c r="W163" s="1377"/>
      <c r="X163" s="747"/>
      <c r="Y163" s="1377"/>
      <c r="Z163" s="1377"/>
      <c r="AA163" s="1377"/>
      <c r="AB163" s="1377"/>
      <c r="AC163" s="1377"/>
      <c r="AD163" s="1643"/>
      <c r="AE163" s="1643"/>
      <c r="AF163" s="1643"/>
      <c r="AG163" s="1643"/>
      <c r="AH163" s="1643"/>
      <c r="AI163" s="1646">
        <v>0</v>
      </c>
    </row>
    <row s="1858" customFormat="1" customHeight="1" ht="18.75">
      <c r="A164" s="998"/>
      <c r="B164" s="1377"/>
      <c r="C164" s="1653"/>
      <c r="D164" s="694" t="s">
        <v>105</v>
      </c>
      <c r="E164" s="557" t="str">
        <f>E130&amp;".33"</f>
        <v>7.33</v>
      </c>
      <c r="F164" s="551" t="s">
        <v>646</v>
      </c>
      <c r="G164" s="2396" t="s">
        <v>568</v>
      </c>
      <c r="H164" s="762"/>
      <c r="I164" s="762"/>
      <c r="J164" s="762"/>
      <c r="K164" s="762"/>
      <c r="L164" s="762">
        <v>0.172</v>
      </c>
      <c r="M164" s="1536" t="s">
        <v>569</v>
      </c>
      <c r="N164" s="745"/>
      <c r="O164" s="1653"/>
      <c r="P164" s="1653"/>
      <c r="Q164" s="1377"/>
      <c r="R164" s="1377"/>
      <c r="S164" s="1377"/>
      <c r="T164" s="1377"/>
      <c r="U164" s="1653"/>
      <c r="V164" s="1377"/>
      <c r="W164" s="1377"/>
      <c r="X164" s="747"/>
      <c r="Y164" s="1377"/>
      <c r="Z164" s="1377"/>
      <c r="AA164" s="1377"/>
      <c r="AB164" s="1377"/>
      <c r="AC164" s="1377"/>
      <c r="AD164" s="1643"/>
      <c r="AE164" s="1643"/>
      <c r="AF164" s="1643"/>
      <c r="AG164" s="1643"/>
      <c r="AH164" s="1643"/>
      <c r="AI164" s="1646">
        <v>0</v>
      </c>
    </row>
    <row customHeight="1" ht="15">
      <c r="A165" s="2401"/>
      <c r="D165" s="1644"/>
      <c r="E165" s="982"/>
      <c r="F165" s="983" t="s">
        <v>647</v>
      </c>
      <c r="G165" s="583"/>
      <c r="H165" s="584"/>
      <c r="I165" s="584"/>
      <c r="J165" s="2673"/>
      <c r="K165" s="2674"/>
      <c r="L165" s="2675"/>
      <c r="M165" s="1015" t="s">
        <v>648</v>
      </c>
      <c r="N165" s="554"/>
      <c r="AI165" s="1642">
        <v>0</v>
      </c>
    </row>
    <row s="1377" customFormat="1" customHeight="1" ht="27.75">
      <c r="A166" s="2401"/>
      <c r="C166" s="1647"/>
      <c r="D166" s="1649"/>
      <c r="E166" s="557" t="str">
        <f>FHD_NUM_P_62</f>
        <v>8</v>
      </c>
      <c r="F166" s="1888" t="str">
        <f>FHD_P_62</f>
        <v>Тепловая нагрузка по договорам, заключенным в рамках осуществления регулируемых видов деятельности</v>
      </c>
      <c r="G166" s="1885" t="s">
        <v>568</v>
      </c>
      <c r="H166" s="568"/>
      <c r="I166" s="568">
        <v>875.5743</v>
      </c>
      <c r="J166" s="568">
        <v>103.715</v>
      </c>
      <c r="K166" s="568">
        <v>133.4091</v>
      </c>
      <c r="L166" s="568">
        <v>4.2831</v>
      </c>
      <c r="M166" s="300"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66" s="554"/>
      <c r="O166" s="1647"/>
      <c r="P166" s="1647"/>
      <c r="U166" s="1647"/>
      <c r="X166" s="555"/>
      <c r="AD166" s="1643"/>
      <c r="AE166" s="1643"/>
      <c r="AF166" s="1643"/>
      <c r="AG166" s="1643"/>
      <c r="AH166" s="1643"/>
      <c r="AI166" s="1171">
        <v>0</v>
      </c>
    </row>
    <row s="1377" customFormat="1" customHeight="1" ht="35.25">
      <c r="A167" s="2401"/>
      <c r="C167" s="1647"/>
      <c r="D167" s="1649"/>
      <c r="E167" s="557" t="str">
        <f>FHD_NUM_P_63</f>
        <v>9</v>
      </c>
      <c r="F167" s="1888" t="str">
        <f>FHD_P_63</f>
        <v>Объем вырабатываемой регулируемой организацией тепловой энергии в рамках осуществления регулируемых видов деятельности</v>
      </c>
      <c r="G167" s="1885" t="s">
        <v>611</v>
      </c>
      <c r="H167" s="588"/>
      <c r="I167" s="588">
        <v>1760.6</v>
      </c>
      <c r="J167" s="588">
        <v>241.64</v>
      </c>
      <c r="K167" s="588">
        <v>305.263</v>
      </c>
      <c r="L167" s="588">
        <v>14.626</v>
      </c>
      <c r="M167" s="30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67" s="554"/>
      <c r="O167" s="1647"/>
      <c r="P167" s="1647"/>
      <c r="U167" s="1647"/>
      <c r="X167" s="555"/>
      <c r="AD167" s="1643"/>
      <c r="AE167" s="1643"/>
      <c r="AF167" s="1643"/>
      <c r="AG167" s="1643"/>
      <c r="AH167" s="1643"/>
      <c r="AI167" s="1171">
        <v>0</v>
      </c>
    </row>
    <row s="1377" customFormat="1" customHeight="1" ht="35.25">
      <c r="A168" s="2401"/>
      <c r="C168" s="1647"/>
      <c r="D168" s="1649"/>
      <c r="E168" s="557" t="str">
        <f>FHD_NUM_P_64</f>
        <v>9.1</v>
      </c>
      <c r="F168" s="1888" t="str">
        <f>FHD_P_64</f>
        <v>Объем приобретаемой регулируемой организацией тепловой энергии в рамках осуществления регулируемых видов деятельности</v>
      </c>
      <c r="G168" s="1885" t="s">
        <v>611</v>
      </c>
      <c r="H168" s="1418"/>
      <c r="I168" s="762">
        <v>487.797637936</v>
      </c>
      <c r="J168" s="1418">
        <v>0</v>
      </c>
      <c r="K168" s="1418">
        <v>53.91138759</v>
      </c>
      <c r="L168" s="1418">
        <v>0</v>
      </c>
      <c r="M168" s="300" t="str">
        <f>FHD_NOTE_P_64</f>
        <v>Информация указывается только едиными теплоснабжающими организациями.</v>
      </c>
      <c r="N168" s="554"/>
      <c r="O168" s="1647"/>
      <c r="P168" s="1647"/>
      <c r="U168" s="1647"/>
      <c r="X168" s="555"/>
      <c r="AD168" s="1643"/>
      <c r="AE168" s="1643"/>
      <c r="AF168" s="1643"/>
      <c r="AG168" s="1643"/>
      <c r="AH168" s="1643"/>
      <c r="AI168" s="1171">
        <v>0</v>
      </c>
    </row>
    <row s="1377" customFormat="1" customHeight="1" ht="39.75">
      <c r="A169" s="2401"/>
      <c r="C169" s="1647"/>
      <c r="D169" s="1649"/>
      <c r="E169" s="557" t="str">
        <f>FHD_NUM_P_65</f>
        <v>10</v>
      </c>
      <c r="F169" s="188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69" s="1885" t="s">
        <v>611</v>
      </c>
      <c r="H169" s="588"/>
      <c r="I169" s="588">
        <v>1704.8156803</v>
      </c>
      <c r="J169" s="588">
        <v>202.1786643</v>
      </c>
      <c r="K169" s="588">
        <v>287.694438</v>
      </c>
      <c r="L169" s="588">
        <v>10.329558</v>
      </c>
      <c r="M169" s="30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69" s="554"/>
      <c r="O169" s="1647"/>
      <c r="P169" s="1647"/>
      <c r="U169" s="1647"/>
      <c r="X169" s="555"/>
      <c r="AD169" s="1643"/>
      <c r="AE169" s="1643"/>
      <c r="AF169" s="1643"/>
      <c r="AG169" s="1643"/>
      <c r="AH169" s="1643"/>
      <c r="AI169" s="1171">
        <v>0</v>
      </c>
    </row>
    <row s="1377" customFormat="1" customHeight="1" ht="18.75">
      <c r="A170" s="2401"/>
      <c r="C170" s="1647"/>
      <c r="D170" s="1649"/>
      <c r="E170" s="557" t="str">
        <f>FHD_NUM_P_66</f>
        <v>10.1</v>
      </c>
      <c r="F170" s="1535" t="str">
        <f>FHD_P_66</f>
        <v>По приборам учёта </v>
      </c>
      <c r="G170" s="1885" t="s">
        <v>611</v>
      </c>
      <c r="H170" s="588"/>
      <c r="I170" s="588">
        <v>936.0042153</v>
      </c>
      <c r="J170" s="588">
        <v>111.3029016</v>
      </c>
      <c r="K170" s="588">
        <v>171.886637</v>
      </c>
      <c r="L170" s="588">
        <v>0.208773</v>
      </c>
      <c r="M170" s="300" t="str">
        <f>FHD_NOTE_P_66</f>
        <v/>
      </c>
      <c r="N170" s="554"/>
      <c r="O170" s="1647"/>
      <c r="P170" s="1647"/>
      <c r="U170" s="1647"/>
      <c r="X170" s="555"/>
      <c r="AD170" s="1643"/>
      <c r="AE170" s="1643"/>
      <c r="AF170" s="1643"/>
      <c r="AG170" s="1643"/>
      <c r="AH170" s="1643"/>
      <c r="AI170" s="1171">
        <v>0</v>
      </c>
    </row>
    <row s="1377" customFormat="1" customHeight="1" ht="52.5">
      <c r="A171" s="2401"/>
      <c r="C171" s="1647"/>
      <c r="D171" s="1649"/>
      <c r="E171" s="557" t="str">
        <f>FHD_NUM_P_67</f>
        <v>10.1.1</v>
      </c>
      <c r="F171" s="166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71" s="1885" t="s">
        <v>611</v>
      </c>
      <c r="H171" s="588"/>
      <c r="I171" s="588">
        <v>0</v>
      </c>
      <c r="J171" s="588">
        <v>0</v>
      </c>
      <c r="K171" s="588">
        <v>0</v>
      </c>
      <c r="L171" s="588">
        <v>0</v>
      </c>
      <c r="M171" s="300" t="str">
        <f>FHD_NOTE_P_67</f>
        <v/>
      </c>
      <c r="N171" s="554"/>
      <c r="O171" s="1647"/>
      <c r="P171" s="1647"/>
      <c r="U171" s="1647"/>
      <c r="X171" s="555"/>
      <c r="AD171" s="1643"/>
      <c r="AE171" s="1643"/>
      <c r="AF171" s="1643"/>
      <c r="AG171" s="1643"/>
      <c r="AH171" s="1643"/>
      <c r="AI171" s="1171">
        <v>0</v>
      </c>
    </row>
    <row s="1377" customFormat="1" customHeight="1" ht="18.75">
      <c r="A172" s="2401"/>
      <c r="C172" s="1647"/>
      <c r="D172" s="1649"/>
      <c r="E172" s="557" t="str">
        <f>FHD_NUM_P_68</f>
        <v>10.2</v>
      </c>
      <c r="F172" s="1535" t="str">
        <f>FHD_P_68</f>
        <v>Расчётным путём</v>
      </c>
      <c r="G172" s="1885" t="s">
        <v>611</v>
      </c>
      <c r="H172" s="588"/>
      <c r="I172" s="588">
        <v>768.811465</v>
      </c>
      <c r="J172" s="588">
        <v>90.8757627</v>
      </c>
      <c r="K172" s="588">
        <v>115.807801</v>
      </c>
      <c r="L172" s="588">
        <v>10.120785</v>
      </c>
      <c r="M172" s="300" t="str">
        <f>FHD_NOTE_P_68</f>
        <v/>
      </c>
      <c r="N172" s="554"/>
      <c r="O172" s="1647"/>
      <c r="P172" s="1647"/>
      <c r="U172" s="1647"/>
      <c r="X172" s="555"/>
      <c r="AD172" s="1643"/>
      <c r="AE172" s="1643"/>
      <c r="AF172" s="1643"/>
      <c r="AG172" s="1643"/>
      <c r="AH172" s="1643"/>
      <c r="AI172" s="1171">
        <v>0</v>
      </c>
    </row>
    <row s="1377" customFormat="1" customHeight="1" ht="29.25">
      <c r="A173" s="2401"/>
      <c r="C173" s="1647"/>
      <c r="D173" s="1649"/>
      <c r="E173" s="557" t="str">
        <f>FHD_NUM_P_69</f>
        <v>10.3</v>
      </c>
      <c r="F173" s="1535" t="str">
        <f>FHD_P_69</f>
        <v>По нормативам потребления коммунальных услуг и нормативам потребления коммунальных ресурсов</v>
      </c>
      <c r="G173" s="1885" t="s">
        <v>611</v>
      </c>
      <c r="H173" s="588"/>
      <c r="I173" s="588" t="s">
        <v>586</v>
      </c>
      <c r="J173" s="588">
        <v>0</v>
      </c>
      <c r="K173" s="588" t="s">
        <v>586</v>
      </c>
      <c r="L173" s="588">
        <v>0</v>
      </c>
      <c r="M173" s="300" t="str">
        <f>FHD_NOTE_P_69</f>
        <v/>
      </c>
      <c r="N173" s="554"/>
      <c r="O173" s="1647"/>
      <c r="P173" s="1647"/>
      <c r="U173" s="1647"/>
      <c r="X173" s="555"/>
      <c r="AD173" s="1643"/>
      <c r="AE173" s="1643"/>
      <c r="AF173" s="1643"/>
      <c r="AG173" s="1643"/>
      <c r="AH173" s="1643"/>
      <c r="AI173" s="1171">
        <v>0</v>
      </c>
    </row>
    <row s="1377" customFormat="1" customHeight="1" ht="36.75">
      <c r="A174" s="2401"/>
      <c r="C174" s="1647"/>
      <c r="D174" s="1649"/>
      <c r="E174" s="557" t="str">
        <f>FHD_NUM_P_70</f>
        <v>11</v>
      </c>
      <c r="F174" s="1888" t="str">
        <f>FHD_P_70</f>
        <v>Нормативы технологических потерь при передаче тепловой энергии, теплоносителя по тепловым сетям, утвержденные уполномоченным органом</v>
      </c>
      <c r="G174" s="1885" t="s">
        <v>649</v>
      </c>
      <c r="H174" s="568"/>
      <c r="I174" s="568">
        <v>478.290448</v>
      </c>
      <c r="J174" s="568">
        <v>42.669492</v>
      </c>
      <c r="K174" s="568">
        <v>117.7666</v>
      </c>
      <c r="L174" s="568">
        <v>5.555186</v>
      </c>
      <c r="M174" s="300" t="str">
        <f>FHD_NOTE_P_70</f>
        <v/>
      </c>
      <c r="N174" s="554"/>
      <c r="O174" s="1647"/>
      <c r="P174" s="1647"/>
      <c r="U174" s="1647"/>
      <c r="X174" s="555"/>
      <c r="AD174" s="1643"/>
      <c r="AE174" s="1643"/>
      <c r="AF174" s="1643"/>
      <c r="AG174" s="1643"/>
      <c r="AH174" s="1643"/>
      <c r="AI174" s="1171">
        <v>0</v>
      </c>
    </row>
    <row s="1377" customFormat="1" customHeight="1" ht="22.5">
      <c r="A175" s="2401"/>
      <c r="C175" s="1647"/>
      <c r="D175" s="1649"/>
      <c r="E175" s="557" t="str">
        <f>FHD_NUM_P_71</f>
        <v>12</v>
      </c>
      <c r="F175" s="1888" t="str">
        <f>FHD_P_71</f>
        <v>Фактический объем потерь при передаче тепловой энергии</v>
      </c>
      <c r="G175" s="1885" t="s">
        <v>649</v>
      </c>
      <c r="H175" s="568"/>
      <c r="I175" s="568">
        <v>466.220386636</v>
      </c>
      <c r="J175" s="568">
        <v>31.831182788</v>
      </c>
      <c r="K175" s="568">
        <v>60.268966422</v>
      </c>
      <c r="L175" s="568">
        <v>3.95436057</v>
      </c>
      <c r="M175" s="300" t="str">
        <f>FHD_NOTE_P_71</f>
        <v/>
      </c>
      <c r="N175" s="554"/>
      <c r="O175" s="1647"/>
      <c r="P175" s="1647"/>
      <c r="U175" s="1647"/>
      <c r="X175" s="555"/>
      <c r="AD175" s="1643"/>
      <c r="AE175" s="1643"/>
      <c r="AF175" s="1643"/>
      <c r="AG175" s="1643"/>
      <c r="AH175" s="1643"/>
      <c r="AI175" s="1171">
        <v>0</v>
      </c>
    </row>
    <row customHeight="1" ht="20.25">
      <c r="D176" s="1649"/>
      <c r="E176" s="557" t="str">
        <f>FHD_NUM_P_72</f>
        <v>13</v>
      </c>
      <c r="F176" s="1888" t="str">
        <f>FHD_P_72</f>
        <v>Среднесписочная численность основного производственного персонала</v>
      </c>
      <c r="G176" s="1884" t="s">
        <v>650</v>
      </c>
      <c r="H176" s="588"/>
      <c r="I176" s="588">
        <v>805.128401333333</v>
      </c>
      <c r="J176" s="588">
        <v>247.440833333333</v>
      </c>
      <c r="K176" s="588">
        <v>296.33344613428</v>
      </c>
      <c r="L176" s="588">
        <v>35.4740538657198</v>
      </c>
      <c r="M176" s="300" t="str">
        <f>FHD_NOTE_P_72</f>
        <v/>
      </c>
      <c r="N176" s="554"/>
      <c r="AI176" s="1642">
        <v>19</v>
      </c>
    </row>
    <row customHeight="1" ht="25.5">
      <c r="A177" s="1000" t="s">
        <v>651</v>
      </c>
      <c r="D177" s="1649"/>
      <c r="E177" s="557" t="str">
        <f>FHD_NUM_P_73</f>
        <v>14</v>
      </c>
      <c r="F177" s="1888" t="str">
        <f>FHD_P_73</f>
        <v>Среднесписочная численность административно-управленческого персонала</v>
      </c>
      <c r="G177" s="981" t="s">
        <v>650</v>
      </c>
      <c r="H177" s="979"/>
      <c r="I177" s="979">
        <v>75.2524376976869</v>
      </c>
      <c r="J177" s="979">
        <v>9.9155216054246</v>
      </c>
      <c r="K177" s="979">
        <v>15.6712801464096</v>
      </c>
      <c r="L177" s="979">
        <v>1.11235196483299</v>
      </c>
      <c r="M177" s="300" t="str">
        <f>FHD_NOTE_P_73</f>
        <v/>
      </c>
      <c r="N177" s="554"/>
      <c r="AI177" s="1642">
        <v>0</v>
      </c>
    </row>
    <row customHeight="1" ht="33.75" hidden="1">
      <c r="A178" s="1000" t="s">
        <v>652</v>
      </c>
      <c r="D178" s="1649"/>
      <c r="E178" s="557" t="str">
        <f>FHD_NUM_P_74</f>
        <v/>
      </c>
      <c r="F178" s="1888" t="str">
        <f>FHD_P_74</f>
        <v/>
      </c>
      <c r="G178" s="1884" t="s">
        <v>653</v>
      </c>
      <c r="H178" s="588"/>
      <c r="I178" s="588"/>
      <c r="J178" s="588"/>
      <c r="K178" s="588"/>
      <c r="L178" s="588"/>
      <c r="M178" s="300" t="str">
        <f>FHD_NOTE_P_74</f>
        <v/>
      </c>
      <c r="N178" s="554"/>
      <c r="AI178" s="1642">
        <v>0</v>
      </c>
    </row>
    <row s="1646" customFormat="1" customHeight="1" ht="18.75" hidden="1">
      <c r="A179" s="2403" t="s">
        <v>654</v>
      </c>
      <c r="B179" s="921"/>
      <c r="C179" s="746"/>
      <c r="D179" s="744"/>
      <c r="E179" s="557" t="str">
        <f>FHD_NUM_P_75</f>
        <v/>
      </c>
      <c r="F179" s="1888" t="str">
        <f>FHD_P_75</f>
        <v/>
      </c>
      <c r="G179" s="1884" t="s">
        <v>570</v>
      </c>
      <c r="H179" s="568"/>
      <c r="I179" s="568"/>
      <c r="J179" s="568"/>
      <c r="K179" s="568"/>
      <c r="L179" s="568"/>
      <c r="M179" s="300" t="str">
        <f>FHD_NOTE_P_75</f>
        <v/>
      </c>
      <c r="N179" s="745"/>
      <c r="O179" s="746"/>
      <c r="P179" s="746"/>
      <c r="Q179" s="921"/>
      <c r="R179" s="921"/>
      <c r="S179" s="921"/>
      <c r="T179" s="921"/>
      <c r="U179" s="746"/>
      <c r="V179" s="921"/>
      <c r="W179" s="921"/>
      <c r="X179" s="747"/>
      <c r="Y179" s="921"/>
      <c r="Z179" s="921"/>
      <c r="AA179" s="921"/>
      <c r="AB179" s="921"/>
      <c r="AC179" s="921"/>
      <c r="AD179" s="748"/>
      <c r="AE179" s="748"/>
      <c r="AF179" s="748"/>
      <c r="AG179" s="748"/>
      <c r="AH179" s="748"/>
      <c r="AI179" s="750">
        <v>0</v>
      </c>
    </row>
    <row s="1646" customFormat="1" customHeight="1" ht="18.75" hidden="1">
      <c r="A180" s="2403"/>
      <c r="B180" s="921"/>
      <c r="C180" s="746"/>
      <c r="D180" s="744"/>
      <c r="E180" s="557" t="str">
        <f>FHD_NUM_P_76</f>
        <v/>
      </c>
      <c r="F180" s="1888" t="str">
        <f>FHD_P_76</f>
        <v/>
      </c>
      <c r="G180" s="1884" t="s">
        <v>570</v>
      </c>
      <c r="H180" s="568"/>
      <c r="I180" s="568"/>
      <c r="J180" s="568"/>
      <c r="K180" s="568"/>
      <c r="L180" s="568"/>
      <c r="M180" s="300" t="str">
        <f>FHD_NOTE_P_76</f>
        <v/>
      </c>
      <c r="N180" s="745"/>
      <c r="O180" s="746"/>
      <c r="P180" s="746"/>
      <c r="Q180" s="921"/>
      <c r="R180" s="921"/>
      <c r="S180" s="921"/>
      <c r="T180" s="921"/>
      <c r="U180" s="746"/>
      <c r="V180" s="921"/>
      <c r="W180" s="921"/>
      <c r="X180" s="747"/>
      <c r="Y180" s="921"/>
      <c r="Z180" s="921"/>
      <c r="AA180" s="921"/>
      <c r="AB180" s="921"/>
      <c r="AC180" s="921"/>
      <c r="AD180" s="748"/>
      <c r="AE180" s="748"/>
      <c r="AF180" s="748"/>
      <c r="AG180" s="748"/>
      <c r="AH180" s="748"/>
      <c r="AI180" s="750">
        <v>0</v>
      </c>
    </row>
    <row s="1646" customFormat="1" customHeight="1" ht="18.75" hidden="1">
      <c r="A181" s="2403"/>
      <c r="B181" s="921"/>
      <c r="C181" s="746"/>
      <c r="D181" s="744"/>
      <c r="E181" s="557" t="str">
        <f>FHD_NUM_P_77</f>
        <v/>
      </c>
      <c r="F181" s="1888" t="str">
        <f>FHD_P_77</f>
        <v/>
      </c>
      <c r="G181" s="1884" t="s">
        <v>570</v>
      </c>
      <c r="H181" s="568"/>
      <c r="I181" s="568"/>
      <c r="J181" s="568"/>
      <c r="K181" s="568"/>
      <c r="L181" s="568"/>
      <c r="M181" s="300" t="str">
        <f>FHD_NOTE_P_77</f>
        <v/>
      </c>
      <c r="N181" s="745"/>
      <c r="O181" s="746"/>
      <c r="P181" s="746"/>
      <c r="Q181" s="921"/>
      <c r="R181" s="921"/>
      <c r="S181" s="921"/>
      <c r="T181" s="921"/>
      <c r="U181" s="746"/>
      <c r="V181" s="921"/>
      <c r="W181" s="921"/>
      <c r="X181" s="747"/>
      <c r="Y181" s="921"/>
      <c r="Z181" s="921"/>
      <c r="AA181" s="921"/>
      <c r="AB181" s="921"/>
      <c r="AC181" s="921"/>
      <c r="AD181" s="748"/>
      <c r="AE181" s="748"/>
      <c r="AF181" s="748"/>
      <c r="AG181" s="748"/>
      <c r="AH181" s="748"/>
      <c r="AI181" s="750">
        <v>0</v>
      </c>
    </row>
    <row s="1653" customFormat="1" customHeight="1" ht="0.75" hidden="1">
      <c r="A182" s="2403"/>
      <c r="D182" s="559"/>
      <c r="E182" s="1024" t="str">
        <f>E181&amp;".0"</f>
        <v>.0</v>
      </c>
      <c r="F182" s="1008"/>
      <c r="G182" s="1662"/>
      <c r="H182" s="1003"/>
      <c r="I182" s="1003"/>
      <c r="J182" s="1003"/>
      <c r="K182" s="1003"/>
      <c r="L182" s="1003"/>
      <c r="M182" s="1007"/>
      <c r="AI182" s="1647">
        <v>0</v>
      </c>
    </row>
    <row s="1646" customFormat="1" customHeight="1" ht="15" hidden="1">
      <c r="A183" s="2403"/>
      <c r="B183" s="921"/>
      <c r="C183" s="746"/>
      <c r="D183" s="757"/>
      <c r="E183" s="984"/>
      <c r="F183" s="985" t="s">
        <v>655</v>
      </c>
      <c r="G183" s="758"/>
      <c r="H183" s="759"/>
      <c r="I183" s="759"/>
      <c r="J183" s="2676"/>
      <c r="K183" s="2677"/>
      <c r="L183" s="2678"/>
      <c r="M183" s="1014" t="s">
        <v>656</v>
      </c>
      <c r="N183" s="745"/>
      <c r="O183" s="746"/>
      <c r="P183" s="746"/>
      <c r="Q183" s="921"/>
      <c r="R183" s="921"/>
      <c r="S183" s="921"/>
      <c r="T183" s="921"/>
      <c r="U183" s="746"/>
      <c r="V183" s="921"/>
      <c r="W183" s="921"/>
      <c r="X183" s="747"/>
      <c r="Y183" s="921"/>
      <c r="Z183" s="921"/>
      <c r="AA183" s="921"/>
      <c r="AB183" s="921"/>
      <c r="AC183" s="921"/>
      <c r="AD183" s="748"/>
      <c r="AE183" s="748"/>
      <c r="AF183" s="748"/>
      <c r="AG183" s="748"/>
      <c r="AH183" s="748"/>
      <c r="AI183" s="750">
        <v>0</v>
      </c>
    </row>
    <row customHeight="1" ht="67.5">
      <c r="A184" s="2401" t="s">
        <v>657</v>
      </c>
      <c r="D184" s="1649"/>
      <c r="E184" s="557" t="str">
        <f>FHD_NUM_P_78</f>
        <v>15</v>
      </c>
      <c r="F184" s="188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84" s="1885" t="s">
        <v>572</v>
      </c>
      <c r="H184" s="588"/>
      <c r="I184" s="588">
        <v>147.705640602436</v>
      </c>
      <c r="J184" s="588">
        <v>174.071213336531</v>
      </c>
      <c r="K184" s="588">
        <v>179.820056181454</v>
      </c>
      <c r="L184" s="588">
        <v>187.541168803171</v>
      </c>
      <c r="M184" s="300" t="str">
        <f>FHD_NOTE_P_78</f>
        <v/>
      </c>
      <c r="N184" s="554"/>
      <c r="AI184" s="1642">
        <v>0</v>
      </c>
    </row>
    <row s="1653" customFormat="1" customHeight="1" ht="0.75">
      <c r="A185" s="2401"/>
      <c r="D185" s="559"/>
      <c r="E185" s="1024" t="str">
        <f>E184&amp;".0"</f>
        <v>15.0</v>
      </c>
      <c r="F185" s="1008"/>
      <c r="G185" s="1662"/>
      <c r="H185" s="1003"/>
      <c r="I185" s="1003"/>
      <c r="J185" s="1003"/>
      <c r="K185" s="1003"/>
      <c r="L185" s="1003"/>
      <c r="M185" s="1007"/>
      <c r="AI185" s="1647">
        <v>0</v>
      </c>
    </row>
    <row s="1858" customFormat="1" customHeight="1" ht="22.5">
      <c r="A186" s="998"/>
      <c r="B186" s="1377"/>
      <c r="C186" s="1653"/>
      <c r="D186" s="694" t="s">
        <v>105</v>
      </c>
      <c r="E186" s="557" t="str">
        <f>E184&amp;".1"</f>
        <v>15.1</v>
      </c>
      <c r="F186" s="551" t="s">
        <v>614</v>
      </c>
      <c r="G186" s="2342" t="s">
        <v>572</v>
      </c>
      <c r="H186" s="556"/>
      <c r="I186" s="556">
        <v>146.6</v>
      </c>
      <c r="J186" s="556"/>
      <c r="K186" s="556"/>
      <c r="L186" s="556"/>
      <c r="M186" s="1536" t="s">
        <v>573</v>
      </c>
      <c r="N186" s="745"/>
      <c r="O186" s="1653"/>
      <c r="P186" s="1653"/>
      <c r="Q186" s="1377"/>
      <c r="R186" s="1377"/>
      <c r="S186" s="1377"/>
      <c r="T186" s="1377"/>
      <c r="U186" s="1653"/>
      <c r="V186" s="1377"/>
      <c r="W186" s="1377"/>
      <c r="X186" s="747"/>
      <c r="Y186" s="1377"/>
      <c r="Z186" s="1377"/>
      <c r="AA186" s="1377"/>
      <c r="AB186" s="1377"/>
      <c r="AC186" s="1377"/>
      <c r="AD186" s="1643"/>
      <c r="AE186" s="1643"/>
      <c r="AF186" s="1643"/>
      <c r="AG186" s="1643"/>
      <c r="AH186" s="1643"/>
      <c r="AI186" s="1646">
        <v>0</v>
      </c>
    </row>
    <row s="1858" customFormat="1" customHeight="1" ht="22.5">
      <c r="A187" s="998"/>
      <c r="B187" s="1377"/>
      <c r="C187" s="1653"/>
      <c r="D187" s="694" t="s">
        <v>105</v>
      </c>
      <c r="E187" s="557" t="str">
        <f>E184&amp;".2"</f>
        <v>15.2</v>
      </c>
      <c r="F187" s="551" t="s">
        <v>615</v>
      </c>
      <c r="G187" s="2342" t="s">
        <v>572</v>
      </c>
      <c r="H187" s="556"/>
      <c r="I187" s="556">
        <v>158.585</v>
      </c>
      <c r="J187" s="556"/>
      <c r="K187" s="556"/>
      <c r="L187" s="556"/>
      <c r="M187" s="1536" t="s">
        <v>573</v>
      </c>
      <c r="N187" s="745"/>
      <c r="O187" s="1653"/>
      <c r="P187" s="1653"/>
      <c r="Q187" s="1377"/>
      <c r="R187" s="1377"/>
      <c r="S187" s="1377"/>
      <c r="T187" s="1377"/>
      <c r="U187" s="1653"/>
      <c r="V187" s="1377"/>
      <c r="W187" s="1377"/>
      <c r="X187" s="747"/>
      <c r="Y187" s="1377"/>
      <c r="Z187" s="1377"/>
      <c r="AA187" s="1377"/>
      <c r="AB187" s="1377"/>
      <c r="AC187" s="1377"/>
      <c r="AD187" s="1643"/>
      <c r="AE187" s="1643"/>
      <c r="AF187" s="1643"/>
      <c r="AG187" s="1643"/>
      <c r="AH187" s="1643"/>
      <c r="AI187" s="1646">
        <v>0</v>
      </c>
    </row>
    <row s="1858" customFormat="1" customHeight="1" ht="22.5">
      <c r="A188" s="998"/>
      <c r="B188" s="1377"/>
      <c r="C188" s="1653"/>
      <c r="D188" s="694" t="s">
        <v>105</v>
      </c>
      <c r="E188" s="557" t="str">
        <f>E184&amp;".3"</f>
        <v>15.3</v>
      </c>
      <c r="F188" s="551" t="s">
        <v>616</v>
      </c>
      <c r="G188" s="2342" t="s">
        <v>572</v>
      </c>
      <c r="H188" s="556"/>
      <c r="I188" s="556"/>
      <c r="J188" s="556">
        <v>160.424</v>
      </c>
      <c r="K188" s="556"/>
      <c r="L188" s="556"/>
      <c r="M188" s="1536" t="s">
        <v>573</v>
      </c>
      <c r="N188" s="745"/>
      <c r="O188" s="1653"/>
      <c r="P188" s="1653"/>
      <c r="Q188" s="1377"/>
      <c r="R188" s="1377"/>
      <c r="S188" s="1377"/>
      <c r="T188" s="1377"/>
      <c r="U188" s="1653"/>
      <c r="V188" s="1377"/>
      <c r="W188" s="1377"/>
      <c r="X188" s="747"/>
      <c r="Y188" s="1377"/>
      <c r="Z188" s="1377"/>
      <c r="AA188" s="1377"/>
      <c r="AB188" s="1377"/>
      <c r="AC188" s="1377"/>
      <c r="AD188" s="1643"/>
      <c r="AE188" s="1643"/>
      <c r="AF188" s="1643"/>
      <c r="AG188" s="1643"/>
      <c r="AH188" s="1643"/>
      <c r="AI188" s="1646">
        <v>0</v>
      </c>
    </row>
    <row s="1858" customFormat="1" customHeight="1" ht="22.5">
      <c r="A189" s="998"/>
      <c r="B189" s="1377"/>
      <c r="C189" s="1653"/>
      <c r="D189" s="694" t="s">
        <v>105</v>
      </c>
      <c r="E189" s="557" t="str">
        <f>E184&amp;".4"</f>
        <v>15.4</v>
      </c>
      <c r="F189" s="551" t="s">
        <v>617</v>
      </c>
      <c r="G189" s="2342" t="s">
        <v>572</v>
      </c>
      <c r="H189" s="556"/>
      <c r="I189" s="556"/>
      <c r="J189" s="556">
        <v>175.31</v>
      </c>
      <c r="K189" s="556"/>
      <c r="L189" s="556"/>
      <c r="M189" s="1536" t="s">
        <v>573</v>
      </c>
      <c r="N189" s="745"/>
      <c r="O189" s="1653"/>
      <c r="P189" s="1653"/>
      <c r="Q189" s="1377"/>
      <c r="R189" s="1377"/>
      <c r="S189" s="1377"/>
      <c r="T189" s="1377"/>
      <c r="U189" s="1653"/>
      <c r="V189" s="1377"/>
      <c r="W189" s="1377"/>
      <c r="X189" s="747"/>
      <c r="Y189" s="1377"/>
      <c r="Z189" s="1377"/>
      <c r="AA189" s="1377"/>
      <c r="AB189" s="1377"/>
      <c r="AC189" s="1377"/>
      <c r="AD189" s="1643"/>
      <c r="AE189" s="1643"/>
      <c r="AF189" s="1643"/>
      <c r="AG189" s="1643"/>
      <c r="AH189" s="1643"/>
      <c r="AI189" s="1646">
        <v>0</v>
      </c>
    </row>
    <row s="1858" customFormat="1" customHeight="1" ht="22.5">
      <c r="A190" s="998"/>
      <c r="B190" s="1377"/>
      <c r="C190" s="1653"/>
      <c r="D190" s="694" t="s">
        <v>105</v>
      </c>
      <c r="E190" s="557" t="str">
        <f>E184&amp;".5"</f>
        <v>15.5</v>
      </c>
      <c r="F190" s="551" t="s">
        <v>618</v>
      </c>
      <c r="G190" s="2342" t="s">
        <v>572</v>
      </c>
      <c r="H190" s="556"/>
      <c r="I190" s="556"/>
      <c r="J190" s="556">
        <v>170.2</v>
      </c>
      <c r="K190" s="556"/>
      <c r="L190" s="556"/>
      <c r="M190" s="1536" t="s">
        <v>573</v>
      </c>
      <c r="N190" s="745"/>
      <c r="O190" s="1653"/>
      <c r="P190" s="1653"/>
      <c r="Q190" s="1377"/>
      <c r="R190" s="1377"/>
      <c r="S190" s="1377"/>
      <c r="T190" s="1377"/>
      <c r="U190" s="1653"/>
      <c r="V190" s="1377"/>
      <c r="W190" s="1377"/>
      <c r="X190" s="747"/>
      <c r="Y190" s="1377"/>
      <c r="Z190" s="1377"/>
      <c r="AA190" s="1377"/>
      <c r="AB190" s="1377"/>
      <c r="AC190" s="1377"/>
      <c r="AD190" s="1643"/>
      <c r="AE190" s="1643"/>
      <c r="AF190" s="1643"/>
      <c r="AG190" s="1643"/>
      <c r="AH190" s="1643"/>
      <c r="AI190" s="1646">
        <v>0</v>
      </c>
    </row>
    <row s="1858" customFormat="1" customHeight="1" ht="22.5">
      <c r="A191" s="998"/>
      <c r="B191" s="1377"/>
      <c r="C191" s="1653"/>
      <c r="D191" s="694" t="s">
        <v>105</v>
      </c>
      <c r="E191" s="557" t="str">
        <f>E184&amp;".6"</f>
        <v>15.6</v>
      </c>
      <c r="F191" s="551" t="s">
        <v>619</v>
      </c>
      <c r="G191" s="2342" t="s">
        <v>572</v>
      </c>
      <c r="H191" s="556"/>
      <c r="I191" s="556"/>
      <c r="J191" s="556">
        <v>175.882</v>
      </c>
      <c r="K191" s="556"/>
      <c r="L191" s="556"/>
      <c r="M191" s="1536" t="s">
        <v>573</v>
      </c>
      <c r="N191" s="745"/>
      <c r="O191" s="1653"/>
      <c r="P191" s="1653"/>
      <c r="Q191" s="1377"/>
      <c r="R191" s="1377"/>
      <c r="S191" s="1377"/>
      <c r="T191" s="1377"/>
      <c r="U191" s="1653"/>
      <c r="V191" s="1377"/>
      <c r="W191" s="1377"/>
      <c r="X191" s="747"/>
      <c r="Y191" s="1377"/>
      <c r="Z191" s="1377"/>
      <c r="AA191" s="1377"/>
      <c r="AB191" s="1377"/>
      <c r="AC191" s="1377"/>
      <c r="AD191" s="1643"/>
      <c r="AE191" s="1643"/>
      <c r="AF191" s="1643"/>
      <c r="AG191" s="1643"/>
      <c r="AH191" s="1643"/>
      <c r="AI191" s="1646">
        <v>0</v>
      </c>
    </row>
    <row s="1858" customFormat="1" customHeight="1" ht="22.5">
      <c r="A192" s="998"/>
      <c r="B192" s="1377"/>
      <c r="C192" s="1653"/>
      <c r="D192" s="694" t="s">
        <v>105</v>
      </c>
      <c r="E192" s="557" t="str">
        <f>E184&amp;".7"</f>
        <v>15.7</v>
      </c>
      <c r="F192" s="551" t="s">
        <v>620</v>
      </c>
      <c r="G192" s="2342" t="s">
        <v>572</v>
      </c>
      <c r="H192" s="556"/>
      <c r="I192" s="556"/>
      <c r="J192" s="556">
        <v>171.6</v>
      </c>
      <c r="K192" s="556"/>
      <c r="L192" s="556"/>
      <c r="M192" s="1536" t="s">
        <v>573</v>
      </c>
      <c r="N192" s="745"/>
      <c r="O192" s="1653"/>
      <c r="P192" s="1653"/>
      <c r="Q192" s="1377"/>
      <c r="R192" s="1377"/>
      <c r="S192" s="1377"/>
      <c r="T192" s="1377"/>
      <c r="U192" s="1653"/>
      <c r="V192" s="1377"/>
      <c r="W192" s="1377"/>
      <c r="X192" s="747"/>
      <c r="Y192" s="1377"/>
      <c r="Z192" s="1377"/>
      <c r="AA192" s="1377"/>
      <c r="AB192" s="1377"/>
      <c r="AC192" s="1377"/>
      <c r="AD192" s="1643"/>
      <c r="AE192" s="1643"/>
      <c r="AF192" s="1643"/>
      <c r="AG192" s="1643"/>
      <c r="AH192" s="1643"/>
      <c r="AI192" s="1646">
        <v>0</v>
      </c>
    </row>
    <row s="1858" customFormat="1" customHeight="1" ht="22.5">
      <c r="A193" s="998"/>
      <c r="B193" s="1377"/>
      <c r="C193" s="1653"/>
      <c r="D193" s="694" t="s">
        <v>105</v>
      </c>
      <c r="E193" s="557" t="str">
        <f>E184&amp;".8"</f>
        <v>15.8</v>
      </c>
      <c r="F193" s="551" t="s">
        <v>621</v>
      </c>
      <c r="G193" s="2342" t="s">
        <v>572</v>
      </c>
      <c r="H193" s="556"/>
      <c r="I193" s="556"/>
      <c r="J193" s="556">
        <v>174.15</v>
      </c>
      <c r="K193" s="556"/>
      <c r="L193" s="556"/>
      <c r="M193" s="1536" t="s">
        <v>573</v>
      </c>
      <c r="N193" s="745"/>
      <c r="O193" s="1653"/>
      <c r="P193" s="1653"/>
      <c r="Q193" s="1377"/>
      <c r="R193" s="1377"/>
      <c r="S193" s="1377"/>
      <c r="T193" s="1377"/>
      <c r="U193" s="1653"/>
      <c r="V193" s="1377"/>
      <c r="W193" s="1377"/>
      <c r="X193" s="747"/>
      <c r="Y193" s="1377"/>
      <c r="Z193" s="1377"/>
      <c r="AA193" s="1377"/>
      <c r="AB193" s="1377"/>
      <c r="AC193" s="1377"/>
      <c r="AD193" s="1643"/>
      <c r="AE193" s="1643"/>
      <c r="AF193" s="1643"/>
      <c r="AG193" s="1643"/>
      <c r="AH193" s="1643"/>
      <c r="AI193" s="1646">
        <v>0</v>
      </c>
    </row>
    <row s="1858" customFormat="1" customHeight="1" ht="22.5">
      <c r="A194" s="998"/>
      <c r="B194" s="1377"/>
      <c r="C194" s="1653"/>
      <c r="D194" s="694" t="s">
        <v>105</v>
      </c>
      <c r="E194" s="557" t="str">
        <f>E184&amp;".9"</f>
        <v>15.9</v>
      </c>
      <c r="F194" s="551" t="s">
        <v>622</v>
      </c>
      <c r="G194" s="2342" t="s">
        <v>572</v>
      </c>
      <c r="H194" s="556"/>
      <c r="I194" s="556"/>
      <c r="J194" s="556">
        <v>169.085</v>
      </c>
      <c r="K194" s="556"/>
      <c r="L194" s="556"/>
      <c r="M194" s="1536" t="s">
        <v>573</v>
      </c>
      <c r="N194" s="745"/>
      <c r="O194" s="1653"/>
      <c r="P194" s="1653"/>
      <c r="Q194" s="1377"/>
      <c r="R194" s="1377"/>
      <c r="S194" s="1377"/>
      <c r="T194" s="1377"/>
      <c r="U194" s="1653"/>
      <c r="V194" s="1377"/>
      <c r="W194" s="1377"/>
      <c r="X194" s="747"/>
      <c r="Y194" s="1377"/>
      <c r="Z194" s="1377"/>
      <c r="AA194" s="1377"/>
      <c r="AB194" s="1377"/>
      <c r="AC194" s="1377"/>
      <c r="AD194" s="1643"/>
      <c r="AE194" s="1643"/>
      <c r="AF194" s="1643"/>
      <c r="AG194" s="1643"/>
      <c r="AH194" s="1643"/>
      <c r="AI194" s="1646">
        <v>0</v>
      </c>
    </row>
    <row s="1858" customFormat="1" customHeight="1" ht="22.5">
      <c r="A195" s="998"/>
      <c r="B195" s="1377"/>
      <c r="C195" s="1653"/>
      <c r="D195" s="694" t="s">
        <v>105</v>
      </c>
      <c r="E195" s="557" t="str">
        <f>E184&amp;".10"</f>
        <v>15.10</v>
      </c>
      <c r="F195" s="551" t="s">
        <v>623</v>
      </c>
      <c r="G195" s="2342" t="s">
        <v>572</v>
      </c>
      <c r="H195" s="556"/>
      <c r="I195" s="556"/>
      <c r="J195" s="556">
        <v>175.89</v>
      </c>
      <c r="K195" s="556"/>
      <c r="L195" s="556"/>
      <c r="M195" s="1536" t="s">
        <v>573</v>
      </c>
      <c r="N195" s="745"/>
      <c r="O195" s="1653"/>
      <c r="P195" s="1653"/>
      <c r="Q195" s="1377"/>
      <c r="R195" s="1377"/>
      <c r="S195" s="1377"/>
      <c r="T195" s="1377"/>
      <c r="U195" s="1653"/>
      <c r="V195" s="1377"/>
      <c r="W195" s="1377"/>
      <c r="X195" s="747"/>
      <c r="Y195" s="1377"/>
      <c r="Z195" s="1377"/>
      <c r="AA195" s="1377"/>
      <c r="AB195" s="1377"/>
      <c r="AC195" s="1377"/>
      <c r="AD195" s="1643"/>
      <c r="AE195" s="1643"/>
      <c r="AF195" s="1643"/>
      <c r="AG195" s="1643"/>
      <c r="AH195" s="1643"/>
      <c r="AI195" s="1646">
        <v>0</v>
      </c>
    </row>
    <row s="1858" customFormat="1" customHeight="1" ht="22.5">
      <c r="A196" s="998"/>
      <c r="B196" s="1377"/>
      <c r="C196" s="1653"/>
      <c r="D196" s="694" t="s">
        <v>105</v>
      </c>
      <c r="E196" s="557" t="str">
        <f>E184&amp;".11"</f>
        <v>15.11</v>
      </c>
      <c r="F196" s="551" t="s">
        <v>624</v>
      </c>
      <c r="G196" s="2342" t="s">
        <v>572</v>
      </c>
      <c r="H196" s="556"/>
      <c r="I196" s="556"/>
      <c r="J196" s="556">
        <v>181.634</v>
      </c>
      <c r="K196" s="556"/>
      <c r="L196" s="556"/>
      <c r="M196" s="1536" t="s">
        <v>573</v>
      </c>
      <c r="N196" s="745"/>
      <c r="O196" s="1653"/>
      <c r="P196" s="1653"/>
      <c r="Q196" s="1377"/>
      <c r="R196" s="1377"/>
      <c r="S196" s="1377"/>
      <c r="T196" s="1377"/>
      <c r="U196" s="1653"/>
      <c r="V196" s="1377"/>
      <c r="W196" s="1377"/>
      <c r="X196" s="747"/>
      <c r="Y196" s="1377"/>
      <c r="Z196" s="1377"/>
      <c r="AA196" s="1377"/>
      <c r="AB196" s="1377"/>
      <c r="AC196" s="1377"/>
      <c r="AD196" s="1643"/>
      <c r="AE196" s="1643"/>
      <c r="AF196" s="1643"/>
      <c r="AG196" s="1643"/>
      <c r="AH196" s="1643"/>
      <c r="AI196" s="1646">
        <v>0</v>
      </c>
    </row>
    <row s="1858" customFormat="1" customHeight="1" ht="22.5">
      <c r="A197" s="998"/>
      <c r="B197" s="1377"/>
      <c r="C197" s="1653"/>
      <c r="D197" s="694" t="s">
        <v>105</v>
      </c>
      <c r="E197" s="557" t="str">
        <f>E184&amp;".12"</f>
        <v>15.12</v>
      </c>
      <c r="F197" s="551" t="s">
        <v>625</v>
      </c>
      <c r="G197" s="2342" t="s">
        <v>572</v>
      </c>
      <c r="H197" s="556"/>
      <c r="I197" s="556"/>
      <c r="J197" s="556">
        <v>169.842</v>
      </c>
      <c r="K197" s="556"/>
      <c r="L197" s="556"/>
      <c r="M197" s="1536" t="s">
        <v>573</v>
      </c>
      <c r="N197" s="745"/>
      <c r="O197" s="1653"/>
      <c r="P197" s="1653"/>
      <c r="Q197" s="1377"/>
      <c r="R197" s="1377"/>
      <c r="S197" s="1377"/>
      <c r="T197" s="1377"/>
      <c r="U197" s="1653"/>
      <c r="V197" s="1377"/>
      <c r="W197" s="1377"/>
      <c r="X197" s="747"/>
      <c r="Y197" s="1377"/>
      <c r="Z197" s="1377"/>
      <c r="AA197" s="1377"/>
      <c r="AB197" s="1377"/>
      <c r="AC197" s="1377"/>
      <c r="AD197" s="1643"/>
      <c r="AE197" s="1643"/>
      <c r="AF197" s="1643"/>
      <c r="AG197" s="1643"/>
      <c r="AH197" s="1643"/>
      <c r="AI197" s="1646">
        <v>0</v>
      </c>
    </row>
    <row s="1858" customFormat="1" customHeight="1" ht="22.5">
      <c r="A198" s="998"/>
      <c r="B198" s="1377"/>
      <c r="C198" s="1653"/>
      <c r="D198" s="694" t="s">
        <v>105</v>
      </c>
      <c r="E198" s="557" t="str">
        <f>E184&amp;".13"</f>
        <v>15.13</v>
      </c>
      <c r="F198" s="551" t="s">
        <v>626</v>
      </c>
      <c r="G198" s="2342" t="s">
        <v>572</v>
      </c>
      <c r="H198" s="556"/>
      <c r="I198" s="556"/>
      <c r="J198" s="556">
        <v>161.45</v>
      </c>
      <c r="K198" s="556"/>
      <c r="L198" s="556"/>
      <c r="M198" s="1536" t="s">
        <v>573</v>
      </c>
      <c r="N198" s="745"/>
      <c r="O198" s="1653"/>
      <c r="P198" s="1653"/>
      <c r="Q198" s="1377"/>
      <c r="R198" s="1377"/>
      <c r="S198" s="1377"/>
      <c r="T198" s="1377"/>
      <c r="U198" s="1653"/>
      <c r="V198" s="1377"/>
      <c r="W198" s="1377"/>
      <c r="X198" s="747"/>
      <c r="Y198" s="1377"/>
      <c r="Z198" s="1377"/>
      <c r="AA198" s="1377"/>
      <c r="AB198" s="1377"/>
      <c r="AC198" s="1377"/>
      <c r="AD198" s="1643"/>
      <c r="AE198" s="1643"/>
      <c r="AF198" s="1643"/>
      <c r="AG198" s="1643"/>
      <c r="AH198" s="1643"/>
      <c r="AI198" s="1646">
        <v>0</v>
      </c>
    </row>
    <row s="1858" customFormat="1" customHeight="1" ht="22.5">
      <c r="A199" s="998"/>
      <c r="B199" s="1377"/>
      <c r="C199" s="1653"/>
      <c r="D199" s="694" t="s">
        <v>105</v>
      </c>
      <c r="E199" s="557" t="str">
        <f>E184&amp;".14"</f>
        <v>15.14</v>
      </c>
      <c r="F199" s="551" t="s">
        <v>627</v>
      </c>
      <c r="G199" s="2342" t="s">
        <v>572</v>
      </c>
      <c r="H199" s="556"/>
      <c r="I199" s="556"/>
      <c r="J199" s="556">
        <v>172.7</v>
      </c>
      <c r="K199" s="556"/>
      <c r="L199" s="556"/>
      <c r="M199" s="1536" t="s">
        <v>573</v>
      </c>
      <c r="N199" s="745"/>
      <c r="O199" s="1653"/>
      <c r="P199" s="1653"/>
      <c r="Q199" s="1377"/>
      <c r="R199" s="1377"/>
      <c r="S199" s="1377"/>
      <c r="T199" s="1377"/>
      <c r="U199" s="1653"/>
      <c r="V199" s="1377"/>
      <c r="W199" s="1377"/>
      <c r="X199" s="747"/>
      <c r="Y199" s="1377"/>
      <c r="Z199" s="1377"/>
      <c r="AA199" s="1377"/>
      <c r="AB199" s="1377"/>
      <c r="AC199" s="1377"/>
      <c r="AD199" s="1643"/>
      <c r="AE199" s="1643"/>
      <c r="AF199" s="1643"/>
      <c r="AG199" s="1643"/>
      <c r="AH199" s="1643"/>
      <c r="AI199" s="1646">
        <v>0</v>
      </c>
    </row>
    <row s="1858" customFormat="1" customHeight="1" ht="22.5">
      <c r="A200" s="998"/>
      <c r="B200" s="1377"/>
      <c r="C200" s="1653"/>
      <c r="D200" s="694" t="s">
        <v>105</v>
      </c>
      <c r="E200" s="557" t="str">
        <f>E184&amp;".15"</f>
        <v>15.15</v>
      </c>
      <c r="F200" s="551" t="s">
        <v>628</v>
      </c>
      <c r="G200" s="2342" t="s">
        <v>572</v>
      </c>
      <c r="H200" s="556"/>
      <c r="I200" s="556"/>
      <c r="J200" s="556">
        <v>167.719</v>
      </c>
      <c r="K200" s="556"/>
      <c r="L200" s="556"/>
      <c r="M200" s="1536" t="s">
        <v>573</v>
      </c>
      <c r="N200" s="745"/>
      <c r="O200" s="1653"/>
      <c r="P200" s="1653"/>
      <c r="Q200" s="1377"/>
      <c r="R200" s="1377"/>
      <c r="S200" s="1377"/>
      <c r="T200" s="1377"/>
      <c r="U200" s="1653"/>
      <c r="V200" s="1377"/>
      <c r="W200" s="1377"/>
      <c r="X200" s="747"/>
      <c r="Y200" s="1377"/>
      <c r="Z200" s="1377"/>
      <c r="AA200" s="1377"/>
      <c r="AB200" s="1377"/>
      <c r="AC200" s="1377"/>
      <c r="AD200" s="1643"/>
      <c r="AE200" s="1643"/>
      <c r="AF200" s="1643"/>
      <c r="AG200" s="1643"/>
      <c r="AH200" s="1643"/>
      <c r="AI200" s="1646">
        <v>0</v>
      </c>
    </row>
    <row s="1858" customFormat="1" customHeight="1" ht="22.5">
      <c r="A201" s="998"/>
      <c r="B201" s="1377"/>
      <c r="C201" s="1653"/>
      <c r="D201" s="694" t="s">
        <v>105</v>
      </c>
      <c r="E201" s="557" t="str">
        <f>E184&amp;".16"</f>
        <v>15.16</v>
      </c>
      <c r="F201" s="551" t="s">
        <v>629</v>
      </c>
      <c r="G201" s="2342" t="s">
        <v>572</v>
      </c>
      <c r="H201" s="556"/>
      <c r="I201" s="556"/>
      <c r="J201" s="556">
        <v>172.591</v>
      </c>
      <c r="K201" s="556"/>
      <c r="L201" s="556"/>
      <c r="M201" s="1536" t="s">
        <v>573</v>
      </c>
      <c r="N201" s="745"/>
      <c r="O201" s="1653"/>
      <c r="P201" s="1653"/>
      <c r="Q201" s="1377"/>
      <c r="R201" s="1377"/>
      <c r="S201" s="1377"/>
      <c r="T201" s="1377"/>
      <c r="U201" s="1653"/>
      <c r="V201" s="1377"/>
      <c r="W201" s="1377"/>
      <c r="X201" s="747"/>
      <c r="Y201" s="1377"/>
      <c r="Z201" s="1377"/>
      <c r="AA201" s="1377"/>
      <c r="AB201" s="1377"/>
      <c r="AC201" s="1377"/>
      <c r="AD201" s="1643"/>
      <c r="AE201" s="1643"/>
      <c r="AF201" s="1643"/>
      <c r="AG201" s="1643"/>
      <c r="AH201" s="1643"/>
      <c r="AI201" s="1646">
        <v>0</v>
      </c>
    </row>
    <row s="1858" customFormat="1" customHeight="1" ht="22.5">
      <c r="A202" s="998"/>
      <c r="B202" s="1377"/>
      <c r="C202" s="1653"/>
      <c r="D202" s="694" t="s">
        <v>105</v>
      </c>
      <c r="E202" s="557" t="str">
        <f>E184&amp;".17"</f>
        <v>15.17</v>
      </c>
      <c r="F202" s="551" t="s">
        <v>630</v>
      </c>
      <c r="G202" s="2342" t="s">
        <v>572</v>
      </c>
      <c r="H202" s="556"/>
      <c r="I202" s="556"/>
      <c r="J202" s="556">
        <v>168.531</v>
      </c>
      <c r="K202" s="556"/>
      <c r="L202" s="556"/>
      <c r="M202" s="1536" t="s">
        <v>573</v>
      </c>
      <c r="N202" s="745"/>
      <c r="O202" s="1653"/>
      <c r="P202" s="1653"/>
      <c r="Q202" s="1377"/>
      <c r="R202" s="1377"/>
      <c r="S202" s="1377"/>
      <c r="T202" s="1377"/>
      <c r="U202" s="1653"/>
      <c r="V202" s="1377"/>
      <c r="W202" s="1377"/>
      <c r="X202" s="747"/>
      <c r="Y202" s="1377"/>
      <c r="Z202" s="1377"/>
      <c r="AA202" s="1377"/>
      <c r="AB202" s="1377"/>
      <c r="AC202" s="1377"/>
      <c r="AD202" s="1643"/>
      <c r="AE202" s="1643"/>
      <c r="AF202" s="1643"/>
      <c r="AG202" s="1643"/>
      <c r="AH202" s="1643"/>
      <c r="AI202" s="1646">
        <v>0</v>
      </c>
    </row>
    <row s="1858" customFormat="1" customHeight="1" ht="22.5">
      <c r="A203" s="998"/>
      <c r="B203" s="1377"/>
      <c r="C203" s="1653"/>
      <c r="D203" s="694" t="s">
        <v>105</v>
      </c>
      <c r="E203" s="557" t="str">
        <f>E184&amp;".18"</f>
        <v>15.18</v>
      </c>
      <c r="F203" s="551" t="s">
        <v>632</v>
      </c>
      <c r="G203" s="2342" t="s">
        <v>572</v>
      </c>
      <c r="H203" s="556"/>
      <c r="I203" s="556"/>
      <c r="J203" s="556">
        <v>168.652</v>
      </c>
      <c r="K203" s="556"/>
      <c r="L203" s="556"/>
      <c r="M203" s="1536" t="s">
        <v>573</v>
      </c>
      <c r="N203" s="745"/>
      <c r="O203" s="1653"/>
      <c r="P203" s="1653"/>
      <c r="Q203" s="1377"/>
      <c r="R203" s="1377"/>
      <c r="S203" s="1377"/>
      <c r="T203" s="1377"/>
      <c r="U203" s="1653"/>
      <c r="V203" s="1377"/>
      <c r="W203" s="1377"/>
      <c r="X203" s="747"/>
      <c r="Y203" s="1377"/>
      <c r="Z203" s="1377"/>
      <c r="AA203" s="1377"/>
      <c r="AB203" s="1377"/>
      <c r="AC203" s="1377"/>
      <c r="AD203" s="1643"/>
      <c r="AE203" s="1643"/>
      <c r="AF203" s="1643"/>
      <c r="AG203" s="1643"/>
      <c r="AH203" s="1643"/>
      <c r="AI203" s="1646">
        <v>0</v>
      </c>
    </row>
    <row s="1858" customFormat="1" customHeight="1" ht="22.5">
      <c r="A204" s="998"/>
      <c r="B204" s="1377"/>
      <c r="C204" s="1653"/>
      <c r="D204" s="694" t="s">
        <v>105</v>
      </c>
      <c r="E204" s="557" t="str">
        <f>E184&amp;".19"</f>
        <v>15.19</v>
      </c>
      <c r="F204" s="551" t="s">
        <v>633</v>
      </c>
      <c r="G204" s="2342" t="s">
        <v>572</v>
      </c>
      <c r="H204" s="556"/>
      <c r="I204" s="556"/>
      <c r="J204" s="556">
        <v>202.57</v>
      </c>
      <c r="K204" s="556"/>
      <c r="L204" s="556"/>
      <c r="M204" s="1536" t="s">
        <v>573</v>
      </c>
      <c r="N204" s="745"/>
      <c r="O204" s="1653"/>
      <c r="P204" s="1653"/>
      <c r="Q204" s="1377"/>
      <c r="R204" s="1377"/>
      <c r="S204" s="1377"/>
      <c r="T204" s="1377"/>
      <c r="U204" s="1653"/>
      <c r="V204" s="1377"/>
      <c r="W204" s="1377"/>
      <c r="X204" s="747"/>
      <c r="Y204" s="1377"/>
      <c r="Z204" s="1377"/>
      <c r="AA204" s="1377"/>
      <c r="AB204" s="1377"/>
      <c r="AC204" s="1377"/>
      <c r="AD204" s="1643"/>
      <c r="AE204" s="1643"/>
      <c r="AF204" s="1643"/>
      <c r="AG204" s="1643"/>
      <c r="AH204" s="1643"/>
      <c r="AI204" s="1646">
        <v>0</v>
      </c>
    </row>
    <row s="1858" customFormat="1" customHeight="1" ht="22.5">
      <c r="A205" s="998"/>
      <c r="B205" s="1377"/>
      <c r="C205" s="1653"/>
      <c r="D205" s="694" t="s">
        <v>105</v>
      </c>
      <c r="E205" s="557" t="str">
        <f>E184&amp;".20"</f>
        <v>15.20</v>
      </c>
      <c r="F205" s="551" t="s">
        <v>634</v>
      </c>
      <c r="G205" s="2342" t="s">
        <v>572</v>
      </c>
      <c r="H205" s="556"/>
      <c r="I205" s="556"/>
      <c r="J205" s="556"/>
      <c r="K205" s="556">
        <v>184.284</v>
      </c>
      <c r="L205" s="556"/>
      <c r="M205" s="1536" t="s">
        <v>573</v>
      </c>
      <c r="N205" s="745"/>
      <c r="O205" s="1653"/>
      <c r="P205" s="1653"/>
      <c r="Q205" s="1377"/>
      <c r="R205" s="1377"/>
      <c r="S205" s="1377"/>
      <c r="T205" s="1377"/>
      <c r="U205" s="1653"/>
      <c r="V205" s="1377"/>
      <c r="W205" s="1377"/>
      <c r="X205" s="747"/>
      <c r="Y205" s="1377"/>
      <c r="Z205" s="1377"/>
      <c r="AA205" s="1377"/>
      <c r="AB205" s="1377"/>
      <c r="AC205" s="1377"/>
      <c r="AD205" s="1643"/>
      <c r="AE205" s="1643"/>
      <c r="AF205" s="1643"/>
      <c r="AG205" s="1643"/>
      <c r="AH205" s="1643"/>
      <c r="AI205" s="1646">
        <v>0</v>
      </c>
    </row>
    <row s="1858" customFormat="1" customHeight="1" ht="22.5">
      <c r="A206" s="998"/>
      <c r="B206" s="1377"/>
      <c r="C206" s="1653"/>
      <c r="D206" s="694" t="s">
        <v>105</v>
      </c>
      <c r="E206" s="557" t="str">
        <f>E184&amp;".21"</f>
        <v>15.21</v>
      </c>
      <c r="F206" s="551" t="s">
        <v>635</v>
      </c>
      <c r="G206" s="2342" t="s">
        <v>572</v>
      </c>
      <c r="H206" s="556"/>
      <c r="I206" s="556"/>
      <c r="J206" s="556"/>
      <c r="K206" s="556">
        <v>168.618</v>
      </c>
      <c r="L206" s="556"/>
      <c r="M206" s="1536" t="s">
        <v>573</v>
      </c>
      <c r="N206" s="745"/>
      <c r="O206" s="1653"/>
      <c r="P206" s="1653"/>
      <c r="Q206" s="1377"/>
      <c r="R206" s="1377"/>
      <c r="S206" s="1377"/>
      <c r="T206" s="1377"/>
      <c r="U206" s="1653"/>
      <c r="V206" s="1377"/>
      <c r="W206" s="1377"/>
      <c r="X206" s="747"/>
      <c r="Y206" s="1377"/>
      <c r="Z206" s="1377"/>
      <c r="AA206" s="1377"/>
      <c r="AB206" s="1377"/>
      <c r="AC206" s="1377"/>
      <c r="AD206" s="1643"/>
      <c r="AE206" s="1643"/>
      <c r="AF206" s="1643"/>
      <c r="AG206" s="1643"/>
      <c r="AH206" s="1643"/>
      <c r="AI206" s="1646">
        <v>0</v>
      </c>
    </row>
    <row s="1858" customFormat="1" customHeight="1" ht="22.5">
      <c r="A207" s="998"/>
      <c r="B207" s="1377"/>
      <c r="C207" s="1653"/>
      <c r="D207" s="694" t="s">
        <v>105</v>
      </c>
      <c r="E207" s="557" t="str">
        <f>E184&amp;".22"</f>
        <v>15.22</v>
      </c>
      <c r="F207" s="551" t="s">
        <v>636</v>
      </c>
      <c r="G207" s="2342" t="s">
        <v>572</v>
      </c>
      <c r="H207" s="556"/>
      <c r="I207" s="556"/>
      <c r="J207" s="556"/>
      <c r="K207" s="556">
        <v>179.376</v>
      </c>
      <c r="L207" s="556"/>
      <c r="M207" s="1536" t="s">
        <v>573</v>
      </c>
      <c r="N207" s="745"/>
      <c r="O207" s="1653"/>
      <c r="P207" s="1653"/>
      <c r="Q207" s="1377"/>
      <c r="R207" s="1377"/>
      <c r="S207" s="1377"/>
      <c r="T207" s="1377"/>
      <c r="U207" s="1653"/>
      <c r="V207" s="1377"/>
      <c r="W207" s="1377"/>
      <c r="X207" s="747"/>
      <c r="Y207" s="1377"/>
      <c r="Z207" s="1377"/>
      <c r="AA207" s="1377"/>
      <c r="AB207" s="1377"/>
      <c r="AC207" s="1377"/>
      <c r="AD207" s="1643"/>
      <c r="AE207" s="1643"/>
      <c r="AF207" s="1643"/>
      <c r="AG207" s="1643"/>
      <c r="AH207" s="1643"/>
      <c r="AI207" s="1646">
        <v>0</v>
      </c>
    </row>
    <row s="1858" customFormat="1" customHeight="1" ht="22.5">
      <c r="A208" s="998"/>
      <c r="B208" s="1377"/>
      <c r="C208" s="1653"/>
      <c r="D208" s="694" t="s">
        <v>105</v>
      </c>
      <c r="E208" s="557" t="str">
        <f>E184&amp;".23"</f>
        <v>15.23</v>
      </c>
      <c r="F208" s="551" t="s">
        <v>637</v>
      </c>
      <c r="G208" s="2342" t="s">
        <v>572</v>
      </c>
      <c r="H208" s="556"/>
      <c r="I208" s="556"/>
      <c r="J208" s="556"/>
      <c r="K208" s="556">
        <v>173.847</v>
      </c>
      <c r="L208" s="556"/>
      <c r="M208" s="1536" t="s">
        <v>573</v>
      </c>
      <c r="N208" s="745"/>
      <c r="O208" s="1653"/>
      <c r="P208" s="1653"/>
      <c r="Q208" s="1377"/>
      <c r="R208" s="1377"/>
      <c r="S208" s="1377"/>
      <c r="T208" s="1377"/>
      <c r="U208" s="1653"/>
      <c r="V208" s="1377"/>
      <c r="W208" s="1377"/>
      <c r="X208" s="747"/>
      <c r="Y208" s="1377"/>
      <c r="Z208" s="1377"/>
      <c r="AA208" s="1377"/>
      <c r="AB208" s="1377"/>
      <c r="AC208" s="1377"/>
      <c r="AD208" s="1643"/>
      <c r="AE208" s="1643"/>
      <c r="AF208" s="1643"/>
      <c r="AG208" s="1643"/>
      <c r="AH208" s="1643"/>
      <c r="AI208" s="1646">
        <v>0</v>
      </c>
    </row>
    <row s="1858" customFormat="1" customHeight="1" ht="22.5">
      <c r="A209" s="998"/>
      <c r="B209" s="1377"/>
      <c r="C209" s="1653"/>
      <c r="D209" s="694" t="s">
        <v>105</v>
      </c>
      <c r="E209" s="557" t="str">
        <f>E184&amp;".24"</f>
        <v>15.24</v>
      </c>
      <c r="F209" s="551" t="s">
        <v>638</v>
      </c>
      <c r="G209" s="2342" t="s">
        <v>572</v>
      </c>
      <c r="H209" s="556"/>
      <c r="I209" s="556"/>
      <c r="J209" s="556"/>
      <c r="K209" s="556">
        <v>174.862</v>
      </c>
      <c r="L209" s="556"/>
      <c r="M209" s="1536" t="s">
        <v>573</v>
      </c>
      <c r="N209" s="745"/>
      <c r="O209" s="1653"/>
      <c r="P209" s="1653"/>
      <c r="Q209" s="1377"/>
      <c r="R209" s="1377"/>
      <c r="S209" s="1377"/>
      <c r="T209" s="1377"/>
      <c r="U209" s="1653"/>
      <c r="V209" s="1377"/>
      <c r="W209" s="1377"/>
      <c r="X209" s="747"/>
      <c r="Y209" s="1377"/>
      <c r="Z209" s="1377"/>
      <c r="AA209" s="1377"/>
      <c r="AB209" s="1377"/>
      <c r="AC209" s="1377"/>
      <c r="AD209" s="1643"/>
      <c r="AE209" s="1643"/>
      <c r="AF209" s="1643"/>
      <c r="AG209" s="1643"/>
      <c r="AH209" s="1643"/>
      <c r="AI209" s="1646">
        <v>0</v>
      </c>
    </row>
    <row s="1858" customFormat="1" customHeight="1" ht="22.5">
      <c r="A210" s="998"/>
      <c r="B210" s="1377"/>
      <c r="C210" s="1653"/>
      <c r="D210" s="694" t="s">
        <v>105</v>
      </c>
      <c r="E210" s="557" t="str">
        <f>E184&amp;".25"</f>
        <v>15.25</v>
      </c>
      <c r="F210" s="551" t="s">
        <v>639</v>
      </c>
      <c r="G210" s="2342" t="s">
        <v>572</v>
      </c>
      <c r="H210" s="556"/>
      <c r="I210" s="556"/>
      <c r="J210" s="556"/>
      <c r="K210" s="556">
        <v>180.844</v>
      </c>
      <c r="L210" s="556"/>
      <c r="M210" s="1536" t="s">
        <v>573</v>
      </c>
      <c r="N210" s="745"/>
      <c r="O210" s="1653"/>
      <c r="P210" s="1653"/>
      <c r="Q210" s="1377"/>
      <c r="R210" s="1377"/>
      <c r="S210" s="1377"/>
      <c r="T210" s="1377"/>
      <c r="U210" s="1653"/>
      <c r="V210" s="1377"/>
      <c r="W210" s="1377"/>
      <c r="X210" s="747"/>
      <c r="Y210" s="1377"/>
      <c r="Z210" s="1377"/>
      <c r="AA210" s="1377"/>
      <c r="AB210" s="1377"/>
      <c r="AC210" s="1377"/>
      <c r="AD210" s="1643"/>
      <c r="AE210" s="1643"/>
      <c r="AF210" s="1643"/>
      <c r="AG210" s="1643"/>
      <c r="AH210" s="1643"/>
      <c r="AI210" s="1646">
        <v>0</v>
      </c>
    </row>
    <row s="1858" customFormat="1" customHeight="1" ht="22.5">
      <c r="A211" s="998"/>
      <c r="B211" s="1377"/>
      <c r="C211" s="1653"/>
      <c r="D211" s="694" t="s">
        <v>105</v>
      </c>
      <c r="E211" s="557" t="str">
        <f>E184&amp;".26"</f>
        <v>15.26</v>
      </c>
      <c r="F211" s="551" t="s">
        <v>640</v>
      </c>
      <c r="G211" s="2342" t="s">
        <v>572</v>
      </c>
      <c r="H211" s="556"/>
      <c r="I211" s="556"/>
      <c r="J211" s="556"/>
      <c r="K211" s="556">
        <v>181.673</v>
      </c>
      <c r="L211" s="556"/>
      <c r="M211" s="1536" t="s">
        <v>573</v>
      </c>
      <c r="N211" s="745"/>
      <c r="O211" s="1653"/>
      <c r="P211" s="1653"/>
      <c r="Q211" s="1377"/>
      <c r="R211" s="1377"/>
      <c r="S211" s="1377"/>
      <c r="T211" s="1377"/>
      <c r="U211" s="1653"/>
      <c r="V211" s="1377"/>
      <c r="W211" s="1377"/>
      <c r="X211" s="747"/>
      <c r="Y211" s="1377"/>
      <c r="Z211" s="1377"/>
      <c r="AA211" s="1377"/>
      <c r="AB211" s="1377"/>
      <c r="AC211" s="1377"/>
      <c r="AD211" s="1643"/>
      <c r="AE211" s="1643"/>
      <c r="AF211" s="1643"/>
      <c r="AG211" s="1643"/>
      <c r="AH211" s="1643"/>
      <c r="AI211" s="1646">
        <v>0</v>
      </c>
    </row>
    <row s="1858" customFormat="1" customHeight="1" ht="22.5">
      <c r="A212" s="998"/>
      <c r="B212" s="1377"/>
      <c r="C212" s="1653"/>
      <c r="D212" s="694" t="s">
        <v>105</v>
      </c>
      <c r="E212" s="557" t="str">
        <f>E184&amp;".27"</f>
        <v>15.27</v>
      </c>
      <c r="F212" s="551" t="s">
        <v>641</v>
      </c>
      <c r="G212" s="2342" t="s">
        <v>572</v>
      </c>
      <c r="H212" s="556"/>
      <c r="I212" s="556"/>
      <c r="J212" s="556"/>
      <c r="K212" s="556">
        <v>168.477</v>
      </c>
      <c r="L212" s="556"/>
      <c r="M212" s="1536" t="s">
        <v>573</v>
      </c>
      <c r="N212" s="745"/>
      <c r="O212" s="1653"/>
      <c r="P212" s="1653"/>
      <c r="Q212" s="1377"/>
      <c r="R212" s="1377"/>
      <c r="S212" s="1377"/>
      <c r="T212" s="1377"/>
      <c r="U212" s="1653"/>
      <c r="V212" s="1377"/>
      <c r="W212" s="1377"/>
      <c r="X212" s="747"/>
      <c r="Y212" s="1377"/>
      <c r="Z212" s="1377"/>
      <c r="AA212" s="1377"/>
      <c r="AB212" s="1377"/>
      <c r="AC212" s="1377"/>
      <c r="AD212" s="1643"/>
      <c r="AE212" s="1643"/>
      <c r="AF212" s="1643"/>
      <c r="AG212" s="1643"/>
      <c r="AH212" s="1643"/>
      <c r="AI212" s="1646">
        <v>0</v>
      </c>
    </row>
    <row s="1858" customFormat="1" customHeight="1" ht="22.5">
      <c r="A213" s="998"/>
      <c r="B213" s="1377"/>
      <c r="C213" s="1653"/>
      <c r="D213" s="694" t="s">
        <v>105</v>
      </c>
      <c r="E213" s="557" t="str">
        <f>E184&amp;".28"</f>
        <v>15.28</v>
      </c>
      <c r="F213" s="551" t="s">
        <v>642</v>
      </c>
      <c r="G213" s="2342" t="s">
        <v>572</v>
      </c>
      <c r="H213" s="556"/>
      <c r="I213" s="556"/>
      <c r="J213" s="556"/>
      <c r="K213" s="556"/>
      <c r="L213" s="556">
        <v>176.784</v>
      </c>
      <c r="M213" s="1536" t="s">
        <v>573</v>
      </c>
      <c r="N213" s="745"/>
      <c r="O213" s="1653"/>
      <c r="P213" s="1653"/>
      <c r="Q213" s="1377"/>
      <c r="R213" s="1377"/>
      <c r="S213" s="1377"/>
      <c r="T213" s="1377"/>
      <c r="U213" s="1653"/>
      <c r="V213" s="1377"/>
      <c r="W213" s="1377"/>
      <c r="X213" s="747"/>
      <c r="Y213" s="1377"/>
      <c r="Z213" s="1377"/>
      <c r="AA213" s="1377"/>
      <c r="AB213" s="1377"/>
      <c r="AC213" s="1377"/>
      <c r="AD213" s="1643"/>
      <c r="AE213" s="1643"/>
      <c r="AF213" s="1643"/>
      <c r="AG213" s="1643"/>
      <c r="AH213" s="1643"/>
      <c r="AI213" s="1646">
        <v>0</v>
      </c>
    </row>
    <row s="1858" customFormat="1" customHeight="1" ht="22.5">
      <c r="A214" s="998"/>
      <c r="B214" s="1377"/>
      <c r="C214" s="1653"/>
      <c r="D214" s="694" t="s">
        <v>105</v>
      </c>
      <c r="E214" s="557" t="str">
        <f>E184&amp;".29"</f>
        <v>15.29</v>
      </c>
      <c r="F214" s="551" t="s">
        <v>643</v>
      </c>
      <c r="G214" s="2342" t="s">
        <v>572</v>
      </c>
      <c r="H214" s="556"/>
      <c r="I214" s="556"/>
      <c r="J214" s="556"/>
      <c r="K214" s="556"/>
      <c r="L214" s="556">
        <v>169.41</v>
      </c>
      <c r="M214" s="1536" t="s">
        <v>573</v>
      </c>
      <c r="N214" s="745"/>
      <c r="O214" s="1653"/>
      <c r="P214" s="1653"/>
      <c r="Q214" s="1377"/>
      <c r="R214" s="1377"/>
      <c r="S214" s="1377"/>
      <c r="T214" s="1377"/>
      <c r="U214" s="1653"/>
      <c r="V214" s="1377"/>
      <c r="W214" s="1377"/>
      <c r="X214" s="747"/>
      <c r="Y214" s="1377"/>
      <c r="Z214" s="1377"/>
      <c r="AA214" s="1377"/>
      <c r="AB214" s="1377"/>
      <c r="AC214" s="1377"/>
      <c r="AD214" s="1643"/>
      <c r="AE214" s="1643"/>
      <c r="AF214" s="1643"/>
      <c r="AG214" s="1643"/>
      <c r="AH214" s="1643"/>
      <c r="AI214" s="1646">
        <v>0</v>
      </c>
    </row>
    <row s="1858" customFormat="1" customHeight="1" ht="22.5">
      <c r="A215" s="998"/>
      <c r="B215" s="1377"/>
      <c r="C215" s="1653"/>
      <c r="D215" s="694" t="s">
        <v>105</v>
      </c>
      <c r="E215" s="557" t="str">
        <f>E184&amp;".30"</f>
        <v>15.30</v>
      </c>
      <c r="F215" s="551" t="s">
        <v>644</v>
      </c>
      <c r="G215" s="2342" t="s">
        <v>572</v>
      </c>
      <c r="H215" s="556"/>
      <c r="I215" s="556"/>
      <c r="J215" s="556"/>
      <c r="K215" s="556"/>
      <c r="L215" s="556">
        <v>183.067</v>
      </c>
      <c r="M215" s="1536" t="s">
        <v>573</v>
      </c>
      <c r="N215" s="745"/>
      <c r="O215" s="1653"/>
      <c r="P215" s="1653"/>
      <c r="Q215" s="1377"/>
      <c r="R215" s="1377"/>
      <c r="S215" s="1377"/>
      <c r="T215" s="1377"/>
      <c r="U215" s="1653"/>
      <c r="V215" s="1377"/>
      <c r="W215" s="1377"/>
      <c r="X215" s="747"/>
      <c r="Y215" s="1377"/>
      <c r="Z215" s="1377"/>
      <c r="AA215" s="1377"/>
      <c r="AB215" s="1377"/>
      <c r="AC215" s="1377"/>
      <c r="AD215" s="1643"/>
      <c r="AE215" s="1643"/>
      <c r="AF215" s="1643"/>
      <c r="AG215" s="1643"/>
      <c r="AH215" s="1643"/>
      <c r="AI215" s="1646">
        <v>0</v>
      </c>
    </row>
    <row s="1858" customFormat="1" customHeight="1" ht="22.5">
      <c r="A216" s="998"/>
      <c r="B216" s="1377"/>
      <c r="C216" s="1653"/>
      <c r="D216" s="694" t="s">
        <v>105</v>
      </c>
      <c r="E216" s="557" t="str">
        <f>E184&amp;".31"</f>
        <v>15.31</v>
      </c>
      <c r="F216" s="551" t="s">
        <v>645</v>
      </c>
      <c r="G216" s="2342" t="s">
        <v>572</v>
      </c>
      <c r="H216" s="556"/>
      <c r="I216" s="556"/>
      <c r="J216" s="556"/>
      <c r="K216" s="556"/>
      <c r="L216" s="556">
        <v>206.946</v>
      </c>
      <c r="M216" s="1536" t="s">
        <v>573</v>
      </c>
      <c r="N216" s="745"/>
      <c r="O216" s="1653"/>
      <c r="P216" s="1653"/>
      <c r="Q216" s="1377"/>
      <c r="R216" s="1377"/>
      <c r="S216" s="1377"/>
      <c r="T216" s="1377"/>
      <c r="U216" s="1653"/>
      <c r="V216" s="1377"/>
      <c r="W216" s="1377"/>
      <c r="X216" s="747"/>
      <c r="Y216" s="1377"/>
      <c r="Z216" s="1377"/>
      <c r="AA216" s="1377"/>
      <c r="AB216" s="1377"/>
      <c r="AC216" s="1377"/>
      <c r="AD216" s="1643"/>
      <c r="AE216" s="1643"/>
      <c r="AF216" s="1643"/>
      <c r="AG216" s="1643"/>
      <c r="AH216" s="1643"/>
      <c r="AI216" s="1646">
        <v>0</v>
      </c>
    </row>
    <row s="1858" customFormat="1" customHeight="1" ht="22.5">
      <c r="A217" s="998"/>
      <c r="B217" s="1377"/>
      <c r="C217" s="1653"/>
      <c r="D217" s="694" t="s">
        <v>105</v>
      </c>
      <c r="E217" s="557" t="str">
        <f>E184&amp;".32"</f>
        <v>15.32</v>
      </c>
      <c r="F217" s="551" t="s">
        <v>646</v>
      </c>
      <c r="G217" s="2342" t="s">
        <v>572</v>
      </c>
      <c r="H217" s="556"/>
      <c r="I217" s="556"/>
      <c r="J217" s="556"/>
      <c r="K217" s="556"/>
      <c r="L217" s="556">
        <v>178.055</v>
      </c>
      <c r="M217" s="1536" t="s">
        <v>573</v>
      </c>
      <c r="N217" s="745"/>
      <c r="O217" s="1653"/>
      <c r="P217" s="1653"/>
      <c r="Q217" s="1377"/>
      <c r="R217" s="1377"/>
      <c r="S217" s="1377"/>
      <c r="T217" s="1377"/>
      <c r="U217" s="1653"/>
      <c r="V217" s="1377"/>
      <c r="W217" s="1377"/>
      <c r="X217" s="747"/>
      <c r="Y217" s="1377"/>
      <c r="Z217" s="1377"/>
      <c r="AA217" s="1377"/>
      <c r="AB217" s="1377"/>
      <c r="AC217" s="1377"/>
      <c r="AD217" s="1643"/>
      <c r="AE217" s="1643"/>
      <c r="AF217" s="1643"/>
      <c r="AG217" s="1643"/>
      <c r="AH217" s="1643"/>
      <c r="AI217" s="1646">
        <v>0</v>
      </c>
    </row>
    <row customHeight="1" ht="15">
      <c r="A218" s="2401"/>
      <c r="D218" s="1644"/>
      <c r="E218" s="581"/>
      <c r="F218" s="1179" t="s">
        <v>647</v>
      </c>
      <c r="G218" s="583"/>
      <c r="H218" s="584"/>
      <c r="I218" s="584"/>
      <c r="J218" s="2679"/>
      <c r="K218" s="2680"/>
      <c r="L218" s="2681"/>
      <c r="M218" s="1015" t="s">
        <v>658</v>
      </c>
      <c r="N218" s="554"/>
      <c r="AI218" s="1642">
        <v>0</v>
      </c>
    </row>
    <row customHeight="1" ht="78">
      <c r="A219" s="2401"/>
      <c r="D219" s="1649"/>
      <c r="E219" s="557" t="str">
        <f>FHD_NUM_P_79</f>
        <v>16</v>
      </c>
      <c r="F219" s="188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219" s="1886" t="s">
        <v>574</v>
      </c>
      <c r="H219" s="588"/>
      <c r="I219" s="588">
        <v>152.499</v>
      </c>
      <c r="J219" s="588">
        <v>164.91</v>
      </c>
      <c r="K219" s="588">
        <v>175.477</v>
      </c>
      <c r="L219" s="588">
        <v>178.755</v>
      </c>
      <c r="M219" s="30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219" s="554"/>
      <c r="AI219" s="1642">
        <v>0</v>
      </c>
    </row>
    <row s="1653" customFormat="1" customHeight="1" ht="0">
      <c r="A220" s="2401"/>
      <c r="D220" s="559"/>
      <c r="E220" s="1024" t="str">
        <f>E219&amp;".0"</f>
        <v>16.0</v>
      </c>
      <c r="F220" s="1009"/>
      <c r="G220" s="1662"/>
      <c r="H220" s="1003"/>
      <c r="I220" s="1003"/>
      <c r="J220" s="1003"/>
      <c r="K220" s="1003"/>
      <c r="L220" s="1003"/>
      <c r="M220" s="1007"/>
      <c r="AI220" s="1647">
        <v>0</v>
      </c>
    </row>
    <row s="1858" customFormat="1" customHeight="1" ht="22.5">
      <c r="A221" s="998"/>
      <c r="B221" s="1377"/>
      <c r="C221" s="1653"/>
      <c r="D221" s="694" t="s">
        <v>105</v>
      </c>
      <c r="E221" s="557" t="str">
        <f>E219&amp;".1"</f>
        <v>16.1</v>
      </c>
      <c r="F221" s="551" t="s">
        <v>614</v>
      </c>
      <c r="G221" s="2342" t="s">
        <v>574</v>
      </c>
      <c r="H221" s="556"/>
      <c r="I221" s="556">
        <v>152.116</v>
      </c>
      <c r="J221" s="556"/>
      <c r="K221" s="556"/>
      <c r="L221" s="556"/>
      <c r="M221" s="1536" t="s">
        <v>575</v>
      </c>
      <c r="N221" s="745"/>
      <c r="O221" s="1653"/>
      <c r="P221" s="1653"/>
      <c r="Q221" s="1377"/>
      <c r="R221" s="1377"/>
      <c r="S221" s="1377"/>
      <c r="T221" s="1377"/>
      <c r="U221" s="1653"/>
      <c r="V221" s="1377"/>
      <c r="W221" s="1377"/>
      <c r="X221" s="747"/>
      <c r="Y221" s="1377"/>
      <c r="Z221" s="1377"/>
      <c r="AA221" s="1377"/>
      <c r="AB221" s="1377"/>
      <c r="AC221" s="1377"/>
      <c r="AD221" s="1643"/>
      <c r="AE221" s="1643"/>
      <c r="AF221" s="1643"/>
      <c r="AG221" s="1643"/>
      <c r="AH221" s="1643"/>
      <c r="AI221" s="1646">
        <v>0</v>
      </c>
    </row>
    <row s="1858" customFormat="1" customHeight="1" ht="22.5">
      <c r="A222" s="998"/>
      <c r="B222" s="1377"/>
      <c r="C222" s="1653"/>
      <c r="D222" s="694" t="s">
        <v>105</v>
      </c>
      <c r="E222" s="557" t="str">
        <f>E219&amp;".2"</f>
        <v>16.2</v>
      </c>
      <c r="F222" s="551" t="s">
        <v>615</v>
      </c>
      <c r="G222" s="2342" t="s">
        <v>574</v>
      </c>
      <c r="H222" s="556"/>
      <c r="I222" s="556">
        <v>156.519</v>
      </c>
      <c r="J222" s="556"/>
      <c r="K222" s="556"/>
      <c r="L222" s="556"/>
      <c r="M222" s="1536" t="s">
        <v>575</v>
      </c>
      <c r="N222" s="745"/>
      <c r="O222" s="1653"/>
      <c r="P222" s="1653"/>
      <c r="Q222" s="1377"/>
      <c r="R222" s="1377"/>
      <c r="S222" s="1377"/>
      <c r="T222" s="1377"/>
      <c r="U222" s="1653"/>
      <c r="V222" s="1377"/>
      <c r="W222" s="1377"/>
      <c r="X222" s="747"/>
      <c r="Y222" s="1377"/>
      <c r="Z222" s="1377"/>
      <c r="AA222" s="1377"/>
      <c r="AB222" s="1377"/>
      <c r="AC222" s="1377"/>
      <c r="AD222" s="1643"/>
      <c r="AE222" s="1643"/>
      <c r="AF222" s="1643"/>
      <c r="AG222" s="1643"/>
      <c r="AH222" s="1643"/>
      <c r="AI222" s="1646">
        <v>0</v>
      </c>
    </row>
    <row s="1858" customFormat="1" customHeight="1" ht="22.5">
      <c r="A223" s="998"/>
      <c r="B223" s="1377"/>
      <c r="C223" s="1653"/>
      <c r="D223" s="694" t="s">
        <v>105</v>
      </c>
      <c r="E223" s="557" t="str">
        <f>E219&amp;".3"</f>
        <v>16.3</v>
      </c>
      <c r="F223" s="551" t="s">
        <v>616</v>
      </c>
      <c r="G223" s="2342" t="s">
        <v>574</v>
      </c>
      <c r="H223" s="556"/>
      <c r="I223" s="556"/>
      <c r="J223" s="556">
        <v>164.408</v>
      </c>
      <c r="K223" s="556"/>
      <c r="L223" s="556"/>
      <c r="M223" s="1536" t="s">
        <v>575</v>
      </c>
      <c r="N223" s="745"/>
      <c r="O223" s="1653"/>
      <c r="P223" s="1653"/>
      <c r="Q223" s="1377"/>
      <c r="R223" s="1377"/>
      <c r="S223" s="1377"/>
      <c r="T223" s="1377"/>
      <c r="U223" s="1653"/>
      <c r="V223" s="1377"/>
      <c r="W223" s="1377"/>
      <c r="X223" s="747"/>
      <c r="Y223" s="1377"/>
      <c r="Z223" s="1377"/>
      <c r="AA223" s="1377"/>
      <c r="AB223" s="1377"/>
      <c r="AC223" s="1377"/>
      <c r="AD223" s="1643"/>
      <c r="AE223" s="1643"/>
      <c r="AF223" s="1643"/>
      <c r="AG223" s="1643"/>
      <c r="AH223" s="1643"/>
      <c r="AI223" s="1646">
        <v>0</v>
      </c>
    </row>
    <row s="1858" customFormat="1" customHeight="1" ht="22.5">
      <c r="A224" s="998"/>
      <c r="B224" s="1377"/>
      <c r="C224" s="1653"/>
      <c r="D224" s="694" t="s">
        <v>105</v>
      </c>
      <c r="E224" s="557" t="str">
        <f>E219&amp;".4"</f>
        <v>16.4</v>
      </c>
      <c r="F224" s="551" t="s">
        <v>617</v>
      </c>
      <c r="G224" s="2342" t="s">
        <v>574</v>
      </c>
      <c r="H224" s="556"/>
      <c r="I224" s="556"/>
      <c r="J224" s="556">
        <v>165.003</v>
      </c>
      <c r="K224" s="556"/>
      <c r="L224" s="556"/>
      <c r="M224" s="1536" t="s">
        <v>575</v>
      </c>
      <c r="N224" s="745"/>
      <c r="O224" s="1653"/>
      <c r="P224" s="1653"/>
      <c r="Q224" s="1377"/>
      <c r="R224" s="1377"/>
      <c r="S224" s="1377"/>
      <c r="T224" s="1377"/>
      <c r="U224" s="1653"/>
      <c r="V224" s="1377"/>
      <c r="W224" s="1377"/>
      <c r="X224" s="747"/>
      <c r="Y224" s="1377"/>
      <c r="Z224" s="1377"/>
      <c r="AA224" s="1377"/>
      <c r="AB224" s="1377"/>
      <c r="AC224" s="1377"/>
      <c r="AD224" s="1643"/>
      <c r="AE224" s="1643"/>
      <c r="AF224" s="1643"/>
      <c r="AG224" s="1643"/>
      <c r="AH224" s="1643"/>
      <c r="AI224" s="1646">
        <v>0</v>
      </c>
    </row>
    <row s="1858" customFormat="1" customHeight="1" ht="22.5">
      <c r="A225" s="998"/>
      <c r="B225" s="1377"/>
      <c r="C225" s="1653"/>
      <c r="D225" s="694" t="s">
        <v>105</v>
      </c>
      <c r="E225" s="557" t="str">
        <f>E219&amp;".5"</f>
        <v>16.5</v>
      </c>
      <c r="F225" s="551" t="s">
        <v>618</v>
      </c>
      <c r="G225" s="2342" t="s">
        <v>574</v>
      </c>
      <c r="H225" s="556"/>
      <c r="I225" s="556"/>
      <c r="J225" s="556">
        <v>155.754</v>
      </c>
      <c r="K225" s="556"/>
      <c r="L225" s="556"/>
      <c r="M225" s="1536" t="s">
        <v>575</v>
      </c>
      <c r="N225" s="745"/>
      <c r="O225" s="1653"/>
      <c r="P225" s="1653"/>
      <c r="Q225" s="1377"/>
      <c r="R225" s="1377"/>
      <c r="S225" s="1377"/>
      <c r="T225" s="1377"/>
      <c r="U225" s="1653"/>
      <c r="V225" s="1377"/>
      <c r="W225" s="1377"/>
      <c r="X225" s="747"/>
      <c r="Y225" s="1377"/>
      <c r="Z225" s="1377"/>
      <c r="AA225" s="1377"/>
      <c r="AB225" s="1377"/>
      <c r="AC225" s="1377"/>
      <c r="AD225" s="1643"/>
      <c r="AE225" s="1643"/>
      <c r="AF225" s="1643"/>
      <c r="AG225" s="1643"/>
      <c r="AH225" s="1643"/>
      <c r="AI225" s="1646">
        <v>0</v>
      </c>
    </row>
    <row s="1858" customFormat="1" customHeight="1" ht="22.5">
      <c r="A226" s="998"/>
      <c r="B226" s="1377"/>
      <c r="C226" s="1653"/>
      <c r="D226" s="694" t="s">
        <v>105</v>
      </c>
      <c r="E226" s="557" t="str">
        <f>E219&amp;".6"</f>
        <v>16.6</v>
      </c>
      <c r="F226" s="551" t="s">
        <v>619</v>
      </c>
      <c r="G226" s="2342" t="s">
        <v>574</v>
      </c>
      <c r="H226" s="556"/>
      <c r="I226" s="556"/>
      <c r="J226" s="556">
        <v>151.283</v>
      </c>
      <c r="K226" s="556"/>
      <c r="L226" s="556"/>
      <c r="M226" s="1536" t="s">
        <v>575</v>
      </c>
      <c r="N226" s="745"/>
      <c r="O226" s="1653"/>
      <c r="P226" s="1653"/>
      <c r="Q226" s="1377"/>
      <c r="R226" s="1377"/>
      <c r="S226" s="1377"/>
      <c r="T226" s="1377"/>
      <c r="U226" s="1653"/>
      <c r="V226" s="1377"/>
      <c r="W226" s="1377"/>
      <c r="X226" s="747"/>
      <c r="Y226" s="1377"/>
      <c r="Z226" s="1377"/>
      <c r="AA226" s="1377"/>
      <c r="AB226" s="1377"/>
      <c r="AC226" s="1377"/>
      <c r="AD226" s="1643"/>
      <c r="AE226" s="1643"/>
      <c r="AF226" s="1643"/>
      <c r="AG226" s="1643"/>
      <c r="AH226" s="1643"/>
      <c r="AI226" s="1646">
        <v>0</v>
      </c>
    </row>
    <row s="1858" customFormat="1" customHeight="1" ht="22.5">
      <c r="A227" s="998"/>
      <c r="B227" s="1377"/>
      <c r="C227" s="1653"/>
      <c r="D227" s="694" t="s">
        <v>105</v>
      </c>
      <c r="E227" s="557" t="str">
        <f>E219&amp;".7"</f>
        <v>16.7</v>
      </c>
      <c r="F227" s="551" t="s">
        <v>620</v>
      </c>
      <c r="G227" s="2342" t="s">
        <v>574</v>
      </c>
      <c r="H227" s="556"/>
      <c r="I227" s="556"/>
      <c r="J227" s="556">
        <v>158.077</v>
      </c>
      <c r="K227" s="556"/>
      <c r="L227" s="556"/>
      <c r="M227" s="1536" t="s">
        <v>575</v>
      </c>
      <c r="N227" s="745"/>
      <c r="O227" s="1653"/>
      <c r="P227" s="1653"/>
      <c r="Q227" s="1377"/>
      <c r="R227" s="1377"/>
      <c r="S227" s="1377"/>
      <c r="T227" s="1377"/>
      <c r="U227" s="1653"/>
      <c r="V227" s="1377"/>
      <c r="W227" s="1377"/>
      <c r="X227" s="747"/>
      <c r="Y227" s="1377"/>
      <c r="Z227" s="1377"/>
      <c r="AA227" s="1377"/>
      <c r="AB227" s="1377"/>
      <c r="AC227" s="1377"/>
      <c r="AD227" s="1643"/>
      <c r="AE227" s="1643"/>
      <c r="AF227" s="1643"/>
      <c r="AG227" s="1643"/>
      <c r="AH227" s="1643"/>
      <c r="AI227" s="1646">
        <v>0</v>
      </c>
    </row>
    <row s="1858" customFormat="1" customHeight="1" ht="22.5">
      <c r="A228" s="998"/>
      <c r="B228" s="1377"/>
      <c r="C228" s="1653"/>
      <c r="D228" s="694" t="s">
        <v>105</v>
      </c>
      <c r="E228" s="557" t="str">
        <f>E219&amp;".8"</f>
        <v>16.8</v>
      </c>
      <c r="F228" s="551" t="s">
        <v>621</v>
      </c>
      <c r="G228" s="2342" t="s">
        <v>574</v>
      </c>
      <c r="H228" s="556"/>
      <c r="I228" s="556"/>
      <c r="J228" s="556">
        <v>166.075</v>
      </c>
      <c r="K228" s="556"/>
      <c r="L228" s="556"/>
      <c r="M228" s="1536" t="s">
        <v>575</v>
      </c>
      <c r="N228" s="745"/>
      <c r="O228" s="1653"/>
      <c r="P228" s="1653"/>
      <c r="Q228" s="1377"/>
      <c r="R228" s="1377"/>
      <c r="S228" s="1377"/>
      <c r="T228" s="1377"/>
      <c r="U228" s="1653"/>
      <c r="V228" s="1377"/>
      <c r="W228" s="1377"/>
      <c r="X228" s="747"/>
      <c r="Y228" s="1377"/>
      <c r="Z228" s="1377"/>
      <c r="AA228" s="1377"/>
      <c r="AB228" s="1377"/>
      <c r="AC228" s="1377"/>
      <c r="AD228" s="1643"/>
      <c r="AE228" s="1643"/>
      <c r="AF228" s="1643"/>
      <c r="AG228" s="1643"/>
      <c r="AH228" s="1643"/>
      <c r="AI228" s="1646">
        <v>0</v>
      </c>
    </row>
    <row s="1858" customFormat="1" customHeight="1" ht="22.5">
      <c r="A229" s="998"/>
      <c r="B229" s="1377"/>
      <c r="C229" s="1653"/>
      <c r="D229" s="694" t="s">
        <v>105</v>
      </c>
      <c r="E229" s="557" t="str">
        <f>E219&amp;".9"</f>
        <v>16.9</v>
      </c>
      <c r="F229" s="551" t="s">
        <v>622</v>
      </c>
      <c r="G229" s="2342" t="s">
        <v>574</v>
      </c>
      <c r="H229" s="556"/>
      <c r="I229" s="556"/>
      <c r="J229" s="556">
        <v>157.554</v>
      </c>
      <c r="K229" s="556"/>
      <c r="L229" s="556"/>
      <c r="M229" s="1536" t="s">
        <v>575</v>
      </c>
      <c r="N229" s="745"/>
      <c r="O229" s="1653"/>
      <c r="P229" s="1653"/>
      <c r="Q229" s="1377"/>
      <c r="R229" s="1377"/>
      <c r="S229" s="1377"/>
      <c r="T229" s="1377"/>
      <c r="U229" s="1653"/>
      <c r="V229" s="1377"/>
      <c r="W229" s="1377"/>
      <c r="X229" s="747"/>
      <c r="Y229" s="1377"/>
      <c r="Z229" s="1377"/>
      <c r="AA229" s="1377"/>
      <c r="AB229" s="1377"/>
      <c r="AC229" s="1377"/>
      <c r="AD229" s="1643"/>
      <c r="AE229" s="1643"/>
      <c r="AF229" s="1643"/>
      <c r="AG229" s="1643"/>
      <c r="AH229" s="1643"/>
      <c r="AI229" s="1646">
        <v>0</v>
      </c>
    </row>
    <row s="1858" customFormat="1" customHeight="1" ht="22.5">
      <c r="A230" s="998"/>
      <c r="B230" s="1377"/>
      <c r="C230" s="1653"/>
      <c r="D230" s="694" t="s">
        <v>105</v>
      </c>
      <c r="E230" s="557" t="str">
        <f>E219&amp;".10"</f>
        <v>16.10</v>
      </c>
      <c r="F230" s="551" t="s">
        <v>623</v>
      </c>
      <c r="G230" s="2342" t="s">
        <v>574</v>
      </c>
      <c r="H230" s="556"/>
      <c r="I230" s="556"/>
      <c r="J230" s="556">
        <v>169.968</v>
      </c>
      <c r="K230" s="556"/>
      <c r="L230" s="556"/>
      <c r="M230" s="1536" t="s">
        <v>575</v>
      </c>
      <c r="N230" s="745"/>
      <c r="O230" s="1653"/>
      <c r="P230" s="1653"/>
      <c r="Q230" s="1377"/>
      <c r="R230" s="1377"/>
      <c r="S230" s="1377"/>
      <c r="T230" s="1377"/>
      <c r="U230" s="1653"/>
      <c r="V230" s="1377"/>
      <c r="W230" s="1377"/>
      <c r="X230" s="747"/>
      <c r="Y230" s="1377"/>
      <c r="Z230" s="1377"/>
      <c r="AA230" s="1377"/>
      <c r="AB230" s="1377"/>
      <c r="AC230" s="1377"/>
      <c r="AD230" s="1643"/>
      <c r="AE230" s="1643"/>
      <c r="AF230" s="1643"/>
      <c r="AG230" s="1643"/>
      <c r="AH230" s="1643"/>
      <c r="AI230" s="1646">
        <v>0</v>
      </c>
    </row>
    <row s="1858" customFormat="1" customHeight="1" ht="22.5">
      <c r="A231" s="998"/>
      <c r="B231" s="1377"/>
      <c r="C231" s="1653"/>
      <c r="D231" s="694" t="s">
        <v>105</v>
      </c>
      <c r="E231" s="557" t="str">
        <f>E219&amp;".11"</f>
        <v>16.11</v>
      </c>
      <c r="F231" s="551" t="s">
        <v>624</v>
      </c>
      <c r="G231" s="2342" t="s">
        <v>574</v>
      </c>
      <c r="H231" s="556"/>
      <c r="I231" s="556"/>
      <c r="J231" s="556">
        <v>173.069</v>
      </c>
      <c r="K231" s="556"/>
      <c r="L231" s="556"/>
      <c r="M231" s="1536" t="s">
        <v>575</v>
      </c>
      <c r="N231" s="745"/>
      <c r="O231" s="1653"/>
      <c r="P231" s="1653"/>
      <c r="Q231" s="1377"/>
      <c r="R231" s="1377"/>
      <c r="S231" s="1377"/>
      <c r="T231" s="1377"/>
      <c r="U231" s="1653"/>
      <c r="V231" s="1377"/>
      <c r="W231" s="1377"/>
      <c r="X231" s="747"/>
      <c r="Y231" s="1377"/>
      <c r="Z231" s="1377"/>
      <c r="AA231" s="1377"/>
      <c r="AB231" s="1377"/>
      <c r="AC231" s="1377"/>
      <c r="AD231" s="1643"/>
      <c r="AE231" s="1643"/>
      <c r="AF231" s="1643"/>
      <c r="AG231" s="1643"/>
      <c r="AH231" s="1643"/>
      <c r="AI231" s="1646">
        <v>0</v>
      </c>
    </row>
    <row s="1858" customFormat="1" customHeight="1" ht="22.5">
      <c r="A232" s="998"/>
      <c r="B232" s="1377"/>
      <c r="C232" s="1653"/>
      <c r="D232" s="694" t="s">
        <v>105</v>
      </c>
      <c r="E232" s="557" t="str">
        <f>E219&amp;".12"</f>
        <v>16.12</v>
      </c>
      <c r="F232" s="551" t="s">
        <v>625</v>
      </c>
      <c r="G232" s="2342" t="s">
        <v>574</v>
      </c>
      <c r="H232" s="556"/>
      <c r="I232" s="556"/>
      <c r="J232" s="556">
        <v>147.353</v>
      </c>
      <c r="K232" s="556"/>
      <c r="L232" s="556"/>
      <c r="M232" s="1536" t="s">
        <v>575</v>
      </c>
      <c r="N232" s="745"/>
      <c r="O232" s="1653"/>
      <c r="P232" s="1653"/>
      <c r="Q232" s="1377"/>
      <c r="R232" s="1377"/>
      <c r="S232" s="1377"/>
      <c r="T232" s="1377"/>
      <c r="U232" s="1653"/>
      <c r="V232" s="1377"/>
      <c r="W232" s="1377"/>
      <c r="X232" s="747"/>
      <c r="Y232" s="1377"/>
      <c r="Z232" s="1377"/>
      <c r="AA232" s="1377"/>
      <c r="AB232" s="1377"/>
      <c r="AC232" s="1377"/>
      <c r="AD232" s="1643"/>
      <c r="AE232" s="1643"/>
      <c r="AF232" s="1643"/>
      <c r="AG232" s="1643"/>
      <c r="AH232" s="1643"/>
      <c r="AI232" s="1646">
        <v>0</v>
      </c>
    </row>
    <row s="1858" customFormat="1" customHeight="1" ht="22.5">
      <c r="A233" s="998"/>
      <c r="B233" s="1377"/>
      <c r="C233" s="1653"/>
      <c r="D233" s="694" t="s">
        <v>105</v>
      </c>
      <c r="E233" s="557" t="str">
        <f>E219&amp;".13"</f>
        <v>16.13</v>
      </c>
      <c r="F233" s="551" t="s">
        <v>626</v>
      </c>
      <c r="G233" s="2342" t="s">
        <v>574</v>
      </c>
      <c r="H233" s="556"/>
      <c r="I233" s="556"/>
      <c r="J233" s="556">
        <v>165.999</v>
      </c>
      <c r="K233" s="556"/>
      <c r="L233" s="556"/>
      <c r="M233" s="1536" t="s">
        <v>575</v>
      </c>
      <c r="N233" s="745"/>
      <c r="O233" s="1653"/>
      <c r="P233" s="1653"/>
      <c r="Q233" s="1377"/>
      <c r="R233" s="1377"/>
      <c r="S233" s="1377"/>
      <c r="T233" s="1377"/>
      <c r="U233" s="1653"/>
      <c r="V233" s="1377"/>
      <c r="W233" s="1377"/>
      <c r="X233" s="747"/>
      <c r="Y233" s="1377"/>
      <c r="Z233" s="1377"/>
      <c r="AA233" s="1377"/>
      <c r="AB233" s="1377"/>
      <c r="AC233" s="1377"/>
      <c r="AD233" s="1643"/>
      <c r="AE233" s="1643"/>
      <c r="AF233" s="1643"/>
      <c r="AG233" s="1643"/>
      <c r="AH233" s="1643"/>
      <c r="AI233" s="1646">
        <v>0</v>
      </c>
    </row>
    <row s="1858" customFormat="1" customHeight="1" ht="22.5">
      <c r="A234" s="998"/>
      <c r="B234" s="1377"/>
      <c r="C234" s="1653"/>
      <c r="D234" s="694" t="s">
        <v>105</v>
      </c>
      <c r="E234" s="557" t="str">
        <f>E219&amp;".14"</f>
        <v>16.14</v>
      </c>
      <c r="F234" s="551" t="s">
        <v>627</v>
      </c>
      <c r="G234" s="2342" t="s">
        <v>574</v>
      </c>
      <c r="H234" s="556"/>
      <c r="I234" s="556"/>
      <c r="J234" s="556">
        <v>160.374</v>
      </c>
      <c r="K234" s="556"/>
      <c r="L234" s="556"/>
      <c r="M234" s="1536" t="s">
        <v>575</v>
      </c>
      <c r="N234" s="745"/>
      <c r="O234" s="1653"/>
      <c r="P234" s="1653"/>
      <c r="Q234" s="1377"/>
      <c r="R234" s="1377"/>
      <c r="S234" s="1377"/>
      <c r="T234" s="1377"/>
      <c r="U234" s="1653"/>
      <c r="V234" s="1377"/>
      <c r="W234" s="1377"/>
      <c r="X234" s="747"/>
      <c r="Y234" s="1377"/>
      <c r="Z234" s="1377"/>
      <c r="AA234" s="1377"/>
      <c r="AB234" s="1377"/>
      <c r="AC234" s="1377"/>
      <c r="AD234" s="1643"/>
      <c r="AE234" s="1643"/>
      <c r="AF234" s="1643"/>
      <c r="AG234" s="1643"/>
      <c r="AH234" s="1643"/>
      <c r="AI234" s="1646">
        <v>0</v>
      </c>
    </row>
    <row s="1858" customFormat="1" customHeight="1" ht="22.5">
      <c r="A235" s="998"/>
      <c r="B235" s="1377"/>
      <c r="C235" s="1653"/>
      <c r="D235" s="694" t="s">
        <v>105</v>
      </c>
      <c r="E235" s="557" t="str">
        <f>E219&amp;".15"</f>
        <v>16.15</v>
      </c>
      <c r="F235" s="551" t="s">
        <v>628</v>
      </c>
      <c r="G235" s="2342" t="s">
        <v>574</v>
      </c>
      <c r="H235" s="556"/>
      <c r="I235" s="556"/>
      <c r="J235" s="556">
        <v>166.356</v>
      </c>
      <c r="K235" s="556"/>
      <c r="L235" s="556"/>
      <c r="M235" s="1536" t="s">
        <v>575</v>
      </c>
      <c r="N235" s="745"/>
      <c r="O235" s="1653"/>
      <c r="P235" s="1653"/>
      <c r="Q235" s="1377"/>
      <c r="R235" s="1377"/>
      <c r="S235" s="1377"/>
      <c r="T235" s="1377"/>
      <c r="U235" s="1653"/>
      <c r="V235" s="1377"/>
      <c r="W235" s="1377"/>
      <c r="X235" s="747"/>
      <c r="Y235" s="1377"/>
      <c r="Z235" s="1377"/>
      <c r="AA235" s="1377"/>
      <c r="AB235" s="1377"/>
      <c r="AC235" s="1377"/>
      <c r="AD235" s="1643"/>
      <c r="AE235" s="1643"/>
      <c r="AF235" s="1643"/>
      <c r="AG235" s="1643"/>
      <c r="AH235" s="1643"/>
      <c r="AI235" s="1646">
        <v>0</v>
      </c>
    </row>
    <row s="1858" customFormat="1" customHeight="1" ht="22.5">
      <c r="A236" s="998"/>
      <c r="B236" s="1377"/>
      <c r="C236" s="1653"/>
      <c r="D236" s="694" t="s">
        <v>105</v>
      </c>
      <c r="E236" s="557" t="str">
        <f>E219&amp;".16"</f>
        <v>16.16</v>
      </c>
      <c r="F236" s="551" t="s">
        <v>629</v>
      </c>
      <c r="G236" s="2342" t="s">
        <v>574</v>
      </c>
      <c r="H236" s="556"/>
      <c r="I236" s="556"/>
      <c r="J236" s="556">
        <v>162.476</v>
      </c>
      <c r="K236" s="556"/>
      <c r="L236" s="556"/>
      <c r="M236" s="1536" t="s">
        <v>575</v>
      </c>
      <c r="N236" s="745"/>
      <c r="O236" s="1653"/>
      <c r="P236" s="1653"/>
      <c r="Q236" s="1377"/>
      <c r="R236" s="1377"/>
      <c r="S236" s="1377"/>
      <c r="T236" s="1377"/>
      <c r="U236" s="1653"/>
      <c r="V236" s="1377"/>
      <c r="W236" s="1377"/>
      <c r="X236" s="747"/>
      <c r="Y236" s="1377"/>
      <c r="Z236" s="1377"/>
      <c r="AA236" s="1377"/>
      <c r="AB236" s="1377"/>
      <c r="AC236" s="1377"/>
      <c r="AD236" s="1643"/>
      <c r="AE236" s="1643"/>
      <c r="AF236" s="1643"/>
      <c r="AG236" s="1643"/>
      <c r="AH236" s="1643"/>
      <c r="AI236" s="1646">
        <v>0</v>
      </c>
    </row>
    <row s="1858" customFormat="1" customHeight="1" ht="22.5">
      <c r="A237" s="998"/>
      <c r="B237" s="1377"/>
      <c r="C237" s="1653"/>
      <c r="D237" s="694" t="s">
        <v>105</v>
      </c>
      <c r="E237" s="557" t="str">
        <f>E219&amp;".17"</f>
        <v>16.17</v>
      </c>
      <c r="F237" s="551" t="s">
        <v>630</v>
      </c>
      <c r="G237" s="2342" t="s">
        <v>574</v>
      </c>
      <c r="H237" s="556"/>
      <c r="I237" s="556"/>
      <c r="J237" s="556">
        <v>156.539</v>
      </c>
      <c r="K237" s="556"/>
      <c r="L237" s="556"/>
      <c r="M237" s="1536" t="s">
        <v>575</v>
      </c>
      <c r="N237" s="745"/>
      <c r="O237" s="1653"/>
      <c r="P237" s="1653"/>
      <c r="Q237" s="1377"/>
      <c r="R237" s="1377"/>
      <c r="S237" s="1377"/>
      <c r="T237" s="1377"/>
      <c r="U237" s="1653"/>
      <c r="V237" s="1377"/>
      <c r="W237" s="1377"/>
      <c r="X237" s="747"/>
      <c r="Y237" s="1377"/>
      <c r="Z237" s="1377"/>
      <c r="AA237" s="1377"/>
      <c r="AB237" s="1377"/>
      <c r="AC237" s="1377"/>
      <c r="AD237" s="1643"/>
      <c r="AE237" s="1643"/>
      <c r="AF237" s="1643"/>
      <c r="AG237" s="1643"/>
      <c r="AH237" s="1643"/>
      <c r="AI237" s="1646">
        <v>0</v>
      </c>
    </row>
    <row s="1858" customFormat="1" customHeight="1" ht="22.5">
      <c r="A238" s="998"/>
      <c r="B238" s="1377"/>
      <c r="C238" s="1653"/>
      <c r="D238" s="694" t="s">
        <v>105</v>
      </c>
      <c r="E238" s="557" t="str">
        <f>E219&amp;".18"</f>
        <v>16.18</v>
      </c>
      <c r="F238" s="551" t="s">
        <v>632</v>
      </c>
      <c r="G238" s="2342" t="s">
        <v>574</v>
      </c>
      <c r="H238" s="556"/>
      <c r="I238" s="556"/>
      <c r="J238" s="556">
        <v>158.637</v>
      </c>
      <c r="K238" s="556"/>
      <c r="L238" s="556"/>
      <c r="M238" s="1536" t="s">
        <v>575</v>
      </c>
      <c r="N238" s="745"/>
      <c r="O238" s="1653"/>
      <c r="P238" s="1653"/>
      <c r="Q238" s="1377"/>
      <c r="R238" s="1377"/>
      <c r="S238" s="1377"/>
      <c r="T238" s="1377"/>
      <c r="U238" s="1653"/>
      <c r="V238" s="1377"/>
      <c r="W238" s="1377"/>
      <c r="X238" s="747"/>
      <c r="Y238" s="1377"/>
      <c r="Z238" s="1377"/>
      <c r="AA238" s="1377"/>
      <c r="AB238" s="1377"/>
      <c r="AC238" s="1377"/>
      <c r="AD238" s="1643"/>
      <c r="AE238" s="1643"/>
      <c r="AF238" s="1643"/>
      <c r="AG238" s="1643"/>
      <c r="AH238" s="1643"/>
      <c r="AI238" s="1646">
        <v>0</v>
      </c>
    </row>
    <row s="1858" customFormat="1" customHeight="1" ht="22.5">
      <c r="A239" s="998"/>
      <c r="B239" s="1377"/>
      <c r="C239" s="1653"/>
      <c r="D239" s="694" t="s">
        <v>105</v>
      </c>
      <c r="E239" s="557" t="str">
        <f>E219&amp;".19"</f>
        <v>16.19</v>
      </c>
      <c r="F239" s="551" t="s">
        <v>633</v>
      </c>
      <c r="G239" s="2342" t="s">
        <v>574</v>
      </c>
      <c r="H239" s="556"/>
      <c r="I239" s="556"/>
      <c r="J239" s="556">
        <v>198.009</v>
      </c>
      <c r="K239" s="556"/>
      <c r="L239" s="556"/>
      <c r="M239" s="1536" t="s">
        <v>575</v>
      </c>
      <c r="N239" s="745"/>
      <c r="O239" s="1653"/>
      <c r="P239" s="1653"/>
      <c r="Q239" s="1377"/>
      <c r="R239" s="1377"/>
      <c r="S239" s="1377"/>
      <c r="T239" s="1377"/>
      <c r="U239" s="1653"/>
      <c r="V239" s="1377"/>
      <c r="W239" s="1377"/>
      <c r="X239" s="747"/>
      <c r="Y239" s="1377"/>
      <c r="Z239" s="1377"/>
      <c r="AA239" s="1377"/>
      <c r="AB239" s="1377"/>
      <c r="AC239" s="1377"/>
      <c r="AD239" s="1643"/>
      <c r="AE239" s="1643"/>
      <c r="AF239" s="1643"/>
      <c r="AG239" s="1643"/>
      <c r="AH239" s="1643"/>
      <c r="AI239" s="1646">
        <v>0</v>
      </c>
    </row>
    <row s="1858" customFormat="1" customHeight="1" ht="22.5">
      <c r="A240" s="998"/>
      <c r="B240" s="1377"/>
      <c r="C240" s="1653"/>
      <c r="D240" s="694" t="s">
        <v>105</v>
      </c>
      <c r="E240" s="557" t="str">
        <f>E219&amp;".20"</f>
        <v>16.20</v>
      </c>
      <c r="F240" s="551" t="s">
        <v>634</v>
      </c>
      <c r="G240" s="2342" t="s">
        <v>574</v>
      </c>
      <c r="H240" s="556"/>
      <c r="I240" s="556"/>
      <c r="J240" s="556"/>
      <c r="K240" s="556">
        <v>176.783</v>
      </c>
      <c r="L240" s="556"/>
      <c r="M240" s="1536" t="s">
        <v>575</v>
      </c>
      <c r="N240" s="745"/>
      <c r="O240" s="1653"/>
      <c r="P240" s="1653"/>
      <c r="Q240" s="1377"/>
      <c r="R240" s="1377"/>
      <c r="S240" s="1377"/>
      <c r="T240" s="1377"/>
      <c r="U240" s="1653"/>
      <c r="V240" s="1377"/>
      <c r="W240" s="1377"/>
      <c r="X240" s="747"/>
      <c r="Y240" s="1377"/>
      <c r="Z240" s="1377"/>
      <c r="AA240" s="1377"/>
      <c r="AB240" s="1377"/>
      <c r="AC240" s="1377"/>
      <c r="AD240" s="1643"/>
      <c r="AE240" s="1643"/>
      <c r="AF240" s="1643"/>
      <c r="AG240" s="1643"/>
      <c r="AH240" s="1643"/>
      <c r="AI240" s="1646">
        <v>0</v>
      </c>
    </row>
    <row s="1858" customFormat="1" customHeight="1" ht="22.5">
      <c r="A241" s="998"/>
      <c r="B241" s="1377"/>
      <c r="C241" s="1653"/>
      <c r="D241" s="694" t="s">
        <v>105</v>
      </c>
      <c r="E241" s="557" t="str">
        <f>E219&amp;".21"</f>
        <v>16.21</v>
      </c>
      <c r="F241" s="551" t="s">
        <v>635</v>
      </c>
      <c r="G241" s="2342" t="s">
        <v>574</v>
      </c>
      <c r="H241" s="556"/>
      <c r="I241" s="556"/>
      <c r="J241" s="556"/>
      <c r="K241" s="556">
        <v>167.627</v>
      </c>
      <c r="L241" s="556"/>
      <c r="M241" s="1536" t="s">
        <v>575</v>
      </c>
      <c r="N241" s="745"/>
      <c r="O241" s="1653"/>
      <c r="P241" s="1653"/>
      <c r="Q241" s="1377"/>
      <c r="R241" s="1377"/>
      <c r="S241" s="1377"/>
      <c r="T241" s="1377"/>
      <c r="U241" s="1653"/>
      <c r="V241" s="1377"/>
      <c r="W241" s="1377"/>
      <c r="X241" s="747"/>
      <c r="Y241" s="1377"/>
      <c r="Z241" s="1377"/>
      <c r="AA241" s="1377"/>
      <c r="AB241" s="1377"/>
      <c r="AC241" s="1377"/>
      <c r="AD241" s="1643"/>
      <c r="AE241" s="1643"/>
      <c r="AF241" s="1643"/>
      <c r="AG241" s="1643"/>
      <c r="AH241" s="1643"/>
      <c r="AI241" s="1646">
        <v>0</v>
      </c>
    </row>
    <row s="1858" customFormat="1" customHeight="1" ht="22.5">
      <c r="A242" s="998"/>
      <c r="B242" s="1377"/>
      <c r="C242" s="1653"/>
      <c r="D242" s="694" t="s">
        <v>105</v>
      </c>
      <c r="E242" s="557" t="str">
        <f>E219&amp;".22"</f>
        <v>16.22</v>
      </c>
      <c r="F242" s="551" t="s">
        <v>636</v>
      </c>
      <c r="G242" s="2342" t="s">
        <v>574</v>
      </c>
      <c r="H242" s="556"/>
      <c r="I242" s="556"/>
      <c r="J242" s="556"/>
      <c r="K242" s="556">
        <v>172.573</v>
      </c>
      <c r="L242" s="556"/>
      <c r="M242" s="1536" t="s">
        <v>575</v>
      </c>
      <c r="N242" s="745"/>
      <c r="O242" s="1653"/>
      <c r="P242" s="1653"/>
      <c r="Q242" s="1377"/>
      <c r="R242" s="1377"/>
      <c r="S242" s="1377"/>
      <c r="T242" s="1377"/>
      <c r="U242" s="1653"/>
      <c r="V242" s="1377"/>
      <c r="W242" s="1377"/>
      <c r="X242" s="747"/>
      <c r="Y242" s="1377"/>
      <c r="Z242" s="1377"/>
      <c r="AA242" s="1377"/>
      <c r="AB242" s="1377"/>
      <c r="AC242" s="1377"/>
      <c r="AD242" s="1643"/>
      <c r="AE242" s="1643"/>
      <c r="AF242" s="1643"/>
      <c r="AG242" s="1643"/>
      <c r="AH242" s="1643"/>
      <c r="AI242" s="1646">
        <v>0</v>
      </c>
    </row>
    <row s="1858" customFormat="1" customHeight="1" ht="22.5">
      <c r="A243" s="998"/>
      <c r="B243" s="1377"/>
      <c r="C243" s="1653"/>
      <c r="D243" s="694" t="s">
        <v>105</v>
      </c>
      <c r="E243" s="557" t="str">
        <f>E219&amp;".23"</f>
        <v>16.23</v>
      </c>
      <c r="F243" s="551" t="s">
        <v>637</v>
      </c>
      <c r="G243" s="2342" t="s">
        <v>574</v>
      </c>
      <c r="H243" s="556"/>
      <c r="I243" s="556"/>
      <c r="J243" s="556"/>
      <c r="K243" s="556">
        <v>167.851</v>
      </c>
      <c r="L243" s="556"/>
      <c r="M243" s="1536" t="s">
        <v>575</v>
      </c>
      <c r="N243" s="745"/>
      <c r="O243" s="1653"/>
      <c r="P243" s="1653"/>
      <c r="Q243" s="1377"/>
      <c r="R243" s="1377"/>
      <c r="S243" s="1377"/>
      <c r="T243" s="1377"/>
      <c r="U243" s="1653"/>
      <c r="V243" s="1377"/>
      <c r="W243" s="1377"/>
      <c r="X243" s="747"/>
      <c r="Y243" s="1377"/>
      <c r="Z243" s="1377"/>
      <c r="AA243" s="1377"/>
      <c r="AB243" s="1377"/>
      <c r="AC243" s="1377"/>
      <c r="AD243" s="1643"/>
      <c r="AE243" s="1643"/>
      <c r="AF243" s="1643"/>
      <c r="AG243" s="1643"/>
      <c r="AH243" s="1643"/>
      <c r="AI243" s="1646">
        <v>0</v>
      </c>
    </row>
    <row s="1858" customFormat="1" customHeight="1" ht="22.5">
      <c r="A244" s="998"/>
      <c r="B244" s="1377"/>
      <c r="C244" s="1653"/>
      <c r="D244" s="694" t="s">
        <v>105</v>
      </c>
      <c r="E244" s="557" t="str">
        <f>E219&amp;".24"</f>
        <v>16.24</v>
      </c>
      <c r="F244" s="551" t="s">
        <v>638</v>
      </c>
      <c r="G244" s="2342" t="s">
        <v>574</v>
      </c>
      <c r="H244" s="556"/>
      <c r="I244" s="556"/>
      <c r="J244" s="556"/>
      <c r="K244" s="556">
        <v>174.844</v>
      </c>
      <c r="L244" s="556"/>
      <c r="M244" s="1536" t="s">
        <v>575</v>
      </c>
      <c r="N244" s="745"/>
      <c r="O244" s="1653"/>
      <c r="P244" s="1653"/>
      <c r="Q244" s="1377"/>
      <c r="R244" s="1377"/>
      <c r="S244" s="1377"/>
      <c r="T244" s="1377"/>
      <c r="U244" s="1653"/>
      <c r="V244" s="1377"/>
      <c r="W244" s="1377"/>
      <c r="X244" s="747"/>
      <c r="Y244" s="1377"/>
      <c r="Z244" s="1377"/>
      <c r="AA244" s="1377"/>
      <c r="AB244" s="1377"/>
      <c r="AC244" s="1377"/>
      <c r="AD244" s="1643"/>
      <c r="AE244" s="1643"/>
      <c r="AF244" s="1643"/>
      <c r="AG244" s="1643"/>
      <c r="AH244" s="1643"/>
      <c r="AI244" s="1646">
        <v>0</v>
      </c>
    </row>
    <row s="1858" customFormat="1" customHeight="1" ht="22.5">
      <c r="A245" s="998"/>
      <c r="B245" s="1377"/>
      <c r="C245" s="1653"/>
      <c r="D245" s="694" t="s">
        <v>105</v>
      </c>
      <c r="E245" s="557" t="str">
        <f>E219&amp;".25"</f>
        <v>16.25</v>
      </c>
      <c r="F245" s="551" t="s">
        <v>639</v>
      </c>
      <c r="G245" s="2342" t="s">
        <v>574</v>
      </c>
      <c r="H245" s="556"/>
      <c r="I245" s="556"/>
      <c r="J245" s="556"/>
      <c r="K245" s="556">
        <v>183.135</v>
      </c>
      <c r="L245" s="556"/>
      <c r="M245" s="1536" t="s">
        <v>575</v>
      </c>
      <c r="N245" s="745"/>
      <c r="O245" s="1653"/>
      <c r="P245" s="1653"/>
      <c r="Q245" s="1377"/>
      <c r="R245" s="1377"/>
      <c r="S245" s="1377"/>
      <c r="T245" s="1377"/>
      <c r="U245" s="1653"/>
      <c r="V245" s="1377"/>
      <c r="W245" s="1377"/>
      <c r="X245" s="747"/>
      <c r="Y245" s="1377"/>
      <c r="Z245" s="1377"/>
      <c r="AA245" s="1377"/>
      <c r="AB245" s="1377"/>
      <c r="AC245" s="1377"/>
      <c r="AD245" s="1643"/>
      <c r="AE245" s="1643"/>
      <c r="AF245" s="1643"/>
      <c r="AG245" s="1643"/>
      <c r="AH245" s="1643"/>
      <c r="AI245" s="1646">
        <v>0</v>
      </c>
    </row>
    <row s="1858" customFormat="1" customHeight="1" ht="22.5">
      <c r="A246" s="998"/>
      <c r="B246" s="1377"/>
      <c r="C246" s="1653"/>
      <c r="D246" s="694" t="s">
        <v>105</v>
      </c>
      <c r="E246" s="557" t="str">
        <f>E219&amp;".26"</f>
        <v>16.26</v>
      </c>
      <c r="F246" s="551" t="s">
        <v>640</v>
      </c>
      <c r="G246" s="2342" t="s">
        <v>574</v>
      </c>
      <c r="H246" s="556"/>
      <c r="I246" s="556"/>
      <c r="J246" s="556"/>
      <c r="K246" s="556">
        <v>182.518</v>
      </c>
      <c r="L246" s="556"/>
      <c r="M246" s="1536" t="s">
        <v>575</v>
      </c>
      <c r="N246" s="745"/>
      <c r="O246" s="1653"/>
      <c r="P246" s="1653"/>
      <c r="Q246" s="1377"/>
      <c r="R246" s="1377"/>
      <c r="S246" s="1377"/>
      <c r="T246" s="1377"/>
      <c r="U246" s="1653"/>
      <c r="V246" s="1377"/>
      <c r="W246" s="1377"/>
      <c r="X246" s="747"/>
      <c r="Y246" s="1377"/>
      <c r="Z246" s="1377"/>
      <c r="AA246" s="1377"/>
      <c r="AB246" s="1377"/>
      <c r="AC246" s="1377"/>
      <c r="AD246" s="1643"/>
      <c r="AE246" s="1643"/>
      <c r="AF246" s="1643"/>
      <c r="AG246" s="1643"/>
      <c r="AH246" s="1643"/>
      <c r="AI246" s="1646">
        <v>0</v>
      </c>
    </row>
    <row s="1858" customFormat="1" customHeight="1" ht="22.5">
      <c r="A247" s="998"/>
      <c r="B247" s="1377"/>
      <c r="C247" s="1653"/>
      <c r="D247" s="694" t="s">
        <v>105</v>
      </c>
      <c r="E247" s="557" t="str">
        <f>E219&amp;".27"</f>
        <v>16.27</v>
      </c>
      <c r="F247" s="551" t="s">
        <v>641</v>
      </c>
      <c r="G247" s="2342" t="s">
        <v>574</v>
      </c>
      <c r="H247" s="556"/>
      <c r="I247" s="556"/>
      <c r="J247" s="556"/>
      <c r="K247" s="556">
        <v>165.017</v>
      </c>
      <c r="L247" s="556"/>
      <c r="M247" s="1536" t="s">
        <v>575</v>
      </c>
      <c r="N247" s="745"/>
      <c r="O247" s="1653"/>
      <c r="P247" s="1653"/>
      <c r="Q247" s="1377"/>
      <c r="R247" s="1377"/>
      <c r="S247" s="1377"/>
      <c r="T247" s="1377"/>
      <c r="U247" s="1653"/>
      <c r="V247" s="1377"/>
      <c r="W247" s="1377"/>
      <c r="X247" s="747"/>
      <c r="Y247" s="1377"/>
      <c r="Z247" s="1377"/>
      <c r="AA247" s="1377"/>
      <c r="AB247" s="1377"/>
      <c r="AC247" s="1377"/>
      <c r="AD247" s="1643"/>
      <c r="AE247" s="1643"/>
      <c r="AF247" s="1643"/>
      <c r="AG247" s="1643"/>
      <c r="AH247" s="1643"/>
      <c r="AI247" s="1646">
        <v>0</v>
      </c>
    </row>
    <row s="1858" customFormat="1" customHeight="1" ht="22.5">
      <c r="A248" s="998"/>
      <c r="B248" s="1377"/>
      <c r="C248" s="1653"/>
      <c r="D248" s="694" t="s">
        <v>105</v>
      </c>
      <c r="E248" s="557" t="str">
        <f>E219&amp;".28"</f>
        <v>16.28</v>
      </c>
      <c r="F248" s="551" t="s">
        <v>642</v>
      </c>
      <c r="G248" s="2342" t="s">
        <v>574</v>
      </c>
      <c r="H248" s="556"/>
      <c r="I248" s="556"/>
      <c r="J248" s="556"/>
      <c r="K248" s="556"/>
      <c r="L248" s="556">
        <v>176.55</v>
      </c>
      <c r="M248" s="1536" t="s">
        <v>575</v>
      </c>
      <c r="N248" s="745"/>
      <c r="O248" s="1653"/>
      <c r="P248" s="1653"/>
      <c r="Q248" s="1377"/>
      <c r="R248" s="1377"/>
      <c r="S248" s="1377"/>
      <c r="T248" s="1377"/>
      <c r="U248" s="1653"/>
      <c r="V248" s="1377"/>
      <c r="W248" s="1377"/>
      <c r="X248" s="747"/>
      <c r="Y248" s="1377"/>
      <c r="Z248" s="1377"/>
      <c r="AA248" s="1377"/>
      <c r="AB248" s="1377"/>
      <c r="AC248" s="1377"/>
      <c r="AD248" s="1643"/>
      <c r="AE248" s="1643"/>
      <c r="AF248" s="1643"/>
      <c r="AG248" s="1643"/>
      <c r="AH248" s="1643"/>
      <c r="AI248" s="1646">
        <v>0</v>
      </c>
    </row>
    <row s="1858" customFormat="1" customHeight="1" ht="22.5">
      <c r="A249" s="998"/>
      <c r="B249" s="1377"/>
      <c r="C249" s="1653"/>
      <c r="D249" s="694" t="s">
        <v>105</v>
      </c>
      <c r="E249" s="557" t="str">
        <f>E219&amp;".29"</f>
        <v>16.29</v>
      </c>
      <c r="F249" s="551" t="s">
        <v>643</v>
      </c>
      <c r="G249" s="2342" t="s">
        <v>574</v>
      </c>
      <c r="H249" s="556"/>
      <c r="I249" s="556"/>
      <c r="J249" s="556"/>
      <c r="K249" s="556"/>
      <c r="L249" s="556">
        <v>169.219</v>
      </c>
      <c r="M249" s="1536" t="s">
        <v>575</v>
      </c>
      <c r="N249" s="745"/>
      <c r="O249" s="1653"/>
      <c r="P249" s="1653"/>
      <c r="Q249" s="1377"/>
      <c r="R249" s="1377"/>
      <c r="S249" s="1377"/>
      <c r="T249" s="1377"/>
      <c r="U249" s="1653"/>
      <c r="V249" s="1377"/>
      <c r="W249" s="1377"/>
      <c r="X249" s="747"/>
      <c r="Y249" s="1377"/>
      <c r="Z249" s="1377"/>
      <c r="AA249" s="1377"/>
      <c r="AB249" s="1377"/>
      <c r="AC249" s="1377"/>
      <c r="AD249" s="1643"/>
      <c r="AE249" s="1643"/>
      <c r="AF249" s="1643"/>
      <c r="AG249" s="1643"/>
      <c r="AH249" s="1643"/>
      <c r="AI249" s="1646">
        <v>0</v>
      </c>
    </row>
    <row s="1858" customFormat="1" customHeight="1" ht="22.5">
      <c r="A250" s="998"/>
      <c r="B250" s="1377"/>
      <c r="C250" s="1653"/>
      <c r="D250" s="694" t="s">
        <v>105</v>
      </c>
      <c r="E250" s="557" t="str">
        <f>E219&amp;".30"</f>
        <v>16.30</v>
      </c>
      <c r="F250" s="551" t="s">
        <v>644</v>
      </c>
      <c r="G250" s="2342" t="s">
        <v>574</v>
      </c>
      <c r="H250" s="556"/>
      <c r="I250" s="556"/>
      <c r="J250" s="556"/>
      <c r="K250" s="556"/>
      <c r="L250" s="556">
        <v>176.949</v>
      </c>
      <c r="M250" s="1536" t="s">
        <v>575</v>
      </c>
      <c r="N250" s="745"/>
      <c r="O250" s="1653"/>
      <c r="P250" s="1653"/>
      <c r="Q250" s="1377"/>
      <c r="R250" s="1377"/>
      <c r="S250" s="1377"/>
      <c r="T250" s="1377"/>
      <c r="U250" s="1653"/>
      <c r="V250" s="1377"/>
      <c r="W250" s="1377"/>
      <c r="X250" s="747"/>
      <c r="Y250" s="1377"/>
      <c r="Z250" s="1377"/>
      <c r="AA250" s="1377"/>
      <c r="AB250" s="1377"/>
      <c r="AC250" s="1377"/>
      <c r="AD250" s="1643"/>
      <c r="AE250" s="1643"/>
      <c r="AF250" s="1643"/>
      <c r="AG250" s="1643"/>
      <c r="AH250" s="1643"/>
      <c r="AI250" s="1646">
        <v>0</v>
      </c>
    </row>
    <row s="1858" customFormat="1" customHeight="1" ht="22.5">
      <c r="A251" s="998"/>
      <c r="B251" s="1377"/>
      <c r="C251" s="1653"/>
      <c r="D251" s="694" t="s">
        <v>105</v>
      </c>
      <c r="E251" s="557" t="str">
        <f>E219&amp;".31"</f>
        <v>16.31</v>
      </c>
      <c r="F251" s="551" t="s">
        <v>645</v>
      </c>
      <c r="G251" s="2342" t="s">
        <v>574</v>
      </c>
      <c r="H251" s="556"/>
      <c r="I251" s="556"/>
      <c r="J251" s="556"/>
      <c r="K251" s="556"/>
      <c r="L251" s="556">
        <v>184.779</v>
      </c>
      <c r="M251" s="1536" t="s">
        <v>575</v>
      </c>
      <c r="N251" s="745"/>
      <c r="O251" s="1653"/>
      <c r="P251" s="1653"/>
      <c r="Q251" s="1377"/>
      <c r="R251" s="1377"/>
      <c r="S251" s="1377"/>
      <c r="T251" s="1377"/>
      <c r="U251" s="1653"/>
      <c r="V251" s="1377"/>
      <c r="W251" s="1377"/>
      <c r="X251" s="747"/>
      <c r="Y251" s="1377"/>
      <c r="Z251" s="1377"/>
      <c r="AA251" s="1377"/>
      <c r="AB251" s="1377"/>
      <c r="AC251" s="1377"/>
      <c r="AD251" s="1643"/>
      <c r="AE251" s="1643"/>
      <c r="AF251" s="1643"/>
      <c r="AG251" s="1643"/>
      <c r="AH251" s="1643"/>
      <c r="AI251" s="1646">
        <v>0</v>
      </c>
    </row>
    <row s="1858" customFormat="1" customHeight="1" ht="22.5">
      <c r="A252" s="998"/>
      <c r="B252" s="1377"/>
      <c r="C252" s="1653"/>
      <c r="D252" s="694" t="s">
        <v>105</v>
      </c>
      <c r="E252" s="557" t="str">
        <f>E219&amp;".32"</f>
        <v>16.32</v>
      </c>
      <c r="F252" s="551" t="s">
        <v>646</v>
      </c>
      <c r="G252" s="2342" t="s">
        <v>574</v>
      </c>
      <c r="H252" s="556"/>
      <c r="I252" s="556"/>
      <c r="J252" s="556"/>
      <c r="K252" s="556"/>
      <c r="L252" s="556">
        <v>178.654</v>
      </c>
      <c r="M252" s="1536" t="s">
        <v>575</v>
      </c>
      <c r="N252" s="745"/>
      <c r="O252" s="1653"/>
      <c r="P252" s="1653"/>
      <c r="Q252" s="1377"/>
      <c r="R252" s="1377"/>
      <c r="S252" s="1377"/>
      <c r="T252" s="1377"/>
      <c r="U252" s="1653"/>
      <c r="V252" s="1377"/>
      <c r="W252" s="1377"/>
      <c r="X252" s="747"/>
      <c r="Y252" s="1377"/>
      <c r="Z252" s="1377"/>
      <c r="AA252" s="1377"/>
      <c r="AB252" s="1377"/>
      <c r="AC252" s="1377"/>
      <c r="AD252" s="1643"/>
      <c r="AE252" s="1643"/>
      <c r="AF252" s="1643"/>
      <c r="AG252" s="1643"/>
      <c r="AH252" s="1643"/>
      <c r="AI252" s="1646">
        <v>0</v>
      </c>
    </row>
    <row customHeight="1" ht="15">
      <c r="A253" s="2401"/>
      <c r="D253" s="1644"/>
      <c r="E253" s="581"/>
      <c r="F253" s="1179" t="s">
        <v>647</v>
      </c>
      <c r="G253" s="583"/>
      <c r="H253" s="584"/>
      <c r="I253" s="584"/>
      <c r="J253" s="2682"/>
      <c r="K253" s="2683"/>
      <c r="L253" s="2684"/>
      <c r="M253" s="1015" t="s">
        <v>659</v>
      </c>
      <c r="N253" s="554"/>
      <c r="AI253" s="1642">
        <v>0</v>
      </c>
    </row>
    <row customHeight="1" ht="46.5">
      <c r="A254" s="2401"/>
      <c r="D254" s="1649"/>
      <c r="E254" s="557" t="str">
        <f>FHD_NUM_P_80</f>
        <v>17</v>
      </c>
      <c r="F254" s="188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54" s="1886" t="s">
        <v>660</v>
      </c>
      <c r="H254" s="568"/>
      <c r="I254" s="568">
        <v>0.0800872817490053</v>
      </c>
      <c r="J254" s="568">
        <v>0.0304755892630278</v>
      </c>
      <c r="K254" s="568">
        <v>0.0688568860745083</v>
      </c>
      <c r="L254" s="568">
        <v>0.0369268117488353</v>
      </c>
      <c r="M254" s="300" t="str">
        <f>FHD_NOTE_P_80</f>
        <v>Регулируемыми организациями указывается информация с по договорам, заключенным в рамках осуществления регулируемой деятельности.</v>
      </c>
      <c r="N254" s="554"/>
      <c r="AI254" s="1642">
        <v>0</v>
      </c>
    </row>
    <row customHeight="1" ht="54">
      <c r="A255" s="2401"/>
      <c r="D255" s="1649"/>
      <c r="E255" s="557" t="str">
        <f>FHD_NUM_P_81</f>
        <v>18</v>
      </c>
      <c r="F255" s="188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55" s="1886" t="s">
        <v>661</v>
      </c>
      <c r="H255" s="568"/>
      <c r="I255" s="568">
        <v>0.0195694469812712</v>
      </c>
      <c r="J255" s="568">
        <v>0.209327554268916</v>
      </c>
      <c r="K255" s="568">
        <v>0.048768118960357</v>
      </c>
      <c r="L255" s="568">
        <v>0.0491837303814519</v>
      </c>
      <c r="M255" s="300" t="str">
        <f>FHD_NOTE_P_81</f>
        <v>Регулируемыми организациями указывается информация с по договорам, заключенным в рамках осуществления регулируемой деятельности.</v>
      </c>
      <c r="N255" s="554"/>
      <c r="AI255" s="1642">
        <v>0</v>
      </c>
    </row>
    <row customHeight="1" ht="75.75">
      <c r="A256" s="2401"/>
      <c r="C256" s="1647" t="s">
        <v>606</v>
      </c>
      <c r="D256" s="1649"/>
      <c r="E256" s="557" t="str">
        <f>FHD_NUM_P_82</f>
        <v>19</v>
      </c>
      <c r="F256" s="188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256" s="1886" t="s">
        <v>320</v>
      </c>
      <c r="H256" s="412"/>
      <c r="I256" s="412"/>
      <c r="J256" s="829"/>
      <c r="K256" s="829"/>
      <c r="L256" s="829"/>
      <c r="M256" s="300" t="str">
        <f>FHD_NOTE_P_82</f>
        <v>Указывается ссылка на документ, предварительно загруженный в хранилище файлов ФГИС ЕИАС.</v>
      </c>
      <c r="N256" s="554"/>
      <c r="AI256" s="1642">
        <v>0</v>
      </c>
    </row>
    <row customHeight="1" ht="30.75">
      <c r="A257" s="2401"/>
      <c r="C257" s="1647" t="s">
        <v>606</v>
      </c>
      <c r="D257" s="1649"/>
      <c r="E257" s="557" t="str">
        <f>FHD_NUM_P_83</f>
        <v>19.1</v>
      </c>
      <c r="F257" s="1535" t="str">
        <f>FHD_P_83</f>
        <v>Информация о показателях физического износа объектов теплоснабжения</v>
      </c>
      <c r="G257" s="1886" t="s">
        <v>320</v>
      </c>
      <c r="H257" s="412"/>
      <c r="I257" s="412"/>
      <c r="J257" s="829"/>
      <c r="K257" s="829"/>
      <c r="L257" s="829"/>
      <c r="M257" s="300" t="str">
        <f>FHD_NOTE_P_83</f>
        <v>Указывается ссылка на документ, предварительно загруженный в хранилище файлов ФГИС ЕИАС.</v>
      </c>
      <c r="N257" s="554"/>
      <c r="AI257" s="1642">
        <v>0</v>
      </c>
    </row>
    <row customHeight="1" ht="30.75">
      <c r="A258" s="2401"/>
      <c r="C258" s="1647" t="s">
        <v>606</v>
      </c>
      <c r="D258" s="1649"/>
      <c r="E258" s="557" t="str">
        <f>FHD_NUM_P_84</f>
        <v>19.2</v>
      </c>
      <c r="F258" s="1535" t="str">
        <f>FHD_P_84</f>
        <v>Информация о показателях энергетической эффективности объектов теплоснабжения</v>
      </c>
      <c r="G258" s="1886" t="s">
        <v>320</v>
      </c>
      <c r="H258" s="412"/>
      <c r="I258" s="412"/>
      <c r="J258" s="829"/>
      <c r="K258" s="829"/>
      <c r="L258" s="829"/>
      <c r="M258" s="300" t="str">
        <f>FHD_NOTE_P_84</f>
        <v>Указывается ссылка на документ, предварительно загруженный в хранилище файлов ФГИС ЕИАС.</v>
      </c>
      <c r="N258" s="554"/>
      <c r="AI258" s="1642">
        <v>0</v>
      </c>
    </row>
    <row customHeight="1" ht="11.549999999999999">
      <c r="D259" s="1649"/>
      <c r="J259" s="1646"/>
      <c r="K259" s="1646"/>
      <c r="L259" s="1646"/>
      <c r="AI259" s="1642">
        <v>11</v>
      </c>
    </row>
    <row customHeight="1" ht="13.5">
      <c r="D260" s="1649"/>
      <c r="E260" s="347"/>
      <c r="F260" s="380"/>
      <c r="G260" s="380"/>
      <c r="H260" s="380"/>
      <c r="I260" s="1658"/>
      <c r="J260" s="1697"/>
      <c r="K260" s="1697"/>
      <c r="L260" s="1697"/>
      <c r="M260" s="592"/>
      <c r="AI260" s="1642">
        <v>13</v>
      </c>
    </row>
    <row s="1652" customFormat="1" customHeight="1" ht="11.549999999999999">
      <c r="A261" s="998"/>
      <c r="B261" s="1647"/>
      <c r="C261" s="1647"/>
      <c r="D261" s="362"/>
      <c r="F261" s="1651"/>
      <c r="G261" s="1642"/>
      <c r="H261" s="1642"/>
      <c r="I261" s="1642"/>
      <c r="J261" s="1646"/>
      <c r="K261" s="1646"/>
      <c r="L261" s="1646"/>
      <c r="N261" s="1171"/>
      <c r="O261" s="1647"/>
      <c r="P261" s="1647"/>
      <c r="Q261" s="1171"/>
      <c r="R261" s="1171"/>
      <c r="S261" s="1171"/>
      <c r="T261" s="1171"/>
      <c r="U261" s="1647"/>
      <c r="V261" s="1171"/>
      <c r="W261" s="1171"/>
      <c r="X261" s="555"/>
      <c r="Y261" s="1171"/>
      <c r="Z261" s="1171"/>
      <c r="AA261" s="1171"/>
      <c r="AB261" s="1171"/>
      <c r="AC261" s="1171"/>
      <c r="AD261" s="1643"/>
      <c r="AE261" s="577"/>
      <c r="AF261" s="577"/>
      <c r="AG261" s="577"/>
      <c r="AH261" s="577"/>
      <c r="AI261" s="1652">
        <v>11</v>
      </c>
    </row>
    <row s="1652" customFormat="1" customHeight="1" ht="11.549999999999999">
      <c r="A262" s="998"/>
      <c r="B262" s="1647"/>
      <c r="C262" s="1647"/>
      <c r="D262" s="362"/>
      <c r="J262" s="1652"/>
      <c r="K262" s="1652"/>
      <c r="L262" s="1652"/>
      <c r="N262" s="1171"/>
      <c r="O262" s="1647"/>
      <c r="P262" s="1647"/>
      <c r="Q262" s="1171"/>
      <c r="R262" s="1171"/>
      <c r="S262" s="1171"/>
      <c r="T262" s="1171"/>
      <c r="U262" s="1647"/>
      <c r="V262" s="1171"/>
      <c r="W262" s="1171"/>
      <c r="X262" s="555"/>
      <c r="Y262" s="1171"/>
      <c r="Z262" s="1171"/>
      <c r="AA262" s="1171"/>
      <c r="AB262" s="1171"/>
      <c r="AC262" s="1171"/>
      <c r="AD262" s="1643"/>
      <c r="AE262" s="577"/>
      <c r="AF262" s="577"/>
      <c r="AG262" s="577"/>
      <c r="AH262" s="577"/>
      <c r="AI262" s="1652">
        <v>11</v>
      </c>
    </row>
    <row s="1652" customFormat="1" customHeight="1" ht="11.549999999999999">
      <c r="A263" s="998"/>
      <c r="B263" s="1647"/>
      <c r="C263" s="1647"/>
      <c r="D263" s="362"/>
      <c r="J263" s="1652"/>
      <c r="K263" s="1652"/>
      <c r="L263" s="1652"/>
      <c r="N263" s="1171"/>
      <c r="O263" s="1647"/>
      <c r="P263" s="1647"/>
      <c r="Q263" s="1171"/>
      <c r="R263" s="1171"/>
      <c r="S263" s="1171"/>
      <c r="T263" s="1171"/>
      <c r="U263" s="1647"/>
      <c r="V263" s="1171"/>
      <c r="W263" s="1171"/>
      <c r="X263" s="555"/>
      <c r="Y263" s="1171"/>
      <c r="Z263" s="1171"/>
      <c r="AA263" s="1171"/>
      <c r="AB263" s="1171"/>
      <c r="AC263" s="1171"/>
      <c r="AD263" s="1643"/>
      <c r="AE263" s="577"/>
      <c r="AF263" s="577"/>
      <c r="AG263" s="577"/>
      <c r="AH263" s="577"/>
      <c r="AI263" s="1652">
        <v>11</v>
      </c>
    </row>
    <row s="1652" customFormat="1" customHeight="1" ht="11.549999999999999">
      <c r="A264" s="998"/>
      <c r="B264" s="1647"/>
      <c r="C264" s="1647"/>
      <c r="D264" s="362"/>
      <c r="H264" s="577" t="str">
        <f>IF(H30-H31&lt;&gt;H103,"WARNING","")</f>
        <v/>
      </c>
      <c r="I264" s="577" t="str">
        <f>IF(I30-I31&lt;&gt;I103,"WARNING","")</f>
        <v>WARNING</v>
      </c>
      <c r="J264" s="633" t="str">
        <f>IF(J30-J31&lt;&gt;J103,"WARNING","")</f>
        <v>WARNING</v>
      </c>
      <c r="K264" s="633" t="str">
        <f>IF(K30-K31&lt;&gt;K103,"WARNING","")</f>
        <v>WARNING</v>
      </c>
      <c r="L264" s="633" t="str">
        <f>IF(L30-L31&lt;&gt;L103,"WARNING","")</f>
        <v>WARNING</v>
      </c>
      <c r="N264" s="1171"/>
      <c r="O264" s="1647"/>
      <c r="P264" s="1647"/>
      <c r="Q264" s="1171"/>
      <c r="R264" s="1171"/>
      <c r="S264" s="1171"/>
      <c r="T264" s="1171"/>
      <c r="U264" s="1647"/>
      <c r="V264" s="1171"/>
      <c r="W264" s="1171"/>
      <c r="X264" s="555"/>
      <c r="Y264" s="1171"/>
      <c r="Z264" s="1171"/>
      <c r="AA264" s="1171"/>
      <c r="AB264" s="1171"/>
      <c r="AC264" s="1171"/>
      <c r="AD264" s="1643"/>
      <c r="AE264" s="577"/>
      <c r="AF264" s="577"/>
      <c r="AG264" s="577"/>
      <c r="AH264" s="577"/>
      <c r="AI264" s="1652">
        <v>11</v>
      </c>
    </row>
    <row s="1652" customFormat="1" customHeight="1" ht="11.549999999999999">
      <c r="A265" s="998"/>
      <c r="B265" s="1647"/>
      <c r="C265" s="1647"/>
      <c r="D265" s="362"/>
      <c r="J265" s="1652"/>
      <c r="K265" s="1652"/>
      <c r="L265" s="1652"/>
      <c r="N265" s="1171"/>
      <c r="O265" s="1647"/>
      <c r="P265" s="1647"/>
      <c r="Q265" s="1171"/>
      <c r="R265" s="1171"/>
      <c r="S265" s="1171"/>
      <c r="T265" s="1171"/>
      <c r="U265" s="1647"/>
      <c r="V265" s="1171"/>
      <c r="W265" s="1171"/>
      <c r="X265" s="555"/>
      <c r="Y265" s="1171"/>
      <c r="Z265" s="1171"/>
      <c r="AA265" s="1171"/>
      <c r="AB265" s="1171"/>
      <c r="AC265" s="1171"/>
      <c r="AD265" s="1643"/>
      <c r="AE265" s="577"/>
      <c r="AF265" s="577"/>
      <c r="AG265" s="577"/>
      <c r="AH265" s="577"/>
      <c r="AI265" s="1652">
        <v>11</v>
      </c>
    </row>
    <row s="1652" customFormat="1" customHeight="1" ht="11.549999999999999">
      <c r="A266" s="998"/>
      <c r="B266" s="1647"/>
      <c r="C266" s="1647"/>
      <c r="D266" s="362"/>
      <c r="J266" s="1652"/>
      <c r="K266" s="1652"/>
      <c r="L266" s="1652"/>
      <c r="N266" s="1171"/>
      <c r="O266" s="1647"/>
      <c r="P266" s="1647"/>
      <c r="Q266" s="1171"/>
      <c r="R266" s="1171"/>
      <c r="S266" s="1171"/>
      <c r="T266" s="1171"/>
      <c r="U266" s="1647"/>
      <c r="V266" s="1171"/>
      <c r="W266" s="1171"/>
      <c r="X266" s="555"/>
      <c r="Y266" s="1171"/>
      <c r="Z266" s="1171"/>
      <c r="AA266" s="1171"/>
      <c r="AB266" s="1171"/>
      <c r="AC266" s="1171"/>
      <c r="AD266" s="1643"/>
      <c r="AE266" s="577"/>
      <c r="AF266" s="577"/>
      <c r="AG266" s="577"/>
      <c r="AH266" s="577"/>
      <c r="AI266" s="1652">
        <v>11</v>
      </c>
    </row>
    <row s="1652" customFormat="1" customHeight="1" ht="11.549999999999999">
      <c r="A267" s="998"/>
      <c r="B267" s="1647"/>
      <c r="C267" s="1647"/>
      <c r="D267" s="362"/>
      <c r="J267" s="1652"/>
      <c r="K267" s="1652"/>
      <c r="L267" s="1652"/>
      <c r="N267" s="1171"/>
      <c r="O267" s="1647"/>
      <c r="P267" s="1647"/>
      <c r="Q267" s="1171"/>
      <c r="R267" s="1171"/>
      <c r="S267" s="1171"/>
      <c r="T267" s="1171"/>
      <c r="U267" s="1647"/>
      <c r="V267" s="1171"/>
      <c r="W267" s="1171"/>
      <c r="X267" s="555"/>
      <c r="Y267" s="1171"/>
      <c r="Z267" s="1171"/>
      <c r="AA267" s="1171"/>
      <c r="AB267" s="1171"/>
      <c r="AC267" s="1171"/>
      <c r="AD267" s="1643"/>
      <c r="AE267" s="577"/>
      <c r="AF267" s="577"/>
      <c r="AG267" s="577"/>
      <c r="AH267" s="577"/>
      <c r="AI267" s="1652">
        <v>11</v>
      </c>
    </row>
    <row s="1652" customFormat="1" customHeight="1" ht="11.549999999999999">
      <c r="A268" s="998"/>
      <c r="B268" s="1647"/>
      <c r="C268" s="1647"/>
      <c r="D268" s="362"/>
      <c r="J268" s="1652"/>
      <c r="K268" s="1652"/>
      <c r="L268" s="1652"/>
      <c r="N268" s="1171"/>
      <c r="O268" s="1647"/>
      <c r="P268" s="1647"/>
      <c r="Q268" s="1171"/>
      <c r="R268" s="1171"/>
      <c r="S268" s="1171"/>
      <c r="T268" s="1171"/>
      <c r="U268" s="1647"/>
      <c r="V268" s="1171"/>
      <c r="W268" s="1171"/>
      <c r="X268" s="555"/>
      <c r="Y268" s="1171"/>
      <c r="Z268" s="1171"/>
      <c r="AA268" s="1171"/>
      <c r="AB268" s="1171"/>
      <c r="AC268" s="1171"/>
      <c r="AD268" s="1643"/>
      <c r="AE268" s="577"/>
      <c r="AF268" s="577"/>
      <c r="AG268" s="577"/>
      <c r="AH268" s="577"/>
      <c r="AI268" s="1652">
        <v>11</v>
      </c>
    </row>
    <row s="1652" customFormat="1" customHeight="1" ht="11.549999999999999">
      <c r="A269" s="998"/>
      <c r="B269" s="1647"/>
      <c r="C269" s="1647"/>
      <c r="D269" s="362"/>
      <c r="J269" s="1652"/>
      <c r="K269" s="1652"/>
      <c r="L269" s="1652"/>
      <c r="N269" s="1171"/>
      <c r="O269" s="1647"/>
      <c r="P269" s="1647"/>
      <c r="Q269" s="1171"/>
      <c r="R269" s="1171"/>
      <c r="S269" s="1171"/>
      <c r="T269" s="1171"/>
      <c r="U269" s="1647"/>
      <c r="V269" s="1171"/>
      <c r="W269" s="1171"/>
      <c r="X269" s="555"/>
      <c r="Y269" s="1171"/>
      <c r="Z269" s="1171"/>
      <c r="AA269" s="1171"/>
      <c r="AB269" s="1171"/>
      <c r="AC269" s="1171"/>
      <c r="AD269" s="1643"/>
      <c r="AE269" s="577"/>
      <c r="AF269" s="577"/>
      <c r="AG269" s="577"/>
      <c r="AH269" s="577"/>
      <c r="AI269" s="1652">
        <v>11</v>
      </c>
    </row>
    <row s="1652" customFormat="1" customHeight="1" ht="11.549999999999999">
      <c r="A270" s="998"/>
      <c r="B270" s="1647"/>
      <c r="C270" s="1647"/>
      <c r="D270" s="362"/>
      <c r="J270" s="1652"/>
      <c r="K270" s="1652"/>
      <c r="L270" s="1652"/>
      <c r="N270" s="1171"/>
      <c r="O270" s="1647"/>
      <c r="P270" s="1647"/>
      <c r="Q270" s="1171"/>
      <c r="R270" s="1171"/>
      <c r="S270" s="1171"/>
      <c r="T270" s="1171"/>
      <c r="U270" s="1647"/>
      <c r="V270" s="1171"/>
      <c r="W270" s="1171"/>
      <c r="X270" s="555"/>
      <c r="Y270" s="1171"/>
      <c r="Z270" s="1171"/>
      <c r="AA270" s="1171"/>
      <c r="AB270" s="1171"/>
      <c r="AC270" s="1171"/>
      <c r="AD270" s="1643"/>
      <c r="AE270" s="577"/>
      <c r="AF270" s="577"/>
      <c r="AG270" s="577"/>
      <c r="AH270" s="577"/>
      <c r="AI270" s="1652">
        <v>11</v>
      </c>
    </row>
    <row s="1652" customFormat="1" customHeight="1" ht="11.549999999999999">
      <c r="A271" s="998"/>
      <c r="B271" s="1647"/>
      <c r="C271" s="1647"/>
      <c r="D271" s="362"/>
      <c r="J271" s="1652"/>
      <c r="K271" s="1652"/>
      <c r="L271" s="1652"/>
      <c r="N271" s="1171"/>
      <c r="O271" s="1647"/>
      <c r="P271" s="1647"/>
      <c r="Q271" s="1171"/>
      <c r="R271" s="1171"/>
      <c r="S271" s="1171"/>
      <c r="T271" s="1171"/>
      <c r="U271" s="1647"/>
      <c r="V271" s="1171"/>
      <c r="W271" s="1171"/>
      <c r="X271" s="555"/>
      <c r="Y271" s="1171"/>
      <c r="Z271" s="1171"/>
      <c r="AA271" s="1171"/>
      <c r="AB271" s="1171"/>
      <c r="AC271" s="1171"/>
      <c r="AD271" s="1643"/>
      <c r="AE271" s="577"/>
      <c r="AF271" s="577"/>
      <c r="AG271" s="577"/>
      <c r="AH271" s="577"/>
      <c r="AI271" s="1652">
        <v>11</v>
      </c>
    </row>
    <row s="1652" customFormat="1" customHeight="1" ht="11.549999999999999">
      <c r="A272" s="998"/>
      <c r="B272" s="1647"/>
      <c r="C272" s="1647"/>
      <c r="D272" s="362"/>
      <c r="J272" s="1652"/>
      <c r="K272" s="1652"/>
      <c r="L272" s="1652"/>
      <c r="N272" s="1171"/>
      <c r="O272" s="1647"/>
      <c r="P272" s="1647"/>
      <c r="Q272" s="1171"/>
      <c r="R272" s="1171"/>
      <c r="S272" s="1171"/>
      <c r="T272" s="1171"/>
      <c r="U272" s="1647"/>
      <c r="V272" s="1171"/>
      <c r="W272" s="1171"/>
      <c r="X272" s="555"/>
      <c r="Y272" s="1171"/>
      <c r="Z272" s="1171"/>
      <c r="AA272" s="1171"/>
      <c r="AB272" s="1171"/>
      <c r="AC272" s="1171"/>
      <c r="AD272" s="1643"/>
      <c r="AE272" s="577"/>
      <c r="AF272" s="577"/>
      <c r="AG272" s="577"/>
      <c r="AH272" s="577"/>
      <c r="AI272" s="1652">
        <v>11</v>
      </c>
    </row>
    <row s="1652" customFormat="1" customHeight="1" ht="11.549999999999999">
      <c r="A273" s="998"/>
      <c r="B273" s="1647"/>
      <c r="C273" s="1647"/>
      <c r="D273" s="362"/>
      <c r="J273" s="1652"/>
      <c r="K273" s="1652"/>
      <c r="L273" s="1652"/>
      <c r="N273" s="1171"/>
      <c r="O273" s="1647"/>
      <c r="P273" s="1647"/>
      <c r="Q273" s="1171"/>
      <c r="R273" s="1171"/>
      <c r="S273" s="1171"/>
      <c r="T273" s="1171"/>
      <c r="U273" s="1647"/>
      <c r="V273" s="1171"/>
      <c r="W273" s="1171"/>
      <c r="X273" s="555"/>
      <c r="Y273" s="1171"/>
      <c r="Z273" s="1171"/>
      <c r="AA273" s="1171"/>
      <c r="AB273" s="1171"/>
      <c r="AC273" s="1171"/>
      <c r="AD273" s="1643"/>
      <c r="AE273" s="577"/>
      <c r="AF273" s="577"/>
      <c r="AG273" s="577"/>
      <c r="AH273" s="577"/>
      <c r="AI273" s="1652">
        <v>11</v>
      </c>
    </row>
    <row s="1652" customFormat="1" customHeight="1" ht="11.549999999999999">
      <c r="A274" s="998"/>
      <c r="B274" s="1647"/>
      <c r="C274" s="1647"/>
      <c r="D274" s="362"/>
      <c r="J274" s="1652"/>
      <c r="K274" s="1652"/>
      <c r="L274" s="1652"/>
      <c r="N274" s="1171"/>
      <c r="O274" s="1647"/>
      <c r="P274" s="1647"/>
      <c r="Q274" s="1171"/>
      <c r="R274" s="1171"/>
      <c r="S274" s="1171"/>
      <c r="T274" s="1171"/>
      <c r="U274" s="1647"/>
      <c r="V274" s="1171"/>
      <c r="W274" s="1171"/>
      <c r="X274" s="555"/>
      <c r="Y274" s="1171"/>
      <c r="Z274" s="1171"/>
      <c r="AA274" s="1171"/>
      <c r="AB274" s="1171"/>
      <c r="AC274" s="1171"/>
      <c r="AD274" s="1643"/>
      <c r="AE274" s="577"/>
      <c r="AF274" s="577"/>
      <c r="AG274" s="577"/>
      <c r="AH274" s="577"/>
      <c r="AI274" s="1652">
        <v>11</v>
      </c>
    </row>
    <row s="1652" customFormat="1" customHeight="1" ht="11.549999999999999">
      <c r="A275" s="998"/>
      <c r="B275" s="1647"/>
      <c r="C275" s="1647"/>
      <c r="D275" s="362"/>
      <c r="J275" s="1652"/>
      <c r="K275" s="1652"/>
      <c r="L275" s="1652"/>
      <c r="N275" s="1171"/>
      <c r="O275" s="1647"/>
      <c r="P275" s="1647"/>
      <c r="Q275" s="1171"/>
      <c r="R275" s="1171"/>
      <c r="S275" s="1171"/>
      <c r="T275" s="1171"/>
      <c r="U275" s="1647"/>
      <c r="V275" s="1171"/>
      <c r="W275" s="1171"/>
      <c r="X275" s="555"/>
      <c r="Y275" s="1171"/>
      <c r="Z275" s="1171"/>
      <c r="AA275" s="1171"/>
      <c r="AB275" s="1171"/>
      <c r="AC275" s="1171"/>
      <c r="AD275" s="1643"/>
      <c r="AE275" s="577"/>
      <c r="AF275" s="577"/>
      <c r="AG275" s="577"/>
      <c r="AH275" s="577"/>
      <c r="AI275" s="1652">
        <v>11</v>
      </c>
    </row>
    <row s="1652" customFormat="1" customHeight="1" ht="11.549999999999999">
      <c r="A276" s="998"/>
      <c r="B276" s="1647"/>
      <c r="C276" s="1647"/>
      <c r="D276" s="362"/>
      <c r="J276" s="1652"/>
      <c r="K276" s="1652"/>
      <c r="L276" s="1652"/>
      <c r="N276" s="1171"/>
      <c r="O276" s="1647"/>
      <c r="P276" s="1647"/>
      <c r="Q276" s="1171"/>
      <c r="R276" s="1171"/>
      <c r="S276" s="1171"/>
      <c r="T276" s="1171"/>
      <c r="U276" s="1647"/>
      <c r="V276" s="1171"/>
      <c r="W276" s="1171"/>
      <c r="X276" s="555"/>
      <c r="Y276" s="1171"/>
      <c r="Z276" s="1171"/>
      <c r="AA276" s="1171"/>
      <c r="AB276" s="1171"/>
      <c r="AC276" s="1171"/>
      <c r="AD276" s="1643"/>
      <c r="AE276" s="577"/>
      <c r="AF276" s="577"/>
      <c r="AG276" s="577"/>
      <c r="AH276" s="577"/>
      <c r="AI276" s="1652">
        <v>11</v>
      </c>
    </row>
    <row s="1652" customFormat="1" customHeight="1" ht="11.549999999999999">
      <c r="A277" s="998"/>
      <c r="B277" s="1647"/>
      <c r="C277" s="1647"/>
      <c r="D277" s="362"/>
      <c r="J277" s="1652"/>
      <c r="K277" s="1652"/>
      <c r="L277" s="1652"/>
      <c r="N277" s="1171"/>
      <c r="O277" s="1647"/>
      <c r="P277" s="1647"/>
      <c r="Q277" s="1171"/>
      <c r="R277" s="1171"/>
      <c r="S277" s="1171"/>
      <c r="T277" s="1171"/>
      <c r="U277" s="1647"/>
      <c r="V277" s="1171"/>
      <c r="W277" s="1171"/>
      <c r="X277" s="555"/>
      <c r="Y277" s="1171"/>
      <c r="Z277" s="1171"/>
      <c r="AA277" s="1171"/>
      <c r="AB277" s="1171"/>
      <c r="AC277" s="1171"/>
      <c r="AD277" s="1643"/>
      <c r="AE277" s="577"/>
      <c r="AF277" s="577"/>
      <c r="AG277" s="577"/>
      <c r="AH277" s="577"/>
      <c r="AI277" s="1652">
        <v>11</v>
      </c>
    </row>
    <row s="1652" customFormat="1" customHeight="1" ht="11.549999999999999">
      <c r="A278" s="998"/>
      <c r="B278" s="1647"/>
      <c r="C278" s="1647"/>
      <c r="D278" s="362"/>
      <c r="J278" s="1652"/>
      <c r="K278" s="1652"/>
      <c r="L278" s="1652"/>
      <c r="N278" s="1171"/>
      <c r="O278" s="1647"/>
      <c r="P278" s="1647"/>
      <c r="Q278" s="1171"/>
      <c r="R278" s="1171"/>
      <c r="S278" s="1171"/>
      <c r="T278" s="1171"/>
      <c r="U278" s="1647"/>
      <c r="V278" s="1171"/>
      <c r="W278" s="1171"/>
      <c r="X278" s="555"/>
      <c r="Y278" s="1171"/>
      <c r="Z278" s="1171"/>
      <c r="AA278" s="1171"/>
      <c r="AB278" s="1171"/>
      <c r="AC278" s="1171"/>
      <c r="AD278" s="1643"/>
      <c r="AE278" s="577"/>
      <c r="AF278" s="577"/>
      <c r="AG278" s="577"/>
      <c r="AH278" s="577"/>
      <c r="AI278" s="1652">
        <v>11</v>
      </c>
    </row>
    <row s="1652" customFormat="1" customHeight="1" ht="11.549999999999999">
      <c r="A279" s="998"/>
      <c r="B279" s="1647"/>
      <c r="C279" s="1647"/>
      <c r="D279" s="362"/>
      <c r="J279" s="1652"/>
      <c r="K279" s="1652"/>
      <c r="L279" s="1652"/>
      <c r="N279" s="1171"/>
      <c r="O279" s="1647"/>
      <c r="P279" s="1647"/>
      <c r="Q279" s="1171"/>
      <c r="R279" s="1171"/>
      <c r="S279" s="1171"/>
      <c r="T279" s="1171"/>
      <c r="U279" s="1647"/>
      <c r="V279" s="1171"/>
      <c r="W279" s="1171"/>
      <c r="X279" s="555"/>
      <c r="Y279" s="1171"/>
      <c r="Z279" s="1171"/>
      <c r="AA279" s="1171"/>
      <c r="AB279" s="1171"/>
      <c r="AC279" s="1171"/>
      <c r="AD279" s="1643"/>
      <c r="AE279" s="577"/>
      <c r="AF279" s="577"/>
      <c r="AG279" s="577"/>
      <c r="AH279" s="577"/>
      <c r="AI279" s="1652">
        <v>11</v>
      </c>
    </row>
    <row s="1652" customFormat="1" customHeight="1" ht="11.549999999999999">
      <c r="A280" s="998"/>
      <c r="B280" s="1647"/>
      <c r="C280" s="1647"/>
      <c r="D280" s="362"/>
      <c r="J280" s="1652"/>
      <c r="K280" s="1652"/>
      <c r="L280" s="1652"/>
      <c r="N280" s="1171"/>
      <c r="O280" s="1647"/>
      <c r="P280" s="1647"/>
      <c r="Q280" s="1171"/>
      <c r="R280" s="1171"/>
      <c r="S280" s="1171"/>
      <c r="T280" s="1171"/>
      <c r="U280" s="1647"/>
      <c r="V280" s="1171"/>
      <c r="W280" s="1171"/>
      <c r="X280" s="555"/>
      <c r="Y280" s="1171"/>
      <c r="Z280" s="1171"/>
      <c r="AA280" s="1171"/>
      <c r="AB280" s="1171"/>
      <c r="AC280" s="1171"/>
      <c r="AD280" s="1643"/>
      <c r="AE280" s="577"/>
      <c r="AF280" s="577"/>
      <c r="AG280" s="577"/>
      <c r="AH280" s="577"/>
      <c r="AI280" s="1652">
        <v>11</v>
      </c>
    </row>
    <row s="1652" customFormat="1" customHeight="1" ht="11.549999999999999">
      <c r="A281" s="998"/>
      <c r="B281" s="1647"/>
      <c r="C281" s="1647"/>
      <c r="D281" s="362"/>
      <c r="J281" s="1652"/>
      <c r="K281" s="1652"/>
      <c r="L281" s="1652"/>
      <c r="N281" s="1171"/>
      <c r="O281" s="1647"/>
      <c r="P281" s="1647"/>
      <c r="Q281" s="1171"/>
      <c r="R281" s="1171"/>
      <c r="S281" s="1171"/>
      <c r="T281" s="1171"/>
      <c r="U281" s="1647"/>
      <c r="V281" s="1171"/>
      <c r="W281" s="1171"/>
      <c r="X281" s="555"/>
      <c r="Y281" s="1171"/>
      <c r="Z281" s="1171"/>
      <c r="AA281" s="1171"/>
      <c r="AB281" s="1171"/>
      <c r="AC281" s="1171"/>
      <c r="AD281" s="1643"/>
      <c r="AE281" s="577"/>
      <c r="AF281" s="577"/>
      <c r="AG281" s="577"/>
      <c r="AH281" s="577"/>
      <c r="AI281" s="1652">
        <v>11</v>
      </c>
    </row>
    <row s="1652" customFormat="1" customHeight="1" ht="11.549999999999999">
      <c r="A282" s="998"/>
      <c r="B282" s="1647"/>
      <c r="C282" s="1647"/>
      <c r="D282" s="362"/>
      <c r="J282" s="1652"/>
      <c r="K282" s="1652"/>
      <c r="L282" s="1652"/>
      <c r="N282" s="1171"/>
      <c r="O282" s="1647"/>
      <c r="P282" s="1647"/>
      <c r="Q282" s="1171"/>
      <c r="R282" s="1171"/>
      <c r="S282" s="1171"/>
      <c r="T282" s="1171"/>
      <c r="U282" s="1647"/>
      <c r="V282" s="1171"/>
      <c r="W282" s="1171"/>
      <c r="X282" s="555"/>
      <c r="Y282" s="1171"/>
      <c r="Z282" s="1171"/>
      <c r="AA282" s="1171"/>
      <c r="AB282" s="1171"/>
      <c r="AC282" s="1171"/>
      <c r="AD282" s="1643"/>
      <c r="AE282" s="577"/>
      <c r="AF282" s="577"/>
      <c r="AG282" s="577"/>
      <c r="AH282" s="577"/>
      <c r="AI282" s="1652">
        <v>11</v>
      </c>
    </row>
    <row s="1652" customFormat="1" customHeight="1" ht="11.549999999999999">
      <c r="A283" s="998"/>
      <c r="B283" s="1647"/>
      <c r="C283" s="1647"/>
      <c r="D283" s="362"/>
      <c r="J283" s="1652"/>
      <c r="K283" s="1652"/>
      <c r="L283" s="1652"/>
      <c r="N283" s="1171"/>
      <c r="O283" s="1647"/>
      <c r="P283" s="1647"/>
      <c r="Q283" s="1171"/>
      <c r="R283" s="1171"/>
      <c r="S283" s="1171"/>
      <c r="T283" s="1171"/>
      <c r="U283" s="1647"/>
      <c r="V283" s="1171"/>
      <c r="W283" s="1171"/>
      <c r="X283" s="555"/>
      <c r="Y283" s="1171"/>
      <c r="Z283" s="1171"/>
      <c r="AA283" s="1171"/>
      <c r="AB283" s="1171"/>
      <c r="AC283" s="1171"/>
      <c r="AD283" s="1643"/>
      <c r="AE283" s="577"/>
      <c r="AF283" s="577"/>
      <c r="AG283" s="577"/>
      <c r="AH283" s="577"/>
      <c r="AI283" s="1652">
        <v>11</v>
      </c>
    </row>
    <row s="1652" customFormat="1" customHeight="1" ht="11.549999999999999">
      <c r="A284" s="998"/>
      <c r="B284" s="1647"/>
      <c r="C284" s="1647"/>
      <c r="D284" s="362"/>
      <c r="J284" s="1652"/>
      <c r="K284" s="1652"/>
      <c r="L284" s="1652"/>
      <c r="N284" s="1171"/>
      <c r="O284" s="1647"/>
      <c r="P284" s="1647"/>
      <c r="Q284" s="1171"/>
      <c r="R284" s="1171"/>
      <c r="S284" s="1171"/>
      <c r="T284" s="1171"/>
      <c r="U284" s="1647"/>
      <c r="V284" s="1171"/>
      <c r="W284" s="1171"/>
      <c r="X284" s="555"/>
      <c r="Y284" s="1171"/>
      <c r="Z284" s="1171"/>
      <c r="AA284" s="1171"/>
      <c r="AB284" s="1171"/>
      <c r="AC284" s="1171"/>
      <c r="AD284" s="1643"/>
      <c r="AE284" s="577"/>
      <c r="AF284" s="577"/>
      <c r="AG284" s="577"/>
      <c r="AH284" s="577"/>
      <c r="AI284" s="1652">
        <v>11</v>
      </c>
    </row>
    <row s="1652" customFormat="1" customHeight="1" ht="11.549999999999999">
      <c r="A285" s="998"/>
      <c r="B285" s="1647"/>
      <c r="C285" s="1647"/>
      <c r="D285" s="362"/>
      <c r="J285" s="1652"/>
      <c r="K285" s="1652"/>
      <c r="L285" s="1652"/>
      <c r="N285" s="1171"/>
      <c r="O285" s="1647"/>
      <c r="P285" s="1647"/>
      <c r="Q285" s="1171"/>
      <c r="R285" s="1171"/>
      <c r="S285" s="1171"/>
      <c r="T285" s="1171"/>
      <c r="U285" s="1647"/>
      <c r="V285" s="1171"/>
      <c r="W285" s="1171"/>
      <c r="X285" s="555"/>
      <c r="Y285" s="1171"/>
      <c r="Z285" s="1171"/>
      <c r="AA285" s="1171"/>
      <c r="AB285" s="1171"/>
      <c r="AC285" s="1171"/>
      <c r="AD285" s="1643"/>
      <c r="AE285" s="577"/>
      <c r="AF285" s="577"/>
      <c r="AG285" s="577"/>
      <c r="AH285" s="577"/>
      <c r="AI285" s="1652">
        <v>11</v>
      </c>
    </row>
    <row s="1652" customFormat="1" customHeight="1" ht="11.549999999999999">
      <c r="A286" s="998"/>
      <c r="B286" s="1647"/>
      <c r="C286" s="1647"/>
      <c r="D286" s="362"/>
      <c r="J286" s="1652"/>
      <c r="K286" s="1652"/>
      <c r="L286" s="1652"/>
      <c r="N286" s="1171"/>
      <c r="O286" s="1647"/>
      <c r="P286" s="1647"/>
      <c r="Q286" s="1171"/>
      <c r="R286" s="1171"/>
      <c r="S286" s="1171"/>
      <c r="T286" s="1171"/>
      <c r="U286" s="1647"/>
      <c r="V286" s="1171"/>
      <c r="W286" s="1171"/>
      <c r="X286" s="555"/>
      <c r="Y286" s="1171"/>
      <c r="Z286" s="1171"/>
      <c r="AA286" s="1171"/>
      <c r="AB286" s="1171"/>
      <c r="AC286" s="1171"/>
      <c r="AD286" s="1643"/>
      <c r="AE286" s="577"/>
      <c r="AF286" s="577"/>
      <c r="AG286" s="577"/>
      <c r="AH286" s="577"/>
      <c r="AI286" s="1652">
        <v>11</v>
      </c>
    </row>
    <row s="1652" customFormat="1" customHeight="1" ht="11.549999999999999">
      <c r="A287" s="998"/>
      <c r="B287" s="1647"/>
      <c r="C287" s="1647"/>
      <c r="D287" s="362"/>
      <c r="J287" s="1652"/>
      <c r="K287" s="1652"/>
      <c r="L287" s="1652"/>
      <c r="N287" s="1171"/>
      <c r="O287" s="1647"/>
      <c r="P287" s="1647"/>
      <c r="Q287" s="1171"/>
      <c r="R287" s="1171"/>
      <c r="S287" s="1171"/>
      <c r="T287" s="1171"/>
      <c r="U287" s="1647"/>
      <c r="V287" s="1171"/>
      <c r="W287" s="1171"/>
      <c r="X287" s="555"/>
      <c r="Y287" s="1171"/>
      <c r="Z287" s="1171"/>
      <c r="AA287" s="1171"/>
      <c r="AB287" s="1171"/>
      <c r="AC287" s="1171"/>
      <c r="AD287" s="1643"/>
      <c r="AE287" s="577"/>
      <c r="AF287" s="577"/>
      <c r="AG287" s="577"/>
      <c r="AH287" s="577"/>
      <c r="AI287" s="1652">
        <v>11</v>
      </c>
    </row>
    <row s="1652" customFormat="1" customHeight="1" ht="11.549999999999999">
      <c r="A288" s="998"/>
      <c r="B288" s="1647"/>
      <c r="C288" s="1647"/>
      <c r="D288" s="362"/>
      <c r="J288" s="1652"/>
      <c r="K288" s="1652"/>
      <c r="L288" s="1652"/>
      <c r="N288" s="1171"/>
      <c r="O288" s="1647"/>
      <c r="P288" s="1647"/>
      <c r="Q288" s="1171"/>
      <c r="R288" s="1171"/>
      <c r="S288" s="1171"/>
      <c r="T288" s="1171"/>
      <c r="U288" s="1647"/>
      <c r="V288" s="1171"/>
      <c r="W288" s="1171"/>
      <c r="X288" s="555"/>
      <c r="Y288" s="1171"/>
      <c r="Z288" s="1171"/>
      <c r="AA288" s="1171"/>
      <c r="AB288" s="1171"/>
      <c r="AC288" s="1171"/>
      <c r="AD288" s="1643"/>
      <c r="AE288" s="577"/>
      <c r="AF288" s="577"/>
      <c r="AG288" s="577"/>
      <c r="AH288" s="577"/>
      <c r="AI288" s="1652">
        <v>11</v>
      </c>
    </row>
    <row s="1652" customFormat="1" customHeight="1" ht="11.549999999999999">
      <c r="A289" s="998"/>
      <c r="B289" s="1647"/>
      <c r="C289" s="1647"/>
      <c r="D289" s="362"/>
      <c r="J289" s="1652"/>
      <c r="K289" s="1652"/>
      <c r="L289" s="1652"/>
      <c r="N289" s="1171"/>
      <c r="O289" s="1647"/>
      <c r="P289" s="1647"/>
      <c r="Q289" s="1171"/>
      <c r="R289" s="1171"/>
      <c r="S289" s="1171"/>
      <c r="T289" s="1171"/>
      <c r="U289" s="1647"/>
      <c r="V289" s="1171"/>
      <c r="W289" s="1171"/>
      <c r="X289" s="555"/>
      <c r="Y289" s="1171"/>
      <c r="Z289" s="1171"/>
      <c r="AA289" s="1171"/>
      <c r="AB289" s="1171"/>
      <c r="AC289" s="1171"/>
      <c r="AD289" s="1643"/>
      <c r="AE289" s="577"/>
      <c r="AF289" s="577"/>
      <c r="AG289" s="577"/>
      <c r="AH289" s="577"/>
      <c r="AI289" s="1652">
        <v>11</v>
      </c>
    </row>
    <row s="1652" customFormat="1" customHeight="1" ht="11.549999999999999">
      <c r="A290" s="998"/>
      <c r="B290" s="1647"/>
      <c r="C290" s="1647"/>
      <c r="D290" s="362"/>
      <c r="J290" s="1652"/>
      <c r="K290" s="1652"/>
      <c r="L290" s="1652"/>
      <c r="N290" s="1171"/>
      <c r="O290" s="1647"/>
      <c r="P290" s="1647"/>
      <c r="Q290" s="1171"/>
      <c r="R290" s="1171"/>
      <c r="S290" s="1171"/>
      <c r="T290" s="1171"/>
      <c r="U290" s="1647"/>
      <c r="V290" s="1171"/>
      <c r="W290" s="1171"/>
      <c r="X290" s="555"/>
      <c r="Y290" s="1171"/>
      <c r="Z290" s="1171"/>
      <c r="AA290" s="1171"/>
      <c r="AB290" s="1171"/>
      <c r="AC290" s="1171"/>
      <c r="AD290" s="1643"/>
      <c r="AE290" s="577"/>
      <c r="AF290" s="577"/>
      <c r="AG290" s="577"/>
      <c r="AH290" s="577"/>
      <c r="AI290" s="1652">
        <v>11</v>
      </c>
    </row>
    <row s="1652" customFormat="1" customHeight="1" ht="11.549999999999999">
      <c r="A291" s="998"/>
      <c r="B291" s="1647"/>
      <c r="C291" s="1647"/>
      <c r="D291" s="362"/>
      <c r="J291" s="1652"/>
      <c r="K291" s="1652"/>
      <c r="L291" s="1652"/>
      <c r="N291" s="1171"/>
      <c r="O291" s="1647"/>
      <c r="P291" s="1647"/>
      <c r="Q291" s="1171"/>
      <c r="R291" s="1171"/>
      <c r="S291" s="1171"/>
      <c r="T291" s="1171"/>
      <c r="U291" s="1647"/>
      <c r="V291" s="1171"/>
      <c r="W291" s="1171"/>
      <c r="X291" s="555"/>
      <c r="Y291" s="1171"/>
      <c r="Z291" s="1171"/>
      <c r="AA291" s="1171"/>
      <c r="AB291" s="1171"/>
      <c r="AC291" s="1171"/>
      <c r="AD291" s="1643"/>
      <c r="AE291" s="577"/>
      <c r="AF291" s="577"/>
      <c r="AG291" s="577"/>
      <c r="AH291" s="577"/>
      <c r="AI291" s="1652">
        <v>11</v>
      </c>
    </row>
    <row s="1652" customFormat="1" customHeight="1" ht="11.549999999999999">
      <c r="A292" s="998"/>
      <c r="B292" s="1647"/>
      <c r="C292" s="1647"/>
      <c r="D292" s="362"/>
      <c r="J292" s="1652"/>
      <c r="K292" s="1652"/>
      <c r="L292" s="1652"/>
      <c r="N292" s="1171"/>
      <c r="O292" s="1647"/>
      <c r="P292" s="1647"/>
      <c r="Q292" s="1171"/>
      <c r="R292" s="1171"/>
      <c r="S292" s="1171"/>
      <c r="T292" s="1171"/>
      <c r="U292" s="1647"/>
      <c r="V292" s="1171"/>
      <c r="W292" s="1171"/>
      <c r="X292" s="555"/>
      <c r="Y292" s="1171"/>
      <c r="Z292" s="1171"/>
      <c r="AA292" s="1171"/>
      <c r="AB292" s="1171"/>
      <c r="AC292" s="1171"/>
      <c r="AD292" s="1643"/>
      <c r="AE292" s="577"/>
      <c r="AF292" s="577"/>
      <c r="AG292" s="577"/>
      <c r="AH292" s="577"/>
      <c r="AI292" s="1652">
        <v>11</v>
      </c>
    </row>
    <row s="1652" customFormat="1" customHeight="1" ht="11.549999999999999">
      <c r="A293" s="998"/>
      <c r="B293" s="1647"/>
      <c r="C293" s="1647"/>
      <c r="D293" s="362"/>
      <c r="J293" s="1652"/>
      <c r="K293" s="1652"/>
      <c r="L293" s="1652"/>
      <c r="N293" s="1171"/>
      <c r="O293" s="1647"/>
      <c r="P293" s="1647"/>
      <c r="Q293" s="1171"/>
      <c r="R293" s="1171"/>
      <c r="S293" s="1171"/>
      <c r="T293" s="1171"/>
      <c r="U293" s="1647"/>
      <c r="V293" s="1171"/>
      <c r="W293" s="1171"/>
      <c r="X293" s="555"/>
      <c r="Y293" s="1171"/>
      <c r="Z293" s="1171"/>
      <c r="AA293" s="1171"/>
      <c r="AB293" s="1171"/>
      <c r="AC293" s="1171"/>
      <c r="AD293" s="1643"/>
      <c r="AE293" s="577"/>
      <c r="AF293" s="577"/>
      <c r="AG293" s="577"/>
      <c r="AH293" s="577"/>
      <c r="AI293" s="1652">
        <v>11</v>
      </c>
    </row>
    <row s="1652" customFormat="1" customHeight="1" ht="11.549999999999999">
      <c r="A294" s="998"/>
      <c r="B294" s="1647"/>
      <c r="C294" s="1647"/>
      <c r="D294" s="362"/>
      <c r="J294" s="1652"/>
      <c r="K294" s="1652"/>
      <c r="L294" s="1652"/>
      <c r="N294" s="1171"/>
      <c r="O294" s="1647"/>
      <c r="P294" s="1647"/>
      <c r="Q294" s="1171"/>
      <c r="R294" s="1171"/>
      <c r="S294" s="1171"/>
      <c r="T294" s="1171"/>
      <c r="U294" s="1647"/>
      <c r="V294" s="1171"/>
      <c r="W294" s="1171"/>
      <c r="X294" s="555"/>
      <c r="Y294" s="1171"/>
      <c r="Z294" s="1171"/>
      <c r="AA294" s="1171"/>
      <c r="AB294" s="1171"/>
      <c r="AC294" s="1171"/>
      <c r="AD294" s="1643"/>
      <c r="AE294" s="577"/>
      <c r="AF294" s="577"/>
      <c r="AG294" s="577"/>
      <c r="AH294" s="577"/>
      <c r="AI294" s="1652">
        <v>11</v>
      </c>
    </row>
    <row s="1652" customFormat="1" customHeight="1" ht="11.549999999999999">
      <c r="A295" s="998"/>
      <c r="B295" s="1647"/>
      <c r="C295" s="1647"/>
      <c r="D295" s="362"/>
      <c r="J295" s="1652"/>
      <c r="K295" s="1652"/>
      <c r="L295" s="1652"/>
      <c r="N295" s="1171"/>
      <c r="O295" s="1647"/>
      <c r="P295" s="1647"/>
      <c r="Q295" s="1171"/>
      <c r="R295" s="1171"/>
      <c r="S295" s="1171"/>
      <c r="T295" s="1171"/>
      <c r="U295" s="1647"/>
      <c r="V295" s="1171"/>
      <c r="W295" s="1171"/>
      <c r="X295" s="555"/>
      <c r="Y295" s="1171"/>
      <c r="Z295" s="1171"/>
      <c r="AA295" s="1171"/>
      <c r="AB295" s="1171"/>
      <c r="AC295" s="1171"/>
      <c r="AD295" s="1643"/>
      <c r="AE295" s="577"/>
      <c r="AF295" s="577"/>
      <c r="AG295" s="577"/>
      <c r="AH295" s="577"/>
      <c r="AI295" s="1652">
        <v>11</v>
      </c>
    </row>
    <row s="1652" customFormat="1" customHeight="1" ht="11.549999999999999">
      <c r="A296" s="998"/>
      <c r="B296" s="1647"/>
      <c r="C296" s="1647"/>
      <c r="D296" s="362"/>
      <c r="J296" s="1652"/>
      <c r="K296" s="1652"/>
      <c r="L296" s="1652"/>
      <c r="N296" s="1171"/>
      <c r="O296" s="1647"/>
      <c r="P296" s="1647"/>
      <c r="Q296" s="1171"/>
      <c r="R296" s="1171"/>
      <c r="S296" s="1171"/>
      <c r="T296" s="1171"/>
      <c r="U296" s="1647"/>
      <c r="V296" s="1171"/>
      <c r="W296" s="1171"/>
      <c r="X296" s="555"/>
      <c r="Y296" s="1171"/>
      <c r="Z296" s="1171"/>
      <c r="AA296" s="1171"/>
      <c r="AB296" s="1171"/>
      <c r="AC296" s="1171"/>
      <c r="AD296" s="1643"/>
      <c r="AE296" s="577"/>
      <c r="AF296" s="577"/>
      <c r="AG296" s="577"/>
      <c r="AH296" s="577"/>
      <c r="AI296" s="1652">
        <v>11</v>
      </c>
    </row>
    <row s="1652" customFormat="1" customHeight="1" ht="11.549999999999999">
      <c r="A297" s="998"/>
      <c r="B297" s="1647"/>
      <c r="C297" s="1647"/>
      <c r="D297" s="362"/>
      <c r="J297" s="1652"/>
      <c r="K297" s="1652"/>
      <c r="L297" s="1652"/>
      <c r="N297" s="1171"/>
      <c r="O297" s="1647"/>
      <c r="P297" s="1647"/>
      <c r="Q297" s="1171"/>
      <c r="R297" s="1171"/>
      <c r="S297" s="1171"/>
      <c r="T297" s="1171"/>
      <c r="U297" s="1647"/>
      <c r="V297" s="1171"/>
      <c r="W297" s="1171"/>
      <c r="X297" s="555"/>
      <c r="Y297" s="1171"/>
      <c r="Z297" s="1171"/>
      <c r="AA297" s="1171"/>
      <c r="AB297" s="1171"/>
      <c r="AC297" s="1171"/>
      <c r="AD297" s="1643"/>
      <c r="AE297" s="577"/>
      <c r="AF297" s="577"/>
      <c r="AG297" s="577"/>
      <c r="AH297" s="577"/>
      <c r="AI297" s="1652">
        <v>11</v>
      </c>
    </row>
    <row s="1652" customFormat="1" customHeight="1" ht="11.549999999999999">
      <c r="A298" s="998"/>
      <c r="B298" s="1647"/>
      <c r="C298" s="1647"/>
      <c r="D298" s="362"/>
      <c r="J298" s="1652"/>
      <c r="K298" s="1652"/>
      <c r="L298" s="1652"/>
      <c r="N298" s="1171"/>
      <c r="O298" s="1647"/>
      <c r="P298" s="1647"/>
      <c r="Q298" s="1171"/>
      <c r="R298" s="1171"/>
      <c r="S298" s="1171"/>
      <c r="T298" s="1171"/>
      <c r="U298" s="1647"/>
      <c r="V298" s="1171"/>
      <c r="W298" s="1171"/>
      <c r="X298" s="555"/>
      <c r="Y298" s="1171"/>
      <c r="Z298" s="1171"/>
      <c r="AA298" s="1171"/>
      <c r="AB298" s="1171"/>
      <c r="AC298" s="1171"/>
      <c r="AD298" s="1643"/>
      <c r="AE298" s="577"/>
      <c r="AF298" s="577"/>
      <c r="AG298" s="577"/>
      <c r="AH298" s="577"/>
      <c r="AI298" s="1652">
        <v>11</v>
      </c>
    </row>
    <row s="1652" customFormat="1" customHeight="1" ht="11.549999999999999">
      <c r="A299" s="998"/>
      <c r="B299" s="1647"/>
      <c r="C299" s="1647"/>
      <c r="D299" s="362"/>
      <c r="J299" s="1652"/>
      <c r="K299" s="1652"/>
      <c r="L299" s="1652"/>
      <c r="N299" s="1171"/>
      <c r="O299" s="1647"/>
      <c r="P299" s="1647"/>
      <c r="Q299" s="1171"/>
      <c r="R299" s="1171"/>
      <c r="S299" s="1171"/>
      <c r="T299" s="1171"/>
      <c r="U299" s="1647"/>
      <c r="V299" s="1171"/>
      <c r="W299" s="1171"/>
      <c r="X299" s="555"/>
      <c r="Y299" s="1171"/>
      <c r="Z299" s="1171"/>
      <c r="AA299" s="1171"/>
      <c r="AB299" s="1171"/>
      <c r="AC299" s="1171"/>
      <c r="AD299" s="1643"/>
      <c r="AE299" s="577"/>
      <c r="AF299" s="577"/>
      <c r="AG299" s="577"/>
      <c r="AH299" s="577"/>
      <c r="AI299" s="1652">
        <v>11</v>
      </c>
    </row>
    <row s="1652" customFormat="1" customHeight="1" ht="11.549999999999999">
      <c r="A300" s="998"/>
      <c r="B300" s="1647"/>
      <c r="C300" s="1647"/>
      <c r="D300" s="362"/>
      <c r="J300" s="1652"/>
      <c r="K300" s="1652"/>
      <c r="L300" s="1652"/>
      <c r="N300" s="1171"/>
      <c r="O300" s="1647"/>
      <c r="P300" s="1647"/>
      <c r="Q300" s="1171"/>
      <c r="R300" s="1171"/>
      <c r="S300" s="1171"/>
      <c r="T300" s="1171"/>
      <c r="U300" s="1647"/>
      <c r="V300" s="1171"/>
      <c r="W300" s="1171"/>
      <c r="X300" s="555"/>
      <c r="Y300" s="1171"/>
      <c r="Z300" s="1171"/>
      <c r="AA300" s="1171"/>
      <c r="AB300" s="1171"/>
      <c r="AC300" s="1171"/>
      <c r="AD300" s="1643"/>
      <c r="AE300" s="577"/>
      <c r="AF300" s="577"/>
      <c r="AG300" s="577"/>
      <c r="AH300" s="577"/>
      <c r="AI300" s="1652">
        <v>11</v>
      </c>
    </row>
    <row s="1652" customFormat="1" customHeight="1" ht="11.549999999999999">
      <c r="A301" s="998"/>
      <c r="B301" s="1647"/>
      <c r="C301" s="1647"/>
      <c r="D301" s="362"/>
      <c r="J301" s="1652"/>
      <c r="K301" s="1652"/>
      <c r="L301" s="1652"/>
      <c r="N301" s="1171"/>
      <c r="O301" s="1647"/>
      <c r="P301" s="1647"/>
      <c r="Q301" s="1171"/>
      <c r="R301" s="1171"/>
      <c r="S301" s="1171"/>
      <c r="T301" s="1171"/>
      <c r="U301" s="1647"/>
      <c r="V301" s="1171"/>
      <c r="W301" s="1171"/>
      <c r="X301" s="555"/>
      <c r="Y301" s="1171"/>
      <c r="Z301" s="1171"/>
      <c r="AA301" s="1171"/>
      <c r="AB301" s="1171"/>
      <c r="AC301" s="1171"/>
      <c r="AD301" s="1643"/>
      <c r="AE301" s="577"/>
      <c r="AF301" s="577"/>
      <c r="AG301" s="577"/>
      <c r="AH301" s="577"/>
      <c r="AI301" s="1652">
        <v>11</v>
      </c>
    </row>
    <row s="1652" customFormat="1" customHeight="1" ht="11.549999999999999">
      <c r="A302" s="998"/>
      <c r="B302" s="1647"/>
      <c r="C302" s="1647"/>
      <c r="D302" s="362"/>
      <c r="J302" s="1652"/>
      <c r="K302" s="1652"/>
      <c r="L302" s="1652"/>
      <c r="N302" s="1171"/>
      <c r="O302" s="1647"/>
      <c r="P302" s="1647"/>
      <c r="Q302" s="1171"/>
      <c r="R302" s="1171"/>
      <c r="S302" s="1171"/>
      <c r="T302" s="1171"/>
      <c r="U302" s="1647"/>
      <c r="V302" s="1171"/>
      <c r="W302" s="1171"/>
      <c r="X302" s="555"/>
      <c r="Y302" s="1171"/>
      <c r="Z302" s="1171"/>
      <c r="AA302" s="1171"/>
      <c r="AB302" s="1171"/>
      <c r="AC302" s="1171"/>
      <c r="AD302" s="1643"/>
      <c r="AE302" s="577"/>
      <c r="AF302" s="577"/>
      <c r="AG302" s="577"/>
      <c r="AH302" s="577"/>
      <c r="AI302" s="1652">
        <v>11</v>
      </c>
    </row>
    <row s="1652" customFormat="1" customHeight="1" ht="11.549999999999999">
      <c r="A303" s="998"/>
      <c r="B303" s="1647"/>
      <c r="C303" s="1647"/>
      <c r="D303" s="362"/>
      <c r="J303" s="1652"/>
      <c r="K303" s="1652"/>
      <c r="L303" s="1652"/>
      <c r="N303" s="1171"/>
      <c r="O303" s="1647"/>
      <c r="P303" s="1647"/>
      <c r="Q303" s="1171"/>
      <c r="R303" s="1171"/>
      <c r="S303" s="1171"/>
      <c r="T303" s="1171"/>
      <c r="U303" s="1647"/>
      <c r="V303" s="1171"/>
      <c r="W303" s="1171"/>
      <c r="X303" s="555"/>
      <c r="Y303" s="1171"/>
      <c r="Z303" s="1171"/>
      <c r="AA303" s="1171"/>
      <c r="AB303" s="1171"/>
      <c r="AC303" s="1171"/>
      <c r="AD303" s="1643"/>
      <c r="AE303" s="577"/>
      <c r="AF303" s="577"/>
      <c r="AG303" s="577"/>
      <c r="AH303" s="577"/>
      <c r="AI303" s="1652">
        <v>11</v>
      </c>
    </row>
    <row s="1652" customFormat="1" customHeight="1" ht="11.549999999999999">
      <c r="A304" s="998"/>
      <c r="B304" s="1647"/>
      <c r="C304" s="1647"/>
      <c r="D304" s="362"/>
      <c r="J304" s="1652"/>
      <c r="K304" s="1652"/>
      <c r="L304" s="1652"/>
      <c r="N304" s="1171"/>
      <c r="O304" s="1647"/>
      <c r="P304" s="1647"/>
      <c r="Q304" s="1171"/>
      <c r="R304" s="1171"/>
      <c r="S304" s="1171"/>
      <c r="T304" s="1171"/>
      <c r="U304" s="1647"/>
      <c r="V304" s="1171"/>
      <c r="W304" s="1171"/>
      <c r="X304" s="555"/>
      <c r="Y304" s="1171"/>
      <c r="Z304" s="1171"/>
      <c r="AA304" s="1171"/>
      <c r="AB304" s="1171"/>
      <c r="AC304" s="1171"/>
      <c r="AD304" s="1643"/>
      <c r="AE304" s="577"/>
      <c r="AF304" s="577"/>
      <c r="AG304" s="577"/>
      <c r="AH304" s="577"/>
      <c r="AI304" s="1652">
        <v>11</v>
      </c>
    </row>
    <row s="1652" customFormat="1" customHeight="1" ht="11.549999999999999">
      <c r="A305" s="998"/>
      <c r="B305" s="1647"/>
      <c r="C305" s="1647"/>
      <c r="D305" s="362"/>
      <c r="J305" s="1652"/>
      <c r="K305" s="1652"/>
      <c r="L305" s="1652"/>
      <c r="N305" s="1171"/>
      <c r="O305" s="1647"/>
      <c r="P305" s="1647"/>
      <c r="Q305" s="1171"/>
      <c r="R305" s="1171"/>
      <c r="S305" s="1171"/>
      <c r="T305" s="1171"/>
      <c r="U305" s="1647"/>
      <c r="V305" s="1171"/>
      <c r="W305" s="1171"/>
      <c r="X305" s="555"/>
      <c r="Y305" s="1171"/>
      <c r="Z305" s="1171"/>
      <c r="AA305" s="1171"/>
      <c r="AB305" s="1171"/>
      <c r="AC305" s="1171"/>
      <c r="AD305" s="1643"/>
      <c r="AE305" s="577"/>
      <c r="AF305" s="577"/>
      <c r="AG305" s="577"/>
      <c r="AH305" s="577"/>
      <c r="AI305" s="1652">
        <v>11</v>
      </c>
    </row>
    <row s="1652" customFormat="1" customHeight="1" ht="11.549999999999999">
      <c r="A306" s="998"/>
      <c r="B306" s="1647"/>
      <c r="C306" s="1647"/>
      <c r="D306" s="362"/>
      <c r="J306" s="1652"/>
      <c r="K306" s="1652"/>
      <c r="L306" s="1652"/>
      <c r="N306" s="1171"/>
      <c r="O306" s="1647"/>
      <c r="P306" s="1647"/>
      <c r="Q306" s="1171"/>
      <c r="R306" s="1171"/>
      <c r="S306" s="1171"/>
      <c r="T306" s="1171"/>
      <c r="U306" s="1647"/>
      <c r="V306" s="1171"/>
      <c r="W306" s="1171"/>
      <c r="X306" s="555"/>
      <c r="Y306" s="1171"/>
      <c r="Z306" s="1171"/>
      <c r="AA306" s="1171"/>
      <c r="AB306" s="1171"/>
      <c r="AC306" s="1171"/>
      <c r="AD306" s="1643"/>
      <c r="AE306" s="577"/>
      <c r="AF306" s="577"/>
      <c r="AG306" s="577"/>
      <c r="AH306" s="577"/>
      <c r="AI306" s="1652">
        <v>11</v>
      </c>
    </row>
    <row s="1652" customFormat="1" customHeight="1" ht="11.549999999999999">
      <c r="A307" s="998"/>
      <c r="B307" s="1647"/>
      <c r="C307" s="1647"/>
      <c r="D307" s="362"/>
      <c r="J307" s="1652"/>
      <c r="K307" s="1652"/>
      <c r="L307" s="1652"/>
      <c r="N307" s="1171"/>
      <c r="O307" s="1647"/>
      <c r="P307" s="1647"/>
      <c r="Q307" s="1171"/>
      <c r="R307" s="1171"/>
      <c r="S307" s="1171"/>
      <c r="T307" s="1171"/>
      <c r="U307" s="1647"/>
      <c r="V307" s="1171"/>
      <c r="W307" s="1171"/>
      <c r="X307" s="555"/>
      <c r="Y307" s="1171"/>
      <c r="Z307" s="1171"/>
      <c r="AA307" s="1171"/>
      <c r="AB307" s="1171"/>
      <c r="AC307" s="1171"/>
      <c r="AD307" s="1643"/>
      <c r="AE307" s="577"/>
      <c r="AF307" s="577"/>
      <c r="AG307" s="577"/>
      <c r="AH307" s="577"/>
      <c r="AI307" s="1652">
        <v>11</v>
      </c>
    </row>
    <row s="1652" customFormat="1" customHeight="1" ht="11.549999999999999">
      <c r="A308" s="998"/>
      <c r="B308" s="1647"/>
      <c r="C308" s="1647"/>
      <c r="D308" s="362"/>
      <c r="J308" s="1652"/>
      <c r="K308" s="1652"/>
      <c r="L308" s="1652"/>
      <c r="N308" s="1171"/>
      <c r="O308" s="1647"/>
      <c r="P308" s="1647"/>
      <c r="Q308" s="1171"/>
      <c r="R308" s="1171"/>
      <c r="S308" s="1171"/>
      <c r="T308" s="1171"/>
      <c r="U308" s="1647"/>
      <c r="V308" s="1171"/>
      <c r="W308" s="1171"/>
      <c r="X308" s="555"/>
      <c r="Y308" s="1171"/>
      <c r="Z308" s="1171"/>
      <c r="AA308" s="1171"/>
      <c r="AB308" s="1171"/>
      <c r="AC308" s="1171"/>
      <c r="AD308" s="1643"/>
      <c r="AE308" s="577"/>
      <c r="AF308" s="577"/>
      <c r="AG308" s="577"/>
      <c r="AH308" s="577"/>
      <c r="AI308" s="1652">
        <v>11</v>
      </c>
    </row>
    <row s="1652" customFormat="1" customHeight="1" ht="11.549999999999999">
      <c r="A309" s="998"/>
      <c r="B309" s="1647"/>
      <c r="C309" s="1647"/>
      <c r="D309" s="362"/>
      <c r="J309" s="1652"/>
      <c r="K309" s="1652"/>
      <c r="L309" s="1652"/>
      <c r="N309" s="1171"/>
      <c r="O309" s="1647"/>
      <c r="P309" s="1647"/>
      <c r="Q309" s="1171"/>
      <c r="R309" s="1171"/>
      <c r="S309" s="1171"/>
      <c r="T309" s="1171"/>
      <c r="U309" s="1647"/>
      <c r="V309" s="1171"/>
      <c r="W309" s="1171"/>
      <c r="X309" s="555"/>
      <c r="Y309" s="1171"/>
      <c r="Z309" s="1171"/>
      <c r="AA309" s="1171"/>
      <c r="AB309" s="1171"/>
      <c r="AC309" s="1171"/>
      <c r="AD309" s="1643"/>
      <c r="AE309" s="577"/>
      <c r="AF309" s="577"/>
      <c r="AG309" s="577"/>
      <c r="AH309" s="577"/>
      <c r="AI309" s="1652">
        <v>11</v>
      </c>
    </row>
    <row s="1652" customFormat="1" customHeight="1" ht="11.549999999999999">
      <c r="A310" s="998"/>
      <c r="B310" s="1647"/>
      <c r="C310" s="1647"/>
      <c r="D310" s="362"/>
      <c r="J310" s="1652"/>
      <c r="K310" s="1652"/>
      <c r="L310" s="1652"/>
      <c r="N310" s="1171"/>
      <c r="O310" s="1647"/>
      <c r="P310" s="1647"/>
      <c r="Q310" s="1171"/>
      <c r="R310" s="1171"/>
      <c r="S310" s="1171"/>
      <c r="T310" s="1171"/>
      <c r="U310" s="1647"/>
      <c r="V310" s="1171"/>
      <c r="W310" s="1171"/>
      <c r="X310" s="555"/>
      <c r="Y310" s="1171"/>
      <c r="Z310" s="1171"/>
      <c r="AA310" s="1171"/>
      <c r="AB310" s="1171"/>
      <c r="AC310" s="1171"/>
      <c r="AD310" s="1643"/>
      <c r="AE310" s="577"/>
      <c r="AF310" s="577"/>
      <c r="AG310" s="577"/>
      <c r="AH310" s="577"/>
      <c r="AI310" s="1652">
        <v>11</v>
      </c>
    </row>
    <row s="1652" customFormat="1" customHeight="1" ht="11.549999999999999">
      <c r="A311" s="998"/>
      <c r="B311" s="1647"/>
      <c r="C311" s="1647"/>
      <c r="D311" s="362"/>
      <c r="J311" s="1652"/>
      <c r="K311" s="1652"/>
      <c r="L311" s="1652"/>
      <c r="N311" s="1171"/>
      <c r="O311" s="1647"/>
      <c r="P311" s="1647"/>
      <c r="Q311" s="1171"/>
      <c r="R311" s="1171"/>
      <c r="S311" s="1171"/>
      <c r="T311" s="1171"/>
      <c r="U311" s="1647"/>
      <c r="V311" s="1171"/>
      <c r="W311" s="1171"/>
      <c r="X311" s="555"/>
      <c r="Y311" s="1171"/>
      <c r="Z311" s="1171"/>
      <c r="AA311" s="1171"/>
      <c r="AB311" s="1171"/>
      <c r="AC311" s="1171"/>
      <c r="AD311" s="1643"/>
      <c r="AE311" s="577"/>
      <c r="AF311" s="577"/>
      <c r="AG311" s="577"/>
      <c r="AH311" s="577"/>
      <c r="AI311" s="1652">
        <v>11</v>
      </c>
    </row>
    <row s="1652" customFormat="1" customHeight="1" ht="11.549999999999999">
      <c r="A312" s="998"/>
      <c r="B312" s="1647"/>
      <c r="C312" s="1647"/>
      <c r="D312" s="362"/>
      <c r="J312" s="1652"/>
      <c r="K312" s="1652"/>
      <c r="L312" s="1652"/>
      <c r="N312" s="1171"/>
      <c r="O312" s="1647"/>
      <c r="P312" s="1647"/>
      <c r="Q312" s="1171"/>
      <c r="R312" s="1171"/>
      <c r="S312" s="1171"/>
      <c r="T312" s="1171"/>
      <c r="U312" s="1647"/>
      <c r="V312" s="1171"/>
      <c r="W312" s="1171"/>
      <c r="X312" s="555"/>
      <c r="Y312" s="1171"/>
      <c r="Z312" s="1171"/>
      <c r="AA312" s="1171"/>
      <c r="AB312" s="1171"/>
      <c r="AC312" s="1171"/>
      <c r="AD312" s="1643"/>
      <c r="AE312" s="577"/>
      <c r="AF312" s="577"/>
      <c r="AG312" s="577"/>
      <c r="AH312" s="577"/>
      <c r="AI312" s="1652">
        <v>11</v>
      </c>
    </row>
    <row s="1652" customFormat="1" customHeight="1" ht="11.549999999999999">
      <c r="A313" s="998"/>
      <c r="B313" s="1647"/>
      <c r="C313" s="1647"/>
      <c r="D313" s="362"/>
      <c r="J313" s="1652"/>
      <c r="K313" s="1652"/>
      <c r="L313" s="1652"/>
      <c r="N313" s="1171"/>
      <c r="O313" s="1647"/>
      <c r="P313" s="1647"/>
      <c r="Q313" s="1171"/>
      <c r="R313" s="1171"/>
      <c r="S313" s="1171"/>
      <c r="T313" s="1171"/>
      <c r="U313" s="1647"/>
      <c r="V313" s="1171"/>
      <c r="W313" s="1171"/>
      <c r="X313" s="555"/>
      <c r="Y313" s="1171"/>
      <c r="Z313" s="1171"/>
      <c r="AA313" s="1171"/>
      <c r="AB313" s="1171"/>
      <c r="AC313" s="1171"/>
      <c r="AD313" s="1643"/>
      <c r="AE313" s="577"/>
      <c r="AF313" s="577"/>
      <c r="AG313" s="577"/>
      <c r="AH313" s="577"/>
      <c r="AI313" s="1652">
        <v>11</v>
      </c>
    </row>
    <row s="1652" customFormat="1" customHeight="1" ht="11.549999999999999">
      <c r="A314" s="998"/>
      <c r="B314" s="1647"/>
      <c r="C314" s="1647"/>
      <c r="D314" s="362"/>
      <c r="J314" s="1652"/>
      <c r="K314" s="1652"/>
      <c r="L314" s="1652"/>
      <c r="N314" s="1171"/>
      <c r="O314" s="1647"/>
      <c r="P314" s="1647"/>
      <c r="Q314" s="1171"/>
      <c r="R314" s="1171"/>
      <c r="S314" s="1171"/>
      <c r="T314" s="1171"/>
      <c r="U314" s="1647"/>
      <c r="V314" s="1171"/>
      <c r="W314" s="1171"/>
      <c r="X314" s="555"/>
      <c r="Y314" s="1171"/>
      <c r="Z314" s="1171"/>
      <c r="AA314" s="1171"/>
      <c r="AB314" s="1171"/>
      <c r="AC314" s="1171"/>
      <c r="AD314" s="1643"/>
      <c r="AE314" s="577"/>
      <c r="AF314" s="577"/>
      <c r="AG314" s="577"/>
      <c r="AH314" s="577"/>
      <c r="AI314" s="1652">
        <v>11</v>
      </c>
    </row>
    <row s="1652" customFormat="1" customHeight="1" ht="11.549999999999999">
      <c r="A315" s="998"/>
      <c r="B315" s="1647"/>
      <c r="C315" s="1647"/>
      <c r="D315" s="362"/>
      <c r="J315" s="1652"/>
      <c r="K315" s="1652"/>
      <c r="L315" s="1652"/>
      <c r="N315" s="1171"/>
      <c r="O315" s="1647"/>
      <c r="P315" s="1647"/>
      <c r="Q315" s="1171"/>
      <c r="R315" s="1171"/>
      <c r="S315" s="1171"/>
      <c r="T315" s="1171"/>
      <c r="U315" s="1647"/>
      <c r="V315" s="1171"/>
      <c r="W315" s="1171"/>
      <c r="X315" s="555"/>
      <c r="Y315" s="1171"/>
      <c r="Z315" s="1171"/>
      <c r="AA315" s="1171"/>
      <c r="AB315" s="1171"/>
      <c r="AC315" s="1171"/>
      <c r="AD315" s="1643"/>
      <c r="AE315" s="577"/>
      <c r="AF315" s="577"/>
      <c r="AG315" s="577"/>
      <c r="AH315" s="577"/>
      <c r="AI315" s="1652">
        <v>11</v>
      </c>
    </row>
    <row s="1652" customFormat="1" customHeight="1" ht="11.549999999999999">
      <c r="A316" s="998"/>
      <c r="B316" s="1647"/>
      <c r="C316" s="1647"/>
      <c r="D316" s="362"/>
      <c r="J316" s="1652"/>
      <c r="K316" s="1652"/>
      <c r="L316" s="1652"/>
      <c r="N316" s="1171"/>
      <c r="O316" s="1647"/>
      <c r="P316" s="1647"/>
      <c r="Q316" s="1171"/>
      <c r="R316" s="1171"/>
      <c r="S316" s="1171"/>
      <c r="T316" s="1171"/>
      <c r="U316" s="1647"/>
      <c r="V316" s="1171"/>
      <c r="W316" s="1171"/>
      <c r="X316" s="555"/>
      <c r="Y316" s="1171"/>
      <c r="Z316" s="1171"/>
      <c r="AA316" s="1171"/>
      <c r="AB316" s="1171"/>
      <c r="AC316" s="1171"/>
      <c r="AD316" s="1643"/>
      <c r="AE316" s="577"/>
      <c r="AF316" s="577"/>
      <c r="AG316" s="577"/>
      <c r="AH316" s="577"/>
      <c r="AI316" s="1652">
        <v>11</v>
      </c>
    </row>
    <row s="1652" customFormat="1" customHeight="1" ht="11.549999999999999">
      <c r="A317" s="998"/>
      <c r="B317" s="1647"/>
      <c r="C317" s="1647"/>
      <c r="D317" s="362"/>
      <c r="J317" s="1652"/>
      <c r="K317" s="1652"/>
      <c r="L317" s="1652"/>
      <c r="N317" s="1171"/>
      <c r="O317" s="1647"/>
      <c r="P317" s="1647"/>
      <c r="Q317" s="1171"/>
      <c r="R317" s="1171"/>
      <c r="S317" s="1171"/>
      <c r="T317" s="1171"/>
      <c r="U317" s="1647"/>
      <c r="V317" s="1171"/>
      <c r="W317" s="1171"/>
      <c r="X317" s="555"/>
      <c r="Y317" s="1171"/>
      <c r="Z317" s="1171"/>
      <c r="AA317" s="1171"/>
      <c r="AB317" s="1171"/>
      <c r="AC317" s="1171"/>
      <c r="AD317" s="1643"/>
      <c r="AE317" s="577"/>
      <c r="AF317" s="577"/>
      <c r="AG317" s="577"/>
      <c r="AH317" s="577"/>
      <c r="AI317" s="1652">
        <v>11</v>
      </c>
    </row>
    <row s="1652" customFormat="1" customHeight="1" ht="11.549999999999999">
      <c r="A318" s="998"/>
      <c r="B318" s="1647"/>
      <c r="C318" s="1647"/>
      <c r="D318" s="362"/>
      <c r="J318" s="1652"/>
      <c r="K318" s="1652"/>
      <c r="L318" s="1652"/>
      <c r="N318" s="1171"/>
      <c r="O318" s="1647"/>
      <c r="P318" s="1647"/>
      <c r="Q318" s="1171"/>
      <c r="R318" s="1171"/>
      <c r="S318" s="1171"/>
      <c r="T318" s="1171"/>
      <c r="U318" s="1647"/>
      <c r="V318" s="1171"/>
      <c r="W318" s="1171"/>
      <c r="X318" s="555"/>
      <c r="Y318" s="1171"/>
      <c r="Z318" s="1171"/>
      <c r="AA318" s="1171"/>
      <c r="AB318" s="1171"/>
      <c r="AC318" s="1171"/>
      <c r="AD318" s="1643"/>
      <c r="AE318" s="577"/>
      <c r="AF318" s="577"/>
      <c r="AG318" s="577"/>
      <c r="AH318" s="577"/>
      <c r="AI318" s="1652">
        <v>11</v>
      </c>
    </row>
    <row s="1652" customFormat="1" customHeight="1" ht="11.549999999999999">
      <c r="A319" s="998"/>
      <c r="B319" s="1647"/>
      <c r="C319" s="1647"/>
      <c r="D319" s="362"/>
      <c r="J319" s="1652"/>
      <c r="K319" s="1652"/>
      <c r="L319" s="1652"/>
      <c r="N319" s="1171"/>
      <c r="O319" s="1647"/>
      <c r="P319" s="1647"/>
      <c r="Q319" s="1171"/>
      <c r="R319" s="1171"/>
      <c r="S319" s="1171"/>
      <c r="T319" s="1171"/>
      <c r="U319" s="1647"/>
      <c r="V319" s="1171"/>
      <c r="W319" s="1171"/>
      <c r="X319" s="555"/>
      <c r="Y319" s="1171"/>
      <c r="Z319" s="1171"/>
      <c r="AA319" s="1171"/>
      <c r="AB319" s="1171"/>
      <c r="AC319" s="1171"/>
      <c r="AD319" s="1643"/>
      <c r="AE319" s="577"/>
      <c r="AF319" s="577"/>
      <c r="AG319" s="577"/>
      <c r="AH319" s="577"/>
      <c r="AI319" s="1652">
        <v>11</v>
      </c>
    </row>
    <row s="1652" customFormat="1" customHeight="1" ht="11.549999999999999">
      <c r="A320" s="998"/>
      <c r="B320" s="1647"/>
      <c r="C320" s="1647"/>
      <c r="D320" s="362"/>
      <c r="J320" s="1652"/>
      <c r="K320" s="1652"/>
      <c r="L320" s="1652"/>
      <c r="N320" s="1171"/>
      <c r="O320" s="1647"/>
      <c r="P320" s="1647"/>
      <c r="Q320" s="1171"/>
      <c r="R320" s="1171"/>
      <c r="S320" s="1171"/>
      <c r="T320" s="1171"/>
      <c r="U320" s="1647"/>
      <c r="V320" s="1171"/>
      <c r="W320" s="1171"/>
      <c r="X320" s="555"/>
      <c r="Y320" s="1171"/>
      <c r="Z320" s="1171"/>
      <c r="AA320" s="1171"/>
      <c r="AB320" s="1171"/>
      <c r="AC320" s="1171"/>
      <c r="AD320" s="1643"/>
      <c r="AE320" s="577"/>
      <c r="AF320" s="577"/>
      <c r="AG320" s="577"/>
      <c r="AH320" s="577"/>
      <c r="AI320" s="1652">
        <v>11</v>
      </c>
    </row>
    <row s="1652" customFormat="1" customHeight="1" ht="11.549999999999999">
      <c r="A321" s="998"/>
      <c r="B321" s="1647"/>
      <c r="C321" s="1647"/>
      <c r="D321" s="362"/>
      <c r="J321" s="1652"/>
      <c r="K321" s="1652"/>
      <c r="L321" s="1652"/>
      <c r="N321" s="1171"/>
      <c r="O321" s="1647"/>
      <c r="P321" s="1647"/>
      <c r="Q321" s="1171"/>
      <c r="R321" s="1171"/>
      <c r="S321" s="1171"/>
      <c r="T321" s="1171"/>
      <c r="U321" s="1647"/>
      <c r="V321" s="1171"/>
      <c r="W321" s="1171"/>
      <c r="X321" s="555"/>
      <c r="Y321" s="1171"/>
      <c r="Z321" s="1171"/>
      <c r="AA321" s="1171"/>
      <c r="AB321" s="1171"/>
      <c r="AC321" s="1171"/>
      <c r="AD321" s="1643"/>
      <c r="AE321" s="577"/>
      <c r="AF321" s="577"/>
      <c r="AG321" s="577"/>
      <c r="AH321" s="577"/>
      <c r="AI321" s="1652">
        <v>11</v>
      </c>
    </row>
    <row s="1652" customFormat="1" customHeight="1" ht="11.549999999999999">
      <c r="A322" s="998"/>
      <c r="B322" s="1647"/>
      <c r="C322" s="1647"/>
      <c r="D322" s="362"/>
      <c r="J322" s="1652"/>
      <c r="K322" s="1652"/>
      <c r="L322" s="1652"/>
      <c r="N322" s="1171"/>
      <c r="O322" s="1647"/>
      <c r="P322" s="1647"/>
      <c r="Q322" s="1171"/>
      <c r="R322" s="1171"/>
      <c r="S322" s="1171"/>
      <c r="T322" s="1171"/>
      <c r="U322" s="1647"/>
      <c r="V322" s="1171"/>
      <c r="W322" s="1171"/>
      <c r="X322" s="555"/>
      <c r="Y322" s="1171"/>
      <c r="Z322" s="1171"/>
      <c r="AA322" s="1171"/>
      <c r="AB322" s="1171"/>
      <c r="AC322" s="1171"/>
      <c r="AD322" s="1643"/>
      <c r="AE322" s="577"/>
      <c r="AF322" s="577"/>
      <c r="AG322" s="577"/>
      <c r="AH322" s="577"/>
      <c r="AI322" s="1652">
        <v>11</v>
      </c>
    </row>
    <row s="1652" customFormat="1" customHeight="1" ht="11.549999999999999">
      <c r="A323" s="998"/>
      <c r="B323" s="1647"/>
      <c r="C323" s="1647"/>
      <c r="D323" s="362"/>
      <c r="J323" s="1652"/>
      <c r="K323" s="1652"/>
      <c r="L323" s="1652"/>
      <c r="N323" s="1171"/>
      <c r="O323" s="1647"/>
      <c r="P323" s="1647"/>
      <c r="Q323" s="1171"/>
      <c r="R323" s="1171"/>
      <c r="S323" s="1171"/>
      <c r="T323" s="1171"/>
      <c r="U323" s="1647"/>
      <c r="V323" s="1171"/>
      <c r="W323" s="1171"/>
      <c r="X323" s="555"/>
      <c r="Y323" s="1171"/>
      <c r="Z323" s="1171"/>
      <c r="AA323" s="1171"/>
      <c r="AB323" s="1171"/>
      <c r="AC323" s="1171"/>
      <c r="AD323" s="1643"/>
      <c r="AE323" s="577"/>
      <c r="AF323" s="577"/>
      <c r="AG323" s="577"/>
      <c r="AH323" s="577"/>
      <c r="AI323" s="1652">
        <v>11</v>
      </c>
    </row>
    <row s="1652" customFormat="1" customHeight="1" ht="11.549999999999999">
      <c r="A324" s="998"/>
      <c r="B324" s="1647"/>
      <c r="C324" s="1647"/>
      <c r="D324" s="362"/>
      <c r="J324" s="1652"/>
      <c r="K324" s="1652"/>
      <c r="L324" s="1652"/>
      <c r="N324" s="1171"/>
      <c r="O324" s="1647"/>
      <c r="P324" s="1647"/>
      <c r="Q324" s="1171"/>
      <c r="R324" s="1171"/>
      <c r="S324" s="1171"/>
      <c r="T324" s="1171"/>
      <c r="U324" s="1647"/>
      <c r="V324" s="1171"/>
      <c r="W324" s="1171"/>
      <c r="X324" s="555"/>
      <c r="Y324" s="1171"/>
      <c r="Z324" s="1171"/>
      <c r="AA324" s="1171"/>
      <c r="AB324" s="1171"/>
      <c r="AC324" s="1171"/>
      <c r="AD324" s="1643"/>
      <c r="AE324" s="577"/>
      <c r="AF324" s="577"/>
      <c r="AG324" s="577"/>
      <c r="AH324" s="577"/>
      <c r="AI324" s="1652">
        <v>11</v>
      </c>
    </row>
    <row s="1652" customFormat="1" customHeight="1" ht="11.549999999999999">
      <c r="A325" s="998"/>
      <c r="B325" s="1647"/>
      <c r="C325" s="1647"/>
      <c r="D325" s="362"/>
      <c r="J325" s="1652"/>
      <c r="K325" s="1652"/>
      <c r="L325" s="1652"/>
      <c r="N325" s="1171"/>
      <c r="O325" s="1647"/>
      <c r="P325" s="1647"/>
      <c r="Q325" s="1171"/>
      <c r="R325" s="1171"/>
      <c r="S325" s="1171"/>
      <c r="T325" s="1171"/>
      <c r="U325" s="1647"/>
      <c r="V325" s="1171"/>
      <c r="W325" s="1171"/>
      <c r="X325" s="555"/>
      <c r="Y325" s="1171"/>
      <c r="Z325" s="1171"/>
      <c r="AA325" s="1171"/>
      <c r="AB325" s="1171"/>
      <c r="AC325" s="1171"/>
      <c r="AD325" s="1643"/>
      <c r="AE325" s="577"/>
      <c r="AF325" s="577"/>
      <c r="AG325" s="577"/>
      <c r="AH325" s="577"/>
      <c r="AI325" s="1652">
        <v>11</v>
      </c>
    </row>
    <row s="1652" customFormat="1" customHeight="1" ht="11.549999999999999">
      <c r="A326" s="998"/>
      <c r="B326" s="1647"/>
      <c r="C326" s="1647"/>
      <c r="D326" s="362"/>
      <c r="J326" s="1652"/>
      <c r="K326" s="1652"/>
      <c r="L326" s="1652"/>
      <c r="N326" s="1171"/>
      <c r="O326" s="1647"/>
      <c r="P326" s="1647"/>
      <c r="Q326" s="1171"/>
      <c r="R326" s="1171"/>
      <c r="S326" s="1171"/>
      <c r="T326" s="1171"/>
      <c r="U326" s="1647"/>
      <c r="V326" s="1171"/>
      <c r="W326" s="1171"/>
      <c r="X326" s="555"/>
      <c r="Y326" s="1171"/>
      <c r="Z326" s="1171"/>
      <c r="AA326" s="1171"/>
      <c r="AB326" s="1171"/>
      <c r="AC326" s="1171"/>
      <c r="AD326" s="1643"/>
      <c r="AE326" s="577"/>
      <c r="AF326" s="577"/>
      <c r="AG326" s="577"/>
      <c r="AH326" s="577"/>
      <c r="AI326" s="1652">
        <v>11</v>
      </c>
    </row>
    <row s="1652" customFormat="1" customHeight="1" ht="11.549999999999999">
      <c r="A327" s="998"/>
      <c r="B327" s="1647"/>
      <c r="C327" s="1647"/>
      <c r="D327" s="362"/>
      <c r="J327" s="1652"/>
      <c r="K327" s="1652"/>
      <c r="L327" s="1652"/>
      <c r="N327" s="1171"/>
      <c r="O327" s="1647"/>
      <c r="P327" s="1647"/>
      <c r="Q327" s="1171"/>
      <c r="R327" s="1171"/>
      <c r="S327" s="1171"/>
      <c r="T327" s="1171"/>
      <c r="U327" s="1647"/>
      <c r="V327" s="1171"/>
      <c r="W327" s="1171"/>
      <c r="X327" s="555"/>
      <c r="Y327" s="1171"/>
      <c r="Z327" s="1171"/>
      <c r="AA327" s="1171"/>
      <c r="AB327" s="1171"/>
      <c r="AC327" s="1171"/>
      <c r="AD327" s="1643"/>
      <c r="AE327" s="577"/>
      <c r="AF327" s="577"/>
      <c r="AG327" s="577"/>
      <c r="AH327" s="577"/>
      <c r="AI327" s="1652">
        <v>11</v>
      </c>
    </row>
    <row s="1652" customFormat="1" customHeight="1" ht="11.549999999999999">
      <c r="A328" s="998"/>
      <c r="B328" s="1647"/>
      <c r="C328" s="1647"/>
      <c r="D328" s="362"/>
      <c r="J328" s="1652"/>
      <c r="K328" s="1652"/>
      <c r="L328" s="1652"/>
      <c r="N328" s="1171"/>
      <c r="O328" s="1647"/>
      <c r="P328" s="1647"/>
      <c r="Q328" s="1171"/>
      <c r="R328" s="1171"/>
      <c r="S328" s="1171"/>
      <c r="T328" s="1171"/>
      <c r="U328" s="1647"/>
      <c r="V328" s="1171"/>
      <c r="W328" s="1171"/>
      <c r="X328" s="555"/>
      <c r="Y328" s="1171"/>
      <c r="Z328" s="1171"/>
      <c r="AA328" s="1171"/>
      <c r="AB328" s="1171"/>
      <c r="AC328" s="1171"/>
      <c r="AD328" s="1643"/>
      <c r="AE328" s="577"/>
      <c r="AF328" s="577"/>
      <c r="AG328" s="577"/>
      <c r="AH328" s="577"/>
      <c r="AI328" s="1652">
        <v>11</v>
      </c>
    </row>
    <row s="1652" customFormat="1" customHeight="1" ht="11.549999999999999">
      <c r="A329" s="998"/>
      <c r="B329" s="1647"/>
      <c r="C329" s="1647"/>
      <c r="D329" s="362"/>
      <c r="J329" s="1652"/>
      <c r="K329" s="1652"/>
      <c r="L329" s="1652"/>
      <c r="N329" s="1171"/>
      <c r="O329" s="1647"/>
      <c r="P329" s="1647"/>
      <c r="Q329" s="1171"/>
      <c r="R329" s="1171"/>
      <c r="S329" s="1171"/>
      <c r="T329" s="1171"/>
      <c r="U329" s="1647"/>
      <c r="V329" s="1171"/>
      <c r="W329" s="1171"/>
      <c r="X329" s="555"/>
      <c r="Y329" s="1171"/>
      <c r="Z329" s="1171"/>
      <c r="AA329" s="1171"/>
      <c r="AB329" s="1171"/>
      <c r="AC329" s="1171"/>
      <c r="AD329" s="1643"/>
      <c r="AE329" s="577"/>
      <c r="AF329" s="577"/>
      <c r="AG329" s="577"/>
      <c r="AH329" s="577"/>
      <c r="AI329" s="1652">
        <v>11</v>
      </c>
    </row>
    <row s="1652" customFormat="1" customHeight="1" ht="11.549999999999999">
      <c r="A330" s="998"/>
      <c r="B330" s="1647"/>
      <c r="C330" s="1647"/>
      <c r="D330" s="362"/>
      <c r="J330" s="1652"/>
      <c r="K330" s="1652"/>
      <c r="L330" s="1652"/>
      <c r="N330" s="1171"/>
      <c r="O330" s="1647"/>
      <c r="P330" s="1647"/>
      <c r="Q330" s="1171"/>
      <c r="R330" s="1171"/>
      <c r="S330" s="1171"/>
      <c r="T330" s="1171"/>
      <c r="U330" s="1647"/>
      <c r="V330" s="1171"/>
      <c r="W330" s="1171"/>
      <c r="X330" s="555"/>
      <c r="Y330" s="1171"/>
      <c r="Z330" s="1171"/>
      <c r="AA330" s="1171"/>
      <c r="AB330" s="1171"/>
      <c r="AC330" s="1171"/>
      <c r="AD330" s="1643"/>
      <c r="AE330" s="577"/>
      <c r="AF330" s="577"/>
      <c r="AG330" s="577"/>
      <c r="AH330" s="577"/>
      <c r="AI330" s="1652">
        <v>11</v>
      </c>
    </row>
    <row s="1652" customFormat="1" customHeight="1" ht="11.549999999999999">
      <c r="A331" s="998"/>
      <c r="B331" s="1647"/>
      <c r="C331" s="1647"/>
      <c r="D331" s="362"/>
      <c r="J331" s="1652"/>
      <c r="K331" s="1652"/>
      <c r="L331" s="1652"/>
      <c r="N331" s="1171"/>
      <c r="O331" s="1647"/>
      <c r="P331" s="1647"/>
      <c r="Q331" s="1171"/>
      <c r="R331" s="1171"/>
      <c r="S331" s="1171"/>
      <c r="T331" s="1171"/>
      <c r="U331" s="1647"/>
      <c r="V331" s="1171"/>
      <c r="W331" s="1171"/>
      <c r="X331" s="555"/>
      <c r="Y331" s="1171"/>
      <c r="Z331" s="1171"/>
      <c r="AA331" s="1171"/>
      <c r="AB331" s="1171"/>
      <c r="AC331" s="1171"/>
      <c r="AD331" s="1643"/>
      <c r="AE331" s="577"/>
      <c r="AF331" s="577"/>
      <c r="AG331" s="577"/>
      <c r="AH331" s="577"/>
      <c r="AI331" s="1652">
        <v>11</v>
      </c>
    </row>
    <row s="1652" customFormat="1" customHeight="1" ht="11.549999999999999">
      <c r="A332" s="998"/>
      <c r="B332" s="1647"/>
      <c r="C332" s="1647"/>
      <c r="D332" s="362"/>
      <c r="J332" s="1652"/>
      <c r="K332" s="1652"/>
      <c r="L332" s="1652"/>
      <c r="N332" s="1171"/>
      <c r="O332" s="1647"/>
      <c r="P332" s="1647"/>
      <c r="Q332" s="1171"/>
      <c r="R332" s="1171"/>
      <c r="S332" s="1171"/>
      <c r="T332" s="1171"/>
      <c r="U332" s="1647"/>
      <c r="V332" s="1171"/>
      <c r="W332" s="1171"/>
      <c r="X332" s="555"/>
      <c r="Y332" s="1171"/>
      <c r="Z332" s="1171"/>
      <c r="AA332" s="1171"/>
      <c r="AB332" s="1171"/>
      <c r="AC332" s="1171"/>
      <c r="AD332" s="1643"/>
      <c r="AE332" s="577"/>
      <c r="AF332" s="577"/>
      <c r="AG332" s="577"/>
      <c r="AH332" s="577"/>
      <c r="AI332" s="1652">
        <v>11</v>
      </c>
    </row>
    <row s="1652" customFormat="1" customHeight="1" ht="11.549999999999999">
      <c r="A333" s="998"/>
      <c r="B333" s="1647"/>
      <c r="C333" s="1647"/>
      <c r="D333" s="362"/>
      <c r="J333" s="1652"/>
      <c r="K333" s="1652"/>
      <c r="L333" s="1652"/>
      <c r="N333" s="1171"/>
      <c r="O333" s="1647"/>
      <c r="P333" s="1647"/>
      <c r="Q333" s="1171"/>
      <c r="R333" s="1171"/>
      <c r="S333" s="1171"/>
      <c r="T333" s="1171"/>
      <c r="U333" s="1647"/>
      <c r="V333" s="1171"/>
      <c r="W333" s="1171"/>
      <c r="X333" s="555"/>
      <c r="Y333" s="1171"/>
      <c r="Z333" s="1171"/>
      <c r="AA333" s="1171"/>
      <c r="AB333" s="1171"/>
      <c r="AC333" s="1171"/>
      <c r="AD333" s="1643"/>
      <c r="AE333" s="577"/>
      <c r="AF333" s="577"/>
      <c r="AG333" s="577"/>
      <c r="AH333" s="577"/>
      <c r="AI333" s="1652">
        <v>11</v>
      </c>
    </row>
    <row s="1652" customFormat="1" customHeight="1" ht="11.549999999999999">
      <c r="A334" s="998"/>
      <c r="B334" s="1647"/>
      <c r="C334" s="1647"/>
      <c r="D334" s="362"/>
      <c r="J334" s="1652"/>
      <c r="K334" s="1652"/>
      <c r="L334" s="1652"/>
      <c r="N334" s="1171"/>
      <c r="O334" s="1647"/>
      <c r="P334" s="1647"/>
      <c r="Q334" s="1171"/>
      <c r="R334" s="1171"/>
      <c r="S334" s="1171"/>
      <c r="T334" s="1171"/>
      <c r="U334" s="1647"/>
      <c r="V334" s="1171"/>
      <c r="W334" s="1171"/>
      <c r="X334" s="555"/>
      <c r="Y334" s="1171"/>
      <c r="Z334" s="1171"/>
      <c r="AA334" s="1171"/>
      <c r="AB334" s="1171"/>
      <c r="AC334" s="1171"/>
      <c r="AD334" s="1643"/>
      <c r="AE334" s="577"/>
      <c r="AF334" s="577"/>
      <c r="AG334" s="577"/>
      <c r="AH334" s="577"/>
      <c r="AI334" s="1652">
        <v>11</v>
      </c>
    </row>
    <row s="1652" customFormat="1" customHeight="1" ht="11.549999999999999">
      <c r="A335" s="998"/>
      <c r="B335" s="1647"/>
      <c r="C335" s="1647"/>
      <c r="D335" s="362"/>
      <c r="J335" s="1652"/>
      <c r="K335" s="1652"/>
      <c r="L335" s="1652"/>
      <c r="N335" s="1171"/>
      <c r="O335" s="1647"/>
      <c r="P335" s="1647"/>
      <c r="Q335" s="1171"/>
      <c r="R335" s="1171"/>
      <c r="S335" s="1171"/>
      <c r="T335" s="1171"/>
      <c r="U335" s="1647"/>
      <c r="V335" s="1171"/>
      <c r="W335" s="1171"/>
      <c r="X335" s="555"/>
      <c r="Y335" s="1171"/>
      <c r="Z335" s="1171"/>
      <c r="AA335" s="1171"/>
      <c r="AB335" s="1171"/>
      <c r="AC335" s="1171"/>
      <c r="AD335" s="1643"/>
      <c r="AE335" s="577"/>
      <c r="AF335" s="577"/>
      <c r="AG335" s="577"/>
      <c r="AH335" s="577"/>
      <c r="AI335" s="1652">
        <v>11</v>
      </c>
    </row>
    <row s="1652" customFormat="1" customHeight="1" ht="11.549999999999999">
      <c r="A336" s="998"/>
      <c r="B336" s="1647"/>
      <c r="C336" s="1647"/>
      <c r="D336" s="362"/>
      <c r="J336" s="1652"/>
      <c r="K336" s="1652"/>
      <c r="L336" s="1652"/>
      <c r="N336" s="1171"/>
      <c r="O336" s="1647"/>
      <c r="P336" s="1647"/>
      <c r="Q336" s="1171"/>
      <c r="R336" s="1171"/>
      <c r="S336" s="1171"/>
      <c r="T336" s="1171"/>
      <c r="U336" s="1647"/>
      <c r="V336" s="1171"/>
      <c r="W336" s="1171"/>
      <c r="X336" s="555"/>
      <c r="Y336" s="1171"/>
      <c r="Z336" s="1171"/>
      <c r="AA336" s="1171"/>
      <c r="AB336" s="1171"/>
      <c r="AC336" s="1171"/>
      <c r="AD336" s="1643"/>
      <c r="AE336" s="577"/>
      <c r="AF336" s="577"/>
      <c r="AG336" s="577"/>
      <c r="AH336" s="577"/>
      <c r="AI336" s="1652">
        <v>11</v>
      </c>
    </row>
    <row s="1652" customFormat="1" customHeight="1" ht="11.549999999999999">
      <c r="A337" s="998"/>
      <c r="B337" s="1647"/>
      <c r="C337" s="1647"/>
      <c r="D337" s="362"/>
      <c r="J337" s="1652"/>
      <c r="K337" s="1652"/>
      <c r="L337" s="1652"/>
      <c r="N337" s="1171"/>
      <c r="O337" s="1647"/>
      <c r="P337" s="1647"/>
      <c r="Q337" s="1171"/>
      <c r="R337" s="1171"/>
      <c r="S337" s="1171"/>
      <c r="T337" s="1171"/>
      <c r="U337" s="1647"/>
      <c r="V337" s="1171"/>
      <c r="W337" s="1171"/>
      <c r="X337" s="555"/>
      <c r="Y337" s="1171"/>
      <c r="Z337" s="1171"/>
      <c r="AA337" s="1171"/>
      <c r="AB337" s="1171"/>
      <c r="AC337" s="1171"/>
      <c r="AD337" s="1643"/>
      <c r="AE337" s="577"/>
      <c r="AF337" s="577"/>
      <c r="AG337" s="577"/>
      <c r="AH337" s="577"/>
      <c r="AI337" s="1652">
        <v>11</v>
      </c>
    </row>
    <row s="1652" customFormat="1" customHeight="1" ht="11.549999999999999">
      <c r="A338" s="998"/>
      <c r="B338" s="1647"/>
      <c r="C338" s="1647"/>
      <c r="D338" s="362"/>
      <c r="J338" s="1652"/>
      <c r="K338" s="1652"/>
      <c r="L338" s="1652"/>
      <c r="N338" s="1171"/>
      <c r="O338" s="1647"/>
      <c r="P338" s="1647"/>
      <c r="Q338" s="1171"/>
      <c r="R338" s="1171"/>
      <c r="S338" s="1171"/>
      <c r="T338" s="1171"/>
      <c r="U338" s="1647"/>
      <c r="V338" s="1171"/>
      <c r="W338" s="1171"/>
      <c r="X338" s="555"/>
      <c r="Y338" s="1171"/>
      <c r="Z338" s="1171"/>
      <c r="AA338" s="1171"/>
      <c r="AB338" s="1171"/>
      <c r="AC338" s="1171"/>
      <c r="AD338" s="1643"/>
      <c r="AE338" s="577"/>
      <c r="AF338" s="577"/>
      <c r="AG338" s="577"/>
      <c r="AH338" s="577"/>
      <c r="AI338" s="1652">
        <v>11</v>
      </c>
    </row>
    <row s="1652" customFormat="1" customHeight="1" ht="11.549999999999999">
      <c r="A339" s="998"/>
      <c r="B339" s="1647"/>
      <c r="C339" s="1647"/>
      <c r="D339" s="362"/>
      <c r="J339" s="1652"/>
      <c r="K339" s="1652"/>
      <c r="L339" s="1652"/>
      <c r="N339" s="1171"/>
      <c r="O339" s="1647"/>
      <c r="P339" s="1647"/>
      <c r="Q339" s="1171"/>
      <c r="R339" s="1171"/>
      <c r="S339" s="1171"/>
      <c r="T339" s="1171"/>
      <c r="U339" s="1647"/>
      <c r="V339" s="1171"/>
      <c r="W339" s="1171"/>
      <c r="X339" s="555"/>
      <c r="Y339" s="1171"/>
      <c r="Z339" s="1171"/>
      <c r="AA339" s="1171"/>
      <c r="AB339" s="1171"/>
      <c r="AC339" s="1171"/>
      <c r="AD339" s="1643"/>
      <c r="AE339" s="577"/>
      <c r="AF339" s="577"/>
      <c r="AG339" s="577"/>
      <c r="AH339" s="577"/>
      <c r="AI339" s="1652">
        <v>11</v>
      </c>
    </row>
    <row s="1652" customFormat="1" customHeight="1" ht="11.549999999999999">
      <c r="A340" s="998"/>
      <c r="B340" s="1647"/>
      <c r="C340" s="1647"/>
      <c r="D340" s="362"/>
      <c r="J340" s="1652"/>
      <c r="K340" s="1652"/>
      <c r="L340" s="1652"/>
      <c r="N340" s="1171"/>
      <c r="O340" s="1647"/>
      <c r="P340" s="1647"/>
      <c r="Q340" s="1171"/>
      <c r="R340" s="1171"/>
      <c r="S340" s="1171"/>
      <c r="T340" s="1171"/>
      <c r="U340" s="1647"/>
      <c r="V340" s="1171"/>
      <c r="W340" s="1171"/>
      <c r="X340" s="555"/>
      <c r="Y340" s="1171"/>
      <c r="Z340" s="1171"/>
      <c r="AA340" s="1171"/>
      <c r="AB340" s="1171"/>
      <c r="AC340" s="1171"/>
      <c r="AD340" s="1643"/>
      <c r="AE340" s="577"/>
      <c r="AF340" s="577"/>
      <c r="AG340" s="577"/>
      <c r="AH340" s="577"/>
      <c r="AI340" s="1652">
        <v>11</v>
      </c>
    </row>
    <row s="1652" customFormat="1" customHeight="1" ht="11.549999999999999">
      <c r="A341" s="998"/>
      <c r="B341" s="1647"/>
      <c r="C341" s="1647"/>
      <c r="D341" s="362"/>
      <c r="J341" s="1652"/>
      <c r="K341" s="1652"/>
      <c r="L341" s="1652"/>
      <c r="N341" s="1171"/>
      <c r="O341" s="1647"/>
      <c r="P341" s="1647"/>
      <c r="Q341" s="1171"/>
      <c r="R341" s="1171"/>
      <c r="S341" s="1171"/>
      <c r="T341" s="1171"/>
      <c r="U341" s="1647"/>
      <c r="V341" s="1171"/>
      <c r="W341" s="1171"/>
      <c r="X341" s="555"/>
      <c r="Y341" s="1171"/>
      <c r="Z341" s="1171"/>
      <c r="AA341" s="1171"/>
      <c r="AB341" s="1171"/>
      <c r="AC341" s="1171"/>
      <c r="AD341" s="1643"/>
      <c r="AE341" s="577"/>
      <c r="AF341" s="577"/>
      <c r="AG341" s="577"/>
      <c r="AH341" s="577"/>
      <c r="AI341" s="1652">
        <v>11</v>
      </c>
    </row>
    <row s="1652" customFormat="1" customHeight="1" ht="11.549999999999999">
      <c r="A342" s="998"/>
      <c r="B342" s="1647"/>
      <c r="C342" s="1647"/>
      <c r="D342" s="362"/>
      <c r="J342" s="1652"/>
      <c r="K342" s="1652"/>
      <c r="L342" s="1652"/>
      <c r="N342" s="1171"/>
      <c r="O342" s="1647"/>
      <c r="P342" s="1647"/>
      <c r="Q342" s="1171"/>
      <c r="R342" s="1171"/>
      <c r="S342" s="1171"/>
      <c r="T342" s="1171"/>
      <c r="U342" s="1647"/>
      <c r="V342" s="1171"/>
      <c r="W342" s="1171"/>
      <c r="X342" s="555"/>
      <c r="Y342" s="1171"/>
      <c r="Z342" s="1171"/>
      <c r="AA342" s="1171"/>
      <c r="AB342" s="1171"/>
      <c r="AC342" s="1171"/>
      <c r="AD342" s="1643"/>
      <c r="AE342" s="577"/>
      <c r="AF342" s="577"/>
      <c r="AG342" s="577"/>
      <c r="AH342" s="577"/>
      <c r="AI342" s="1652">
        <v>11</v>
      </c>
    </row>
    <row s="1652" customFormat="1" customHeight="1" ht="11.549999999999999">
      <c r="A343" s="998"/>
      <c r="B343" s="1647"/>
      <c r="C343" s="1647"/>
      <c r="D343" s="362"/>
      <c r="J343" s="1652"/>
      <c r="K343" s="1652"/>
      <c r="L343" s="1652"/>
      <c r="N343" s="1171"/>
      <c r="O343" s="1647"/>
      <c r="P343" s="1647"/>
      <c r="Q343" s="1171"/>
      <c r="R343" s="1171"/>
      <c r="S343" s="1171"/>
      <c r="T343" s="1171"/>
      <c r="U343" s="1647"/>
      <c r="V343" s="1171"/>
      <c r="W343" s="1171"/>
      <c r="X343" s="555"/>
      <c r="Y343" s="1171"/>
      <c r="Z343" s="1171"/>
      <c r="AA343" s="1171"/>
      <c r="AB343" s="1171"/>
      <c r="AC343" s="1171"/>
      <c r="AD343" s="1643"/>
      <c r="AE343" s="577"/>
      <c r="AF343" s="577"/>
      <c r="AG343" s="577"/>
      <c r="AH343" s="577"/>
      <c r="AI343" s="1652">
        <v>11</v>
      </c>
    </row>
    <row s="1652" customFormat="1" customHeight="1" ht="11.549999999999999">
      <c r="A344" s="998"/>
      <c r="B344" s="1647"/>
      <c r="C344" s="1647"/>
      <c r="D344" s="362"/>
      <c r="J344" s="1652"/>
      <c r="K344" s="1652"/>
      <c r="L344" s="1652"/>
      <c r="N344" s="1171"/>
      <c r="O344" s="1647"/>
      <c r="P344" s="1647"/>
      <c r="Q344" s="1171"/>
      <c r="R344" s="1171"/>
      <c r="S344" s="1171"/>
      <c r="T344" s="1171"/>
      <c r="U344" s="1647"/>
      <c r="V344" s="1171"/>
      <c r="W344" s="1171"/>
      <c r="X344" s="555"/>
      <c r="Y344" s="1171"/>
      <c r="Z344" s="1171"/>
      <c r="AA344" s="1171"/>
      <c r="AB344" s="1171"/>
      <c r="AC344" s="1171"/>
      <c r="AD344" s="1643"/>
      <c r="AE344" s="577"/>
      <c r="AF344" s="577"/>
      <c r="AG344" s="577"/>
      <c r="AH344" s="577"/>
      <c r="AI344" s="1652">
        <v>11</v>
      </c>
    </row>
    <row s="1652" customFormat="1" customHeight="1" ht="11.549999999999999">
      <c r="A345" s="998"/>
      <c r="B345" s="1647"/>
      <c r="C345" s="1647"/>
      <c r="D345" s="362"/>
      <c r="J345" s="1652"/>
      <c r="K345" s="1652"/>
      <c r="L345" s="1652"/>
      <c r="N345" s="1171"/>
      <c r="O345" s="1647"/>
      <c r="P345" s="1647"/>
      <c r="Q345" s="1171"/>
      <c r="R345" s="1171"/>
      <c r="S345" s="1171"/>
      <c r="T345" s="1171"/>
      <c r="U345" s="1647"/>
      <c r="V345" s="1171"/>
      <c r="W345" s="1171"/>
      <c r="X345" s="555"/>
      <c r="Y345" s="1171"/>
      <c r="Z345" s="1171"/>
      <c r="AA345" s="1171"/>
      <c r="AB345" s="1171"/>
      <c r="AC345" s="1171"/>
      <c r="AD345" s="1643"/>
      <c r="AE345" s="577"/>
      <c r="AF345" s="577"/>
      <c r="AG345" s="577"/>
      <c r="AH345" s="577"/>
      <c r="AI345" s="1652">
        <v>11</v>
      </c>
    </row>
    <row s="1652" customFormat="1" customHeight="1" ht="11.549999999999999">
      <c r="A346" s="998"/>
      <c r="B346" s="1647"/>
      <c r="C346" s="1647"/>
      <c r="D346" s="362"/>
      <c r="J346" s="1652"/>
      <c r="K346" s="1652"/>
      <c r="L346" s="1652"/>
      <c r="N346" s="1171"/>
      <c r="O346" s="1647"/>
      <c r="P346" s="1647"/>
      <c r="Q346" s="1171"/>
      <c r="R346" s="1171"/>
      <c r="S346" s="1171"/>
      <c r="T346" s="1171"/>
      <c r="U346" s="1647"/>
      <c r="V346" s="1171"/>
      <c r="W346" s="1171"/>
      <c r="X346" s="555"/>
      <c r="Y346" s="1171"/>
      <c r="Z346" s="1171"/>
      <c r="AA346" s="1171"/>
      <c r="AB346" s="1171"/>
      <c r="AC346" s="1171"/>
      <c r="AD346" s="1643"/>
      <c r="AE346" s="577"/>
      <c r="AF346" s="577"/>
      <c r="AG346" s="577"/>
      <c r="AH346" s="577"/>
      <c r="AI346" s="1652">
        <v>11</v>
      </c>
    </row>
    <row s="1652" customFormat="1" customHeight="1" ht="11.549999999999999">
      <c r="A347" s="998"/>
      <c r="B347" s="1647"/>
      <c r="C347" s="1647"/>
      <c r="D347" s="362"/>
      <c r="J347" s="1652"/>
      <c r="K347" s="1652"/>
      <c r="L347" s="1652"/>
      <c r="N347" s="1171"/>
      <c r="O347" s="1647"/>
      <c r="P347" s="1647"/>
      <c r="Q347" s="1171"/>
      <c r="R347" s="1171"/>
      <c r="S347" s="1171"/>
      <c r="T347" s="1171"/>
      <c r="U347" s="1647"/>
      <c r="V347" s="1171"/>
      <c r="W347" s="1171"/>
      <c r="X347" s="555"/>
      <c r="Y347" s="1171"/>
      <c r="Z347" s="1171"/>
      <c r="AA347" s="1171"/>
      <c r="AB347" s="1171"/>
      <c r="AC347" s="1171"/>
      <c r="AD347" s="1643"/>
      <c r="AE347" s="577"/>
      <c r="AF347" s="577"/>
      <c r="AG347" s="577"/>
      <c r="AH347" s="577"/>
      <c r="AI347" s="1652">
        <v>11</v>
      </c>
    </row>
    <row s="1652" customFormat="1" customHeight="1" ht="11.549999999999999">
      <c r="A348" s="998"/>
      <c r="B348" s="1647"/>
      <c r="C348" s="1647"/>
      <c r="D348" s="362"/>
      <c r="J348" s="1652"/>
      <c r="K348" s="1652"/>
      <c r="L348" s="1652"/>
      <c r="N348" s="1171"/>
      <c r="O348" s="1647"/>
      <c r="P348" s="1647"/>
      <c r="Q348" s="1171"/>
      <c r="R348" s="1171"/>
      <c r="S348" s="1171"/>
      <c r="T348" s="1171"/>
      <c r="U348" s="1647"/>
      <c r="V348" s="1171"/>
      <c r="W348" s="1171"/>
      <c r="X348" s="555"/>
      <c r="Y348" s="1171"/>
      <c r="Z348" s="1171"/>
      <c r="AA348" s="1171"/>
      <c r="AB348" s="1171"/>
      <c r="AC348" s="1171"/>
      <c r="AD348" s="1643"/>
      <c r="AE348" s="577"/>
      <c r="AF348" s="577"/>
      <c r="AG348" s="577"/>
      <c r="AH348" s="577"/>
      <c r="AI348" s="1652">
        <v>11</v>
      </c>
    </row>
    <row s="1652" customFormat="1" customHeight="1" ht="11.549999999999999">
      <c r="A349" s="998"/>
      <c r="B349" s="1647"/>
      <c r="C349" s="1647"/>
      <c r="D349" s="362"/>
      <c r="J349" s="1652"/>
      <c r="K349" s="1652"/>
      <c r="L349" s="1652"/>
      <c r="N349" s="1171"/>
      <c r="O349" s="1647"/>
      <c r="P349" s="1647"/>
      <c r="Q349" s="1171"/>
      <c r="R349" s="1171"/>
      <c r="S349" s="1171"/>
      <c r="T349" s="1171"/>
      <c r="U349" s="1647"/>
      <c r="V349" s="1171"/>
      <c r="W349" s="1171"/>
      <c r="X349" s="555"/>
      <c r="Y349" s="1171"/>
      <c r="Z349" s="1171"/>
      <c r="AA349" s="1171"/>
      <c r="AB349" s="1171"/>
      <c r="AC349" s="1171"/>
      <c r="AD349" s="1643"/>
      <c r="AE349" s="577"/>
      <c r="AF349" s="577"/>
      <c r="AG349" s="577"/>
      <c r="AH349" s="577"/>
      <c r="AI349" s="1652">
        <v>11</v>
      </c>
    </row>
    <row s="1652" customFormat="1" customHeight="1" ht="11.549999999999999">
      <c r="A350" s="998"/>
      <c r="B350" s="1647"/>
      <c r="C350" s="1647"/>
      <c r="D350" s="362"/>
      <c r="J350" s="1652"/>
      <c r="K350" s="1652"/>
      <c r="L350" s="1652"/>
      <c r="N350" s="1171"/>
      <c r="O350" s="1647"/>
      <c r="P350" s="1647"/>
      <c r="Q350" s="1171"/>
      <c r="R350" s="1171"/>
      <c r="S350" s="1171"/>
      <c r="T350" s="1171"/>
      <c r="U350" s="1647"/>
      <c r="V350" s="1171"/>
      <c r="W350" s="1171"/>
      <c r="X350" s="555"/>
      <c r="Y350" s="1171"/>
      <c r="Z350" s="1171"/>
      <c r="AA350" s="1171"/>
      <c r="AB350" s="1171"/>
      <c r="AC350" s="1171"/>
      <c r="AD350" s="1643"/>
      <c r="AE350" s="577"/>
      <c r="AF350" s="577"/>
      <c r="AG350" s="577"/>
      <c r="AH350" s="577"/>
      <c r="AI350" s="1652">
        <v>11</v>
      </c>
    </row>
    <row s="1652" customFormat="1" customHeight="1" ht="11.549999999999999">
      <c r="A351" s="998"/>
      <c r="B351" s="1647"/>
      <c r="C351" s="1647"/>
      <c r="D351" s="362"/>
      <c r="J351" s="1652"/>
      <c r="K351" s="1652"/>
      <c r="L351" s="1652"/>
      <c r="N351" s="1171"/>
      <c r="O351" s="1647"/>
      <c r="P351" s="1647"/>
      <c r="Q351" s="1171"/>
      <c r="R351" s="1171"/>
      <c r="S351" s="1171"/>
      <c r="T351" s="1171"/>
      <c r="U351" s="1647"/>
      <c r="V351" s="1171"/>
      <c r="W351" s="1171"/>
      <c r="X351" s="555"/>
      <c r="Y351" s="1171"/>
      <c r="Z351" s="1171"/>
      <c r="AA351" s="1171"/>
      <c r="AB351" s="1171"/>
      <c r="AC351" s="1171"/>
      <c r="AD351" s="1643"/>
      <c r="AE351" s="577"/>
      <c r="AF351" s="577"/>
      <c r="AG351" s="577"/>
      <c r="AH351" s="577"/>
      <c r="AI351" s="1652">
        <v>11</v>
      </c>
    </row>
    <row s="1652" customFormat="1" customHeight="1" ht="11.549999999999999">
      <c r="A352" s="998"/>
      <c r="B352" s="1647"/>
      <c r="C352" s="1647"/>
      <c r="D352" s="362"/>
      <c r="J352" s="1652"/>
      <c r="K352" s="1652"/>
      <c r="L352" s="1652"/>
      <c r="N352" s="1171"/>
      <c r="O352" s="1647"/>
      <c r="P352" s="1647"/>
      <c r="Q352" s="1171"/>
      <c r="R352" s="1171"/>
      <c r="S352" s="1171"/>
      <c r="T352" s="1171"/>
      <c r="U352" s="1647"/>
      <c r="V352" s="1171"/>
      <c r="W352" s="1171"/>
      <c r="X352" s="555"/>
      <c r="Y352" s="1171"/>
      <c r="Z352" s="1171"/>
      <c r="AA352" s="1171"/>
      <c r="AB352" s="1171"/>
      <c r="AC352" s="1171"/>
      <c r="AD352" s="1643"/>
      <c r="AE352" s="577"/>
      <c r="AF352" s="577"/>
      <c r="AG352" s="577"/>
      <c r="AH352" s="577"/>
      <c r="AI352" s="1652">
        <v>11</v>
      </c>
    </row>
    <row s="1652" customFormat="1" customHeight="1" ht="11.549999999999999">
      <c r="A353" s="998"/>
      <c r="B353" s="1647"/>
      <c r="C353" s="1647"/>
      <c r="D353" s="362"/>
      <c r="J353" s="1652"/>
      <c r="K353" s="1652"/>
      <c r="L353" s="1652"/>
      <c r="N353" s="1171"/>
      <c r="O353" s="1647"/>
      <c r="P353" s="1647"/>
      <c r="Q353" s="1171"/>
      <c r="R353" s="1171"/>
      <c r="S353" s="1171"/>
      <c r="T353" s="1171"/>
      <c r="U353" s="1647"/>
      <c r="V353" s="1171"/>
      <c r="W353" s="1171"/>
      <c r="X353" s="555"/>
      <c r="Y353" s="1171"/>
      <c r="Z353" s="1171"/>
      <c r="AA353" s="1171"/>
      <c r="AB353" s="1171"/>
      <c r="AC353" s="1171"/>
      <c r="AD353" s="1643"/>
      <c r="AE353" s="577"/>
      <c r="AF353" s="577"/>
      <c r="AG353" s="577"/>
      <c r="AH353" s="577"/>
      <c r="AI353" s="1652">
        <v>11</v>
      </c>
    </row>
    <row s="1652" customFormat="1" customHeight="1" ht="11.549999999999999">
      <c r="A354" s="998"/>
      <c r="B354" s="1647"/>
      <c r="C354" s="1647"/>
      <c r="D354" s="362"/>
      <c r="J354" s="1652"/>
      <c r="K354" s="1652"/>
      <c r="L354" s="1652"/>
      <c r="N354" s="1171"/>
      <c r="O354" s="1647"/>
      <c r="P354" s="1647"/>
      <c r="Q354" s="1171"/>
      <c r="R354" s="1171"/>
      <c r="S354" s="1171"/>
      <c r="T354" s="1171"/>
      <c r="U354" s="1647"/>
      <c r="V354" s="1171"/>
      <c r="W354" s="1171"/>
      <c r="X354" s="555"/>
      <c r="Y354" s="1171"/>
      <c r="Z354" s="1171"/>
      <c r="AA354" s="1171"/>
      <c r="AB354" s="1171"/>
      <c r="AC354" s="1171"/>
      <c r="AD354" s="1643"/>
      <c r="AE354" s="577"/>
      <c r="AF354" s="577"/>
      <c r="AG354" s="577"/>
      <c r="AH354" s="577"/>
      <c r="AI354" s="1652">
        <v>11</v>
      </c>
    </row>
    <row s="1652" customFormat="1" customHeight="1" ht="11.549999999999999">
      <c r="A355" s="998"/>
      <c r="B355" s="1647"/>
      <c r="C355" s="1647"/>
      <c r="D355" s="362"/>
      <c r="J355" s="1652"/>
      <c r="K355" s="1652"/>
      <c r="L355" s="1652"/>
      <c r="N355" s="1171"/>
      <c r="O355" s="1647"/>
      <c r="P355" s="1647"/>
      <c r="Q355" s="1171"/>
      <c r="R355" s="1171"/>
      <c r="S355" s="1171"/>
      <c r="T355" s="1171"/>
      <c r="U355" s="1647"/>
      <c r="V355" s="1171"/>
      <c r="W355" s="1171"/>
      <c r="X355" s="555"/>
      <c r="Y355" s="1171"/>
      <c r="Z355" s="1171"/>
      <c r="AA355" s="1171"/>
      <c r="AB355" s="1171"/>
      <c r="AC355" s="1171"/>
      <c r="AD355" s="1643"/>
      <c r="AE355" s="577"/>
      <c r="AF355" s="577"/>
      <c r="AG355" s="577"/>
      <c r="AH355" s="577"/>
      <c r="AI355" s="1652">
        <v>11</v>
      </c>
    </row>
    <row s="1652" customFormat="1" customHeight="1" ht="11.549999999999999">
      <c r="A356" s="998"/>
      <c r="B356" s="1647"/>
      <c r="C356" s="1647"/>
      <c r="D356" s="362"/>
      <c r="J356" s="1652"/>
      <c r="K356" s="1652"/>
      <c r="L356" s="1652"/>
      <c r="N356" s="1171"/>
      <c r="O356" s="1647"/>
      <c r="P356" s="1647"/>
      <c r="Q356" s="1171"/>
      <c r="R356" s="1171"/>
      <c r="S356" s="1171"/>
      <c r="T356" s="1171"/>
      <c r="U356" s="1647"/>
      <c r="V356" s="1171"/>
      <c r="W356" s="1171"/>
      <c r="X356" s="555"/>
      <c r="Y356" s="1171"/>
      <c r="Z356" s="1171"/>
      <c r="AA356" s="1171"/>
      <c r="AB356" s="1171"/>
      <c r="AC356" s="1171"/>
      <c r="AD356" s="1643"/>
      <c r="AE356" s="577"/>
      <c r="AF356" s="577"/>
      <c r="AG356" s="577"/>
      <c r="AH356" s="577"/>
      <c r="AI356" s="1652">
        <v>11</v>
      </c>
    </row>
    <row s="1652" customFormat="1" customHeight="1" ht="11.549999999999999">
      <c r="A357" s="998"/>
      <c r="B357" s="1647"/>
      <c r="C357" s="1647"/>
      <c r="D357" s="362"/>
      <c r="J357" s="1652"/>
      <c r="K357" s="1652"/>
      <c r="L357" s="1652"/>
      <c r="N357" s="1171"/>
      <c r="O357" s="1647"/>
      <c r="P357" s="1647"/>
      <c r="Q357" s="1171"/>
      <c r="R357" s="1171"/>
      <c r="S357" s="1171"/>
      <c r="T357" s="1171"/>
      <c r="U357" s="1647"/>
      <c r="V357" s="1171"/>
      <c r="W357" s="1171"/>
      <c r="X357" s="555"/>
      <c r="Y357" s="1171"/>
      <c r="Z357" s="1171"/>
      <c r="AA357" s="1171"/>
      <c r="AB357" s="1171"/>
      <c r="AC357" s="1171"/>
      <c r="AD357" s="1643"/>
      <c r="AE357" s="577"/>
      <c r="AF357" s="577"/>
      <c r="AG357" s="577"/>
      <c r="AH357" s="577"/>
      <c r="AI357" s="1652">
        <v>11</v>
      </c>
    </row>
    <row s="1652" customFormat="1" customHeight="1" ht="11.549999999999999">
      <c r="A358" s="998"/>
      <c r="B358" s="1647"/>
      <c r="C358" s="1647"/>
      <c r="D358" s="362"/>
      <c r="J358" s="1652"/>
      <c r="K358" s="1652"/>
      <c r="L358" s="1652"/>
      <c r="N358" s="1171"/>
      <c r="O358" s="1647"/>
      <c r="P358" s="1647"/>
      <c r="Q358" s="1171"/>
      <c r="R358" s="1171"/>
      <c r="S358" s="1171"/>
      <c r="T358" s="1171"/>
      <c r="U358" s="1647"/>
      <c r="V358" s="1171"/>
      <c r="W358" s="1171"/>
      <c r="X358" s="555"/>
      <c r="Y358" s="1171"/>
      <c r="Z358" s="1171"/>
      <c r="AA358" s="1171"/>
      <c r="AB358" s="1171"/>
      <c r="AC358" s="1171"/>
      <c r="AD358" s="1643"/>
      <c r="AE358" s="577"/>
      <c r="AF358" s="577"/>
      <c r="AG358" s="577"/>
      <c r="AH358" s="577"/>
      <c r="AI358" s="1652">
        <v>11</v>
      </c>
    </row>
    <row s="1652" customFormat="1" customHeight="1" ht="11.549999999999999">
      <c r="A359" s="998"/>
      <c r="B359" s="1647"/>
      <c r="C359" s="1647"/>
      <c r="D359" s="362"/>
      <c r="J359" s="1652"/>
      <c r="K359" s="1652"/>
      <c r="L359" s="1652"/>
      <c r="N359" s="1171"/>
      <c r="O359" s="1647"/>
      <c r="P359" s="1647"/>
      <c r="Q359" s="1171"/>
      <c r="R359" s="1171"/>
      <c r="S359" s="1171"/>
      <c r="T359" s="1171"/>
      <c r="U359" s="1647"/>
      <c r="V359" s="1171"/>
      <c r="W359" s="1171"/>
      <c r="X359" s="555"/>
      <c r="Y359" s="1171"/>
      <c r="Z359" s="1171"/>
      <c r="AA359" s="1171"/>
      <c r="AB359" s="1171"/>
      <c r="AC359" s="1171"/>
      <c r="AD359" s="1643"/>
      <c r="AE359" s="577"/>
      <c r="AF359" s="577"/>
      <c r="AG359" s="577"/>
      <c r="AH359" s="577"/>
      <c r="AI359" s="1652">
        <v>11</v>
      </c>
    </row>
    <row s="1652" customFormat="1" customHeight="1" ht="11.549999999999999">
      <c r="A360" s="998"/>
      <c r="B360" s="1647"/>
      <c r="C360" s="1647"/>
      <c r="D360" s="362"/>
      <c r="J360" s="1652"/>
      <c r="K360" s="1652"/>
      <c r="L360" s="1652"/>
      <c r="N360" s="1171"/>
      <c r="O360" s="1647"/>
      <c r="P360" s="1647"/>
      <c r="Q360" s="1171"/>
      <c r="R360" s="1171"/>
      <c r="S360" s="1171"/>
      <c r="T360" s="1171"/>
      <c r="U360" s="1647"/>
      <c r="V360" s="1171"/>
      <c r="W360" s="1171"/>
      <c r="X360" s="555"/>
      <c r="Y360" s="1171"/>
      <c r="Z360" s="1171"/>
      <c r="AA360" s="1171"/>
      <c r="AB360" s="1171"/>
      <c r="AC360" s="1171"/>
      <c r="AD360" s="1643"/>
      <c r="AE360" s="577"/>
      <c r="AF360" s="577"/>
      <c r="AG360" s="577"/>
      <c r="AH360" s="577"/>
      <c r="AI360" s="1652">
        <v>11</v>
      </c>
    </row>
    <row s="1652" customFormat="1" customHeight="1" ht="11.549999999999999">
      <c r="A361" s="998"/>
      <c r="B361" s="1647"/>
      <c r="C361" s="1647"/>
      <c r="D361" s="362"/>
      <c r="J361" s="1652"/>
      <c r="K361" s="1652"/>
      <c r="L361" s="1652"/>
      <c r="N361" s="1171"/>
      <c r="O361" s="1647"/>
      <c r="P361" s="1647"/>
      <c r="Q361" s="1171"/>
      <c r="R361" s="1171"/>
      <c r="S361" s="1171"/>
      <c r="T361" s="1171"/>
      <c r="U361" s="1647"/>
      <c r="V361" s="1171"/>
      <c r="W361" s="1171"/>
      <c r="X361" s="555"/>
      <c r="Y361" s="1171"/>
      <c r="Z361" s="1171"/>
      <c r="AA361" s="1171"/>
      <c r="AB361" s="1171"/>
      <c r="AC361" s="1171"/>
      <c r="AD361" s="1643"/>
      <c r="AE361" s="577"/>
      <c r="AF361" s="577"/>
      <c r="AG361" s="577"/>
      <c r="AH361" s="577"/>
      <c r="AI361" s="1652">
        <v>11</v>
      </c>
    </row>
    <row s="1652" customFormat="1" customHeight="1" ht="11.549999999999999">
      <c r="A362" s="998"/>
      <c r="B362" s="1647"/>
      <c r="C362" s="1647"/>
      <c r="D362" s="362"/>
      <c r="J362" s="1652"/>
      <c r="K362" s="1652"/>
      <c r="L362" s="1652"/>
      <c r="N362" s="1171"/>
      <c r="O362" s="1647"/>
      <c r="P362" s="1647"/>
      <c r="Q362" s="1171"/>
      <c r="R362" s="1171"/>
      <c r="S362" s="1171"/>
      <c r="T362" s="1171"/>
      <c r="U362" s="1647"/>
      <c r="V362" s="1171"/>
      <c r="W362" s="1171"/>
      <c r="X362" s="555"/>
      <c r="Y362" s="1171"/>
      <c r="Z362" s="1171"/>
      <c r="AA362" s="1171"/>
      <c r="AB362" s="1171"/>
      <c r="AC362" s="1171"/>
      <c r="AD362" s="1643"/>
      <c r="AE362" s="577"/>
      <c r="AF362" s="577"/>
      <c r="AG362" s="577"/>
      <c r="AH362" s="577"/>
      <c r="AI362" s="1652">
        <v>11</v>
      </c>
    </row>
    <row s="1652" customFormat="1" customHeight="1" ht="11.549999999999999">
      <c r="A363" s="998"/>
      <c r="B363" s="1647"/>
      <c r="C363" s="1647"/>
      <c r="D363" s="362"/>
      <c r="J363" s="1652"/>
      <c r="K363" s="1652"/>
      <c r="L363" s="1652"/>
      <c r="N363" s="1171"/>
      <c r="O363" s="1647"/>
      <c r="P363" s="1647"/>
      <c r="Q363" s="1171"/>
      <c r="R363" s="1171"/>
      <c r="S363" s="1171"/>
      <c r="T363" s="1171"/>
      <c r="U363" s="1647"/>
      <c r="V363" s="1171"/>
      <c r="W363" s="1171"/>
      <c r="X363" s="555"/>
      <c r="Y363" s="1171"/>
      <c r="Z363" s="1171"/>
      <c r="AA363" s="1171"/>
      <c r="AB363" s="1171"/>
      <c r="AC363" s="1171"/>
      <c r="AD363" s="1643"/>
      <c r="AE363" s="577"/>
      <c r="AF363" s="577"/>
      <c r="AG363" s="577"/>
      <c r="AH363" s="577"/>
      <c r="AI363" s="1652">
        <v>11</v>
      </c>
    </row>
    <row s="1652" customFormat="1" customHeight="1" ht="11.549999999999999">
      <c r="A364" s="998"/>
      <c r="B364" s="1647"/>
      <c r="C364" s="1647"/>
      <c r="D364" s="362"/>
      <c r="J364" s="1652"/>
      <c r="K364" s="1652"/>
      <c r="L364" s="1652"/>
      <c r="N364" s="1171"/>
      <c r="O364" s="1647"/>
      <c r="P364" s="1647"/>
      <c r="Q364" s="1171"/>
      <c r="R364" s="1171"/>
      <c r="S364" s="1171"/>
      <c r="T364" s="1171"/>
      <c r="U364" s="1647"/>
      <c r="V364" s="1171"/>
      <c r="W364" s="1171"/>
      <c r="X364" s="555"/>
      <c r="Y364" s="1171"/>
      <c r="Z364" s="1171"/>
      <c r="AA364" s="1171"/>
      <c r="AB364" s="1171"/>
      <c r="AC364" s="1171"/>
      <c r="AD364" s="1643"/>
      <c r="AE364" s="577"/>
      <c r="AF364" s="577"/>
      <c r="AG364" s="577"/>
      <c r="AH364" s="577"/>
      <c r="AI364" s="1652">
        <v>11</v>
      </c>
    </row>
    <row s="1652" customFormat="1" customHeight="1" ht="11.549999999999999">
      <c r="A365" s="998"/>
      <c r="B365" s="1647"/>
      <c r="C365" s="1647"/>
      <c r="D365" s="362"/>
      <c r="J365" s="1652"/>
      <c r="K365" s="1652"/>
      <c r="L365" s="1652"/>
      <c r="N365" s="1171"/>
      <c r="O365" s="1647"/>
      <c r="P365" s="1647"/>
      <c r="Q365" s="1171"/>
      <c r="R365" s="1171"/>
      <c r="S365" s="1171"/>
      <c r="T365" s="1171"/>
      <c r="U365" s="1647"/>
      <c r="V365" s="1171"/>
      <c r="W365" s="1171"/>
      <c r="X365" s="555"/>
      <c r="Y365" s="1171"/>
      <c r="Z365" s="1171"/>
      <c r="AA365" s="1171"/>
      <c r="AB365" s="1171"/>
      <c r="AC365" s="1171"/>
      <c r="AD365" s="1643"/>
      <c r="AE365" s="577"/>
      <c r="AF365" s="577"/>
      <c r="AG365" s="577"/>
      <c r="AH365" s="577"/>
      <c r="AI365" s="1652">
        <v>11</v>
      </c>
    </row>
    <row s="1652" customFormat="1" customHeight="1" ht="11.549999999999999">
      <c r="A366" s="998"/>
      <c r="B366" s="1647"/>
      <c r="C366" s="1647"/>
      <c r="D366" s="362"/>
      <c r="J366" s="1652"/>
      <c r="K366" s="1652"/>
      <c r="L366" s="1652"/>
      <c r="N366" s="1171"/>
      <c r="O366" s="1647"/>
      <c r="P366" s="1647"/>
      <c r="Q366" s="1171"/>
      <c r="R366" s="1171"/>
      <c r="S366" s="1171"/>
      <c r="T366" s="1171"/>
      <c r="U366" s="1647"/>
      <c r="V366" s="1171"/>
      <c r="W366" s="1171"/>
      <c r="X366" s="555"/>
      <c r="Y366" s="1171"/>
      <c r="Z366" s="1171"/>
      <c r="AA366" s="1171"/>
      <c r="AB366" s="1171"/>
      <c r="AC366" s="1171"/>
      <c r="AD366" s="1643"/>
      <c r="AE366" s="577"/>
      <c r="AF366" s="577"/>
      <c r="AG366" s="577"/>
      <c r="AH366" s="577"/>
      <c r="AI366" s="1652">
        <v>11</v>
      </c>
    </row>
    <row s="1652" customFormat="1" customHeight="1" ht="11.549999999999999">
      <c r="A367" s="998"/>
      <c r="B367" s="1647"/>
      <c r="C367" s="1647"/>
      <c r="D367" s="362"/>
      <c r="J367" s="1652"/>
      <c r="K367" s="1652"/>
      <c r="L367" s="1652"/>
      <c r="N367" s="1171"/>
      <c r="O367" s="1647"/>
      <c r="P367" s="1647"/>
      <c r="Q367" s="1171"/>
      <c r="R367" s="1171"/>
      <c r="S367" s="1171"/>
      <c r="T367" s="1171"/>
      <c r="U367" s="1647"/>
      <c r="V367" s="1171"/>
      <c r="W367" s="1171"/>
      <c r="X367" s="555"/>
      <c r="Y367" s="1171"/>
      <c r="Z367" s="1171"/>
      <c r="AA367" s="1171"/>
      <c r="AB367" s="1171"/>
      <c r="AC367" s="1171"/>
      <c r="AD367" s="1643"/>
      <c r="AE367" s="577"/>
      <c r="AF367" s="577"/>
      <c r="AG367" s="577"/>
      <c r="AH367" s="577"/>
      <c r="AI367" s="1652">
        <v>11</v>
      </c>
    </row>
    <row s="1652" customFormat="1" customHeight="1" ht="11.549999999999999">
      <c r="A368" s="998"/>
      <c r="B368" s="1647"/>
      <c r="C368" s="1647"/>
      <c r="D368" s="362"/>
      <c r="J368" s="1652"/>
      <c r="K368" s="1652"/>
      <c r="L368" s="1652"/>
      <c r="N368" s="1171"/>
      <c r="O368" s="1647"/>
      <c r="P368" s="1647"/>
      <c r="Q368" s="1171"/>
      <c r="R368" s="1171"/>
      <c r="S368" s="1171"/>
      <c r="T368" s="1171"/>
      <c r="U368" s="1647"/>
      <c r="V368" s="1171"/>
      <c r="W368" s="1171"/>
      <c r="X368" s="555"/>
      <c r="Y368" s="1171"/>
      <c r="Z368" s="1171"/>
      <c r="AA368" s="1171"/>
      <c r="AB368" s="1171"/>
      <c r="AC368" s="1171"/>
      <c r="AD368" s="1643"/>
      <c r="AE368" s="577"/>
      <c r="AF368" s="577"/>
      <c r="AG368" s="577"/>
      <c r="AH368" s="577"/>
      <c r="AI368" s="1652">
        <v>11</v>
      </c>
    </row>
    <row s="1652" customFormat="1" customHeight="1" ht="11.549999999999999">
      <c r="A369" s="998"/>
      <c r="B369" s="1647"/>
      <c r="C369" s="1647"/>
      <c r="D369" s="362"/>
      <c r="J369" s="1652"/>
      <c r="K369" s="1652"/>
      <c r="L369" s="1652"/>
      <c r="N369" s="1171"/>
      <c r="O369" s="1647"/>
      <c r="P369" s="1647"/>
      <c r="Q369" s="1171"/>
      <c r="R369" s="1171"/>
      <c r="S369" s="1171"/>
      <c r="T369" s="1171"/>
      <c r="U369" s="1647"/>
      <c r="V369" s="1171"/>
      <c r="W369" s="1171"/>
      <c r="X369" s="555"/>
      <c r="Y369" s="1171"/>
      <c r="Z369" s="1171"/>
      <c r="AA369" s="1171"/>
      <c r="AB369" s="1171"/>
      <c r="AC369" s="1171"/>
      <c r="AD369" s="1643"/>
      <c r="AE369" s="577"/>
      <c r="AF369" s="577"/>
      <c r="AG369" s="577"/>
      <c r="AH369" s="577"/>
      <c r="AI369" s="1652">
        <v>11</v>
      </c>
    </row>
    <row s="1652" customFormat="1" customHeight="1" ht="11.549999999999999">
      <c r="A370" s="998"/>
      <c r="B370" s="1647"/>
      <c r="C370" s="1647"/>
      <c r="D370" s="362"/>
      <c r="J370" s="1652"/>
      <c r="K370" s="1652"/>
      <c r="L370" s="1652"/>
      <c r="N370" s="1171"/>
      <c r="O370" s="1647"/>
      <c r="P370" s="1647"/>
      <c r="Q370" s="1171"/>
      <c r="R370" s="1171"/>
      <c r="S370" s="1171"/>
      <c r="T370" s="1171"/>
      <c r="U370" s="1647"/>
      <c r="V370" s="1171"/>
      <c r="W370" s="1171"/>
      <c r="X370" s="555"/>
      <c r="Y370" s="1171"/>
      <c r="Z370" s="1171"/>
      <c r="AA370" s="1171"/>
      <c r="AB370" s="1171"/>
      <c r="AC370" s="1171"/>
      <c r="AD370" s="1643"/>
      <c r="AE370" s="577"/>
      <c r="AF370" s="577"/>
      <c r="AG370" s="577"/>
      <c r="AH370" s="577"/>
      <c r="AI370" s="1652">
        <v>11</v>
      </c>
    </row>
    <row s="1652" customFormat="1" customHeight="1" ht="11.549999999999999">
      <c r="A371" s="998"/>
      <c r="B371" s="1647"/>
      <c r="C371" s="1647"/>
      <c r="D371" s="362"/>
      <c r="J371" s="1652"/>
      <c r="K371" s="1652"/>
      <c r="L371" s="1652"/>
      <c r="N371" s="1171"/>
      <c r="O371" s="1647"/>
      <c r="P371" s="1647"/>
      <c r="Q371" s="1171"/>
      <c r="R371" s="1171"/>
      <c r="S371" s="1171"/>
      <c r="T371" s="1171"/>
      <c r="U371" s="1647"/>
      <c r="V371" s="1171"/>
      <c r="W371" s="1171"/>
      <c r="X371" s="555"/>
      <c r="Y371" s="1171"/>
      <c r="Z371" s="1171"/>
      <c r="AA371" s="1171"/>
      <c r="AB371" s="1171"/>
      <c r="AC371" s="1171"/>
      <c r="AD371" s="1643"/>
      <c r="AE371" s="577"/>
      <c r="AF371" s="577"/>
      <c r="AG371" s="577"/>
      <c r="AH371" s="577"/>
      <c r="AI371" s="1652">
        <v>11</v>
      </c>
    </row>
    <row s="1652" customFormat="1" customHeight="1" ht="11.549999999999999">
      <c r="A372" s="998"/>
      <c r="B372" s="1647"/>
      <c r="C372" s="1647"/>
      <c r="D372" s="362"/>
      <c r="J372" s="1652"/>
      <c r="K372" s="1652"/>
      <c r="L372" s="1652"/>
      <c r="N372" s="1171"/>
      <c r="O372" s="1647"/>
      <c r="P372" s="1647"/>
      <c r="Q372" s="1171"/>
      <c r="R372" s="1171"/>
      <c r="S372" s="1171"/>
      <c r="T372" s="1171"/>
      <c r="U372" s="1647"/>
      <c r="V372" s="1171"/>
      <c r="W372" s="1171"/>
      <c r="X372" s="555"/>
      <c r="Y372" s="1171"/>
      <c r="Z372" s="1171"/>
      <c r="AA372" s="1171"/>
      <c r="AB372" s="1171"/>
      <c r="AC372" s="1171"/>
      <c r="AD372" s="1643"/>
      <c r="AE372" s="577"/>
      <c r="AF372" s="577"/>
      <c r="AG372" s="577"/>
      <c r="AH372" s="577"/>
      <c r="AI372" s="1652">
        <v>11</v>
      </c>
    </row>
    <row s="1652" customFormat="1" customHeight="1" ht="11.549999999999999">
      <c r="A373" s="998"/>
      <c r="B373" s="1647"/>
      <c r="C373" s="1647"/>
      <c r="D373" s="362"/>
      <c r="J373" s="1652"/>
      <c r="K373" s="1652"/>
      <c r="L373" s="1652"/>
      <c r="N373" s="1171"/>
      <c r="O373" s="1647"/>
      <c r="P373" s="1647"/>
      <c r="Q373" s="1171"/>
      <c r="R373" s="1171"/>
      <c r="S373" s="1171"/>
      <c r="T373" s="1171"/>
      <c r="U373" s="1647"/>
      <c r="V373" s="1171"/>
      <c r="W373" s="1171"/>
      <c r="X373" s="555"/>
      <c r="Y373" s="1171"/>
      <c r="Z373" s="1171"/>
      <c r="AA373" s="1171"/>
      <c r="AB373" s="1171"/>
      <c r="AC373" s="1171"/>
      <c r="AD373" s="1643"/>
      <c r="AE373" s="577"/>
      <c r="AF373" s="577"/>
      <c r="AG373" s="577"/>
      <c r="AH373" s="577"/>
      <c r="AI373" s="1652">
        <v>11</v>
      </c>
    </row>
    <row s="1652" customFormat="1" customHeight="1" ht="11.549999999999999">
      <c r="A374" s="998"/>
      <c r="B374" s="1647"/>
      <c r="C374" s="1647"/>
      <c r="D374" s="362"/>
      <c r="J374" s="1652"/>
      <c r="K374" s="1652"/>
      <c r="L374" s="1652"/>
      <c r="N374" s="1171"/>
      <c r="O374" s="1647"/>
      <c r="P374" s="1647"/>
      <c r="Q374" s="1171"/>
      <c r="R374" s="1171"/>
      <c r="S374" s="1171"/>
      <c r="T374" s="1171"/>
      <c r="U374" s="1647"/>
      <c r="V374" s="1171"/>
      <c r="W374" s="1171"/>
      <c r="X374" s="555"/>
      <c r="Y374" s="1171"/>
      <c r="Z374" s="1171"/>
      <c r="AA374" s="1171"/>
      <c r="AB374" s="1171"/>
      <c r="AC374" s="1171"/>
      <c r="AD374" s="1643"/>
      <c r="AE374" s="577"/>
      <c r="AF374" s="577"/>
      <c r="AG374" s="577"/>
      <c r="AH374" s="577"/>
      <c r="AI374" s="1652">
        <v>11</v>
      </c>
    </row>
    <row s="1652" customFormat="1" customHeight="1" ht="11.549999999999999">
      <c r="A375" s="998"/>
      <c r="B375" s="1647"/>
      <c r="C375" s="1647"/>
      <c r="D375" s="362"/>
      <c r="J375" s="1652"/>
      <c r="K375" s="1652"/>
      <c r="L375" s="1652"/>
      <c r="N375" s="1171"/>
      <c r="O375" s="1647"/>
      <c r="P375" s="1647"/>
      <c r="Q375" s="1171"/>
      <c r="R375" s="1171"/>
      <c r="S375" s="1171"/>
      <c r="T375" s="1171"/>
      <c r="U375" s="1647"/>
      <c r="V375" s="1171"/>
      <c r="W375" s="1171"/>
      <c r="X375" s="555"/>
      <c r="Y375" s="1171"/>
      <c r="Z375" s="1171"/>
      <c r="AA375" s="1171"/>
      <c r="AB375" s="1171"/>
      <c r="AC375" s="1171"/>
      <c r="AD375" s="1643"/>
      <c r="AE375" s="577"/>
      <c r="AF375" s="577"/>
      <c r="AG375" s="577"/>
      <c r="AH375" s="577"/>
      <c r="AI375" s="1652">
        <v>11</v>
      </c>
    </row>
    <row s="1652" customFormat="1" customHeight="1" ht="11.549999999999999">
      <c r="A376" s="998"/>
      <c r="B376" s="1647"/>
      <c r="C376" s="1647"/>
      <c r="D376" s="362"/>
      <c r="J376" s="1652"/>
      <c r="K376" s="1652"/>
      <c r="L376" s="1652"/>
      <c r="N376" s="1171"/>
      <c r="O376" s="1647"/>
      <c r="P376" s="1647"/>
      <c r="Q376" s="1171"/>
      <c r="R376" s="1171"/>
      <c r="S376" s="1171"/>
      <c r="T376" s="1171"/>
      <c r="U376" s="1647"/>
      <c r="V376" s="1171"/>
      <c r="W376" s="1171"/>
      <c r="X376" s="555"/>
      <c r="Y376" s="1171"/>
      <c r="Z376" s="1171"/>
      <c r="AA376" s="1171"/>
      <c r="AB376" s="1171"/>
      <c r="AC376" s="1171"/>
      <c r="AD376" s="1643"/>
      <c r="AE376" s="577"/>
      <c r="AF376" s="577"/>
      <c r="AG376" s="577"/>
      <c r="AH376" s="577"/>
      <c r="AI376" s="1652">
        <v>11</v>
      </c>
    </row>
    <row s="1652" customFormat="1" customHeight="1" ht="11.549999999999999">
      <c r="A377" s="998"/>
      <c r="B377" s="1647"/>
      <c r="C377" s="1647"/>
      <c r="D377" s="362"/>
      <c r="J377" s="1652"/>
      <c r="K377" s="1652"/>
      <c r="L377" s="1652"/>
      <c r="N377" s="1171"/>
      <c r="O377" s="1647"/>
      <c r="P377" s="1647"/>
      <c r="Q377" s="1171"/>
      <c r="R377" s="1171"/>
      <c r="S377" s="1171"/>
      <c r="T377" s="1171"/>
      <c r="U377" s="1647"/>
      <c r="V377" s="1171"/>
      <c r="W377" s="1171"/>
      <c r="X377" s="555"/>
      <c r="Y377" s="1171"/>
      <c r="Z377" s="1171"/>
      <c r="AA377" s="1171"/>
      <c r="AB377" s="1171"/>
      <c r="AC377" s="1171"/>
      <c r="AD377" s="1643"/>
      <c r="AE377" s="577"/>
      <c r="AF377" s="577"/>
      <c r="AG377" s="577"/>
      <c r="AH377" s="577"/>
      <c r="AI377" s="1652">
        <v>11</v>
      </c>
    </row>
    <row s="1652" customFormat="1" customHeight="1" ht="11.549999999999999">
      <c r="A378" s="998"/>
      <c r="B378" s="1647"/>
      <c r="C378" s="1647"/>
      <c r="D378" s="362"/>
      <c r="J378" s="1652"/>
      <c r="K378" s="1652"/>
      <c r="L378" s="1652"/>
      <c r="N378" s="1171"/>
      <c r="O378" s="1647"/>
      <c r="P378" s="1647"/>
      <c r="Q378" s="1171"/>
      <c r="R378" s="1171"/>
      <c r="S378" s="1171"/>
      <c r="T378" s="1171"/>
      <c r="U378" s="1647"/>
      <c r="V378" s="1171"/>
      <c r="W378" s="1171"/>
      <c r="X378" s="555"/>
      <c r="Y378" s="1171"/>
      <c r="Z378" s="1171"/>
      <c r="AA378" s="1171"/>
      <c r="AB378" s="1171"/>
      <c r="AC378" s="1171"/>
      <c r="AD378" s="1643"/>
      <c r="AE378" s="577"/>
      <c r="AF378" s="577"/>
      <c r="AG378" s="577"/>
      <c r="AH378" s="577"/>
      <c r="AI378" s="1652">
        <v>11</v>
      </c>
    </row>
    <row s="1652" customFormat="1" customHeight="1" ht="11.549999999999999">
      <c r="A379" s="998"/>
      <c r="B379" s="1647"/>
      <c r="C379" s="1647"/>
      <c r="D379" s="362"/>
      <c r="J379" s="1652"/>
      <c r="K379" s="1652"/>
      <c r="L379" s="1652"/>
      <c r="N379" s="1171"/>
      <c r="O379" s="1647"/>
      <c r="P379" s="1647"/>
      <c r="Q379" s="1171"/>
      <c r="R379" s="1171"/>
      <c r="S379" s="1171"/>
      <c r="T379" s="1171"/>
      <c r="U379" s="1647"/>
      <c r="V379" s="1171"/>
      <c r="W379" s="1171"/>
      <c r="X379" s="555"/>
      <c r="Y379" s="1171"/>
      <c r="Z379" s="1171"/>
      <c r="AA379" s="1171"/>
      <c r="AB379" s="1171"/>
      <c r="AC379" s="1171"/>
      <c r="AD379" s="1643"/>
      <c r="AE379" s="577"/>
      <c r="AF379" s="577"/>
      <c r="AG379" s="577"/>
      <c r="AH379" s="577"/>
      <c r="AI379" s="1652">
        <v>11</v>
      </c>
    </row>
    <row s="1652" customFormat="1" customHeight="1" ht="11.549999999999999">
      <c r="A380" s="998"/>
      <c r="B380" s="1647"/>
      <c r="C380" s="1647"/>
      <c r="D380" s="362"/>
      <c r="J380" s="1652"/>
      <c r="K380" s="1652"/>
      <c r="L380" s="1652"/>
      <c r="N380" s="1171"/>
      <c r="O380" s="1647"/>
      <c r="P380" s="1647"/>
      <c r="Q380" s="1171"/>
      <c r="R380" s="1171"/>
      <c r="S380" s="1171"/>
      <c r="T380" s="1171"/>
      <c r="U380" s="1647"/>
      <c r="V380" s="1171"/>
      <c r="W380" s="1171"/>
      <c r="X380" s="555"/>
      <c r="Y380" s="1171"/>
      <c r="Z380" s="1171"/>
      <c r="AA380" s="1171"/>
      <c r="AB380" s="1171"/>
      <c r="AC380" s="1171"/>
      <c r="AD380" s="1643"/>
      <c r="AE380" s="577"/>
      <c r="AF380" s="577"/>
      <c r="AG380" s="577"/>
      <c r="AH380" s="577"/>
      <c r="AI380" s="1652">
        <v>11</v>
      </c>
    </row>
    <row s="1652" customFormat="1" customHeight="1" ht="11.549999999999999">
      <c r="A381" s="998"/>
      <c r="B381" s="1647"/>
      <c r="C381" s="1647"/>
      <c r="D381" s="362"/>
      <c r="J381" s="1652"/>
      <c r="K381" s="1652"/>
      <c r="L381" s="1652"/>
      <c r="N381" s="1171"/>
      <c r="O381" s="1647"/>
      <c r="P381" s="1647"/>
      <c r="Q381" s="1171"/>
      <c r="R381" s="1171"/>
      <c r="S381" s="1171"/>
      <c r="T381" s="1171"/>
      <c r="U381" s="1647"/>
      <c r="V381" s="1171"/>
      <c r="W381" s="1171"/>
      <c r="X381" s="555"/>
      <c r="Y381" s="1171"/>
      <c r="Z381" s="1171"/>
      <c r="AA381" s="1171"/>
      <c r="AB381" s="1171"/>
      <c r="AC381" s="1171"/>
      <c r="AD381" s="1643"/>
      <c r="AE381" s="577"/>
      <c r="AF381" s="577"/>
      <c r="AG381" s="577"/>
      <c r="AH381" s="577"/>
      <c r="AI381" s="1652">
        <v>11</v>
      </c>
    </row>
    <row s="1652" customFormat="1" customHeight="1" ht="11.549999999999999">
      <c r="A382" s="998"/>
      <c r="B382" s="1647"/>
      <c r="C382" s="1647"/>
      <c r="D382" s="362"/>
      <c r="J382" s="1652"/>
      <c r="K382" s="1652"/>
      <c r="L382" s="1652"/>
      <c r="N382" s="1171"/>
      <c r="O382" s="1647"/>
      <c r="P382" s="1647"/>
      <c r="Q382" s="1171"/>
      <c r="R382" s="1171"/>
      <c r="S382" s="1171"/>
      <c r="T382" s="1171"/>
      <c r="U382" s="1647"/>
      <c r="V382" s="1171"/>
      <c r="W382" s="1171"/>
      <c r="X382" s="555"/>
      <c r="Y382" s="1171"/>
      <c r="Z382" s="1171"/>
      <c r="AA382" s="1171"/>
      <c r="AB382" s="1171"/>
      <c r="AC382" s="1171"/>
      <c r="AD382" s="1643"/>
      <c r="AE382" s="577"/>
      <c r="AF382" s="577"/>
      <c r="AG382" s="577"/>
      <c r="AH382" s="577"/>
      <c r="AI382" s="1652">
        <v>11</v>
      </c>
    </row>
    <row s="1652" customFormat="1" customHeight="1" ht="11.549999999999999">
      <c r="A383" s="998"/>
      <c r="B383" s="1647"/>
      <c r="C383" s="1647"/>
      <c r="D383" s="362"/>
      <c r="J383" s="1652"/>
      <c r="K383" s="1652"/>
      <c r="L383" s="1652"/>
      <c r="N383" s="1171"/>
      <c r="O383" s="1647"/>
      <c r="P383" s="1647"/>
      <c r="Q383" s="1171"/>
      <c r="R383" s="1171"/>
      <c r="S383" s="1171"/>
      <c r="T383" s="1171"/>
      <c r="U383" s="1647"/>
      <c r="V383" s="1171"/>
      <c r="W383" s="1171"/>
      <c r="X383" s="555"/>
      <c r="Y383" s="1171"/>
      <c r="Z383" s="1171"/>
      <c r="AA383" s="1171"/>
      <c r="AB383" s="1171"/>
      <c r="AC383" s="1171"/>
      <c r="AD383" s="1643"/>
      <c r="AE383" s="577"/>
      <c r="AF383" s="577"/>
      <c r="AG383" s="577"/>
      <c r="AH383" s="577"/>
      <c r="AI383" s="1652">
        <v>11</v>
      </c>
    </row>
    <row s="1652" customFormat="1" customHeight="1" ht="11.549999999999999">
      <c r="A384" s="998"/>
      <c r="B384" s="1647"/>
      <c r="C384" s="1647"/>
      <c r="D384" s="362"/>
      <c r="J384" s="1652"/>
      <c r="K384" s="1652"/>
      <c r="L384" s="1652"/>
      <c r="N384" s="1171"/>
      <c r="O384" s="1647"/>
      <c r="P384" s="1647"/>
      <c r="Q384" s="1171"/>
      <c r="R384" s="1171"/>
      <c r="S384" s="1171"/>
      <c r="T384" s="1171"/>
      <c r="U384" s="1647"/>
      <c r="V384" s="1171"/>
      <c r="W384" s="1171"/>
      <c r="X384" s="555"/>
      <c r="Y384" s="1171"/>
      <c r="Z384" s="1171"/>
      <c r="AA384" s="1171"/>
      <c r="AB384" s="1171"/>
      <c r="AC384" s="1171"/>
      <c r="AD384" s="1643"/>
      <c r="AE384" s="577"/>
      <c r="AF384" s="577"/>
      <c r="AG384" s="577"/>
      <c r="AH384" s="577"/>
      <c r="AI384" s="1652">
        <v>11</v>
      </c>
    </row>
    <row s="1652" customFormat="1" customHeight="1" ht="11.549999999999999">
      <c r="A385" s="998"/>
      <c r="B385" s="1647"/>
      <c r="C385" s="1647"/>
      <c r="D385" s="362"/>
      <c r="J385" s="1652"/>
      <c r="K385" s="1652"/>
      <c r="L385" s="1652"/>
      <c r="N385" s="1171"/>
      <c r="O385" s="1647"/>
      <c r="P385" s="1647"/>
      <c r="Q385" s="1171"/>
      <c r="R385" s="1171"/>
      <c r="S385" s="1171"/>
      <c r="T385" s="1171"/>
      <c r="U385" s="1647"/>
      <c r="V385" s="1171"/>
      <c r="W385" s="1171"/>
      <c r="X385" s="555"/>
      <c r="Y385" s="1171"/>
      <c r="Z385" s="1171"/>
      <c r="AA385" s="1171"/>
      <c r="AB385" s="1171"/>
      <c r="AC385" s="1171"/>
      <c r="AD385" s="1643"/>
      <c r="AE385" s="577"/>
      <c r="AF385" s="577"/>
      <c r="AG385" s="577"/>
      <c r="AH385" s="577"/>
      <c r="AI385" s="1652">
        <v>11</v>
      </c>
    </row>
    <row s="1652" customFormat="1" customHeight="1" ht="11.549999999999999">
      <c r="A386" s="998"/>
      <c r="B386" s="1647"/>
      <c r="C386" s="1647"/>
      <c r="D386" s="362"/>
      <c r="J386" s="1652"/>
      <c r="K386" s="1652"/>
      <c r="L386" s="1652"/>
      <c r="N386" s="1171"/>
      <c r="O386" s="1647"/>
      <c r="P386" s="1647"/>
      <c r="Q386" s="1171"/>
      <c r="R386" s="1171"/>
      <c r="S386" s="1171"/>
      <c r="T386" s="1171"/>
      <c r="U386" s="1647"/>
      <c r="V386" s="1171"/>
      <c r="W386" s="1171"/>
      <c r="X386" s="555"/>
      <c r="Y386" s="1171"/>
      <c r="Z386" s="1171"/>
      <c r="AA386" s="1171"/>
      <c r="AB386" s="1171"/>
      <c r="AC386" s="1171"/>
      <c r="AD386" s="1643"/>
      <c r="AE386" s="577"/>
      <c r="AF386" s="577"/>
      <c r="AG386" s="577"/>
      <c r="AH386" s="577"/>
      <c r="AI386" s="1652">
        <v>11</v>
      </c>
    </row>
    <row s="1652" customFormat="1" customHeight="1" ht="11.549999999999999">
      <c r="A387" s="998"/>
      <c r="B387" s="1647"/>
      <c r="C387" s="1647"/>
      <c r="D387" s="362"/>
      <c r="J387" s="1652"/>
      <c r="K387" s="1652"/>
      <c r="L387" s="1652"/>
      <c r="N387" s="1171"/>
      <c r="O387" s="1647"/>
      <c r="P387" s="1647"/>
      <c r="Q387" s="1171"/>
      <c r="R387" s="1171"/>
      <c r="S387" s="1171"/>
      <c r="T387" s="1171"/>
      <c r="U387" s="1647"/>
      <c r="V387" s="1171"/>
      <c r="W387" s="1171"/>
      <c r="X387" s="555"/>
      <c r="Y387" s="1171"/>
      <c r="Z387" s="1171"/>
      <c r="AA387" s="1171"/>
      <c r="AB387" s="1171"/>
      <c r="AC387" s="1171"/>
      <c r="AD387" s="1643"/>
      <c r="AE387" s="577"/>
      <c r="AF387" s="577"/>
      <c r="AG387" s="577"/>
      <c r="AH387" s="577"/>
      <c r="AI387" s="1652">
        <v>11</v>
      </c>
    </row>
    <row s="1652" customFormat="1" customHeight="1" ht="11.549999999999999">
      <c r="A388" s="998"/>
      <c r="B388" s="1647"/>
      <c r="C388" s="1647"/>
      <c r="D388" s="362"/>
      <c r="J388" s="1652"/>
      <c r="K388" s="1652"/>
      <c r="L388" s="1652"/>
      <c r="N388" s="1171"/>
      <c r="O388" s="1647"/>
      <c r="P388" s="1647"/>
      <c r="Q388" s="1171"/>
      <c r="R388" s="1171"/>
      <c r="S388" s="1171"/>
      <c r="T388" s="1171"/>
      <c r="U388" s="1647"/>
      <c r="V388" s="1171"/>
      <c r="W388" s="1171"/>
      <c r="X388" s="555"/>
      <c r="Y388" s="1171"/>
      <c r="Z388" s="1171"/>
      <c r="AA388" s="1171"/>
      <c r="AB388" s="1171"/>
      <c r="AC388" s="1171"/>
      <c r="AD388" s="1643"/>
      <c r="AE388" s="577"/>
      <c r="AF388" s="577"/>
      <c r="AG388" s="577"/>
      <c r="AH388" s="577"/>
      <c r="AI388" s="1652">
        <v>11</v>
      </c>
    </row>
    <row s="1652" customFormat="1" customHeight="1" ht="11.549999999999999">
      <c r="A389" s="998"/>
      <c r="B389" s="1647"/>
      <c r="C389" s="1647"/>
      <c r="D389" s="362"/>
      <c r="J389" s="1652"/>
      <c r="K389" s="1652"/>
      <c r="L389" s="1652"/>
      <c r="N389" s="1171"/>
      <c r="O389" s="1647"/>
      <c r="P389" s="1647"/>
      <c r="Q389" s="1171"/>
      <c r="R389" s="1171"/>
      <c r="S389" s="1171"/>
      <c r="T389" s="1171"/>
      <c r="U389" s="1647"/>
      <c r="V389" s="1171"/>
      <c r="W389" s="1171"/>
      <c r="X389" s="555"/>
      <c r="Y389" s="1171"/>
      <c r="Z389" s="1171"/>
      <c r="AA389" s="1171"/>
      <c r="AB389" s="1171"/>
      <c r="AC389" s="1171"/>
      <c r="AD389" s="1643"/>
      <c r="AE389" s="577"/>
      <c r="AF389" s="577"/>
      <c r="AG389" s="577"/>
      <c r="AH389" s="577"/>
      <c r="AI389" s="1652">
        <v>11</v>
      </c>
    </row>
    <row s="1652" customFormat="1" customHeight="1" ht="11.549999999999999">
      <c r="A390" s="998"/>
      <c r="B390" s="1647"/>
      <c r="C390" s="1647"/>
      <c r="D390" s="362"/>
      <c r="J390" s="1652"/>
      <c r="K390" s="1652"/>
      <c r="L390" s="1652"/>
      <c r="N390" s="1171"/>
      <c r="O390" s="1647"/>
      <c r="P390" s="1647"/>
      <c r="Q390" s="1171"/>
      <c r="R390" s="1171"/>
      <c r="S390" s="1171"/>
      <c r="T390" s="1171"/>
      <c r="U390" s="1647"/>
      <c r="V390" s="1171"/>
      <c r="W390" s="1171"/>
      <c r="X390" s="555"/>
      <c r="Y390" s="1171"/>
      <c r="Z390" s="1171"/>
      <c r="AA390" s="1171"/>
      <c r="AB390" s="1171"/>
      <c r="AC390" s="1171"/>
      <c r="AD390" s="1643"/>
      <c r="AE390" s="577"/>
      <c r="AF390" s="577"/>
      <c r="AG390" s="577"/>
      <c r="AH390" s="577"/>
      <c r="AI390" s="1652">
        <v>11</v>
      </c>
    </row>
    <row s="1652" customFormat="1" customHeight="1" ht="11.549999999999999">
      <c r="A391" s="998"/>
      <c r="B391" s="1647"/>
      <c r="C391" s="1647"/>
      <c r="D391" s="362"/>
      <c r="J391" s="1652"/>
      <c r="K391" s="1652"/>
      <c r="L391" s="1652"/>
      <c r="N391" s="1171"/>
      <c r="O391" s="1647"/>
      <c r="P391" s="1647"/>
      <c r="Q391" s="1171"/>
      <c r="R391" s="1171"/>
      <c r="S391" s="1171"/>
      <c r="T391" s="1171"/>
      <c r="U391" s="1647"/>
      <c r="V391" s="1171"/>
      <c r="W391" s="1171"/>
      <c r="X391" s="555"/>
      <c r="Y391" s="1171"/>
      <c r="Z391" s="1171"/>
      <c r="AA391" s="1171"/>
      <c r="AB391" s="1171"/>
      <c r="AC391" s="1171"/>
      <c r="AD391" s="1643"/>
      <c r="AE391" s="577"/>
      <c r="AF391" s="577"/>
      <c r="AG391" s="577"/>
      <c r="AH391" s="577"/>
      <c r="AI391" s="1652">
        <v>11</v>
      </c>
    </row>
    <row s="1652" customFormat="1" customHeight="1" ht="11.549999999999999">
      <c r="A392" s="998"/>
      <c r="B392" s="1647"/>
      <c r="C392" s="1647"/>
      <c r="D392" s="362"/>
      <c r="J392" s="1652"/>
      <c r="K392" s="1652"/>
      <c r="L392" s="1652"/>
      <c r="N392" s="1171"/>
      <c r="O392" s="1647"/>
      <c r="P392" s="1647"/>
      <c r="Q392" s="1171"/>
      <c r="R392" s="1171"/>
      <c r="S392" s="1171"/>
      <c r="T392" s="1171"/>
      <c r="U392" s="1647"/>
      <c r="V392" s="1171"/>
      <c r="W392" s="1171"/>
      <c r="X392" s="555"/>
      <c r="Y392" s="1171"/>
      <c r="Z392" s="1171"/>
      <c r="AA392" s="1171"/>
      <c r="AB392" s="1171"/>
      <c r="AC392" s="1171"/>
      <c r="AD392" s="1643"/>
      <c r="AE392" s="577"/>
      <c r="AF392" s="577"/>
      <c r="AG392" s="577"/>
      <c r="AH392" s="577"/>
      <c r="AI392" s="1652">
        <v>11</v>
      </c>
    </row>
    <row s="1652" customFormat="1" customHeight="1" ht="11.549999999999999">
      <c r="A393" s="998"/>
      <c r="B393" s="1647"/>
      <c r="C393" s="1647"/>
      <c r="D393" s="362"/>
      <c r="J393" s="1652"/>
      <c r="K393" s="1652"/>
      <c r="L393" s="1652"/>
      <c r="N393" s="1171"/>
      <c r="O393" s="1647"/>
      <c r="P393" s="1647"/>
      <c r="Q393" s="1171"/>
      <c r="R393" s="1171"/>
      <c r="S393" s="1171"/>
      <c r="T393" s="1171"/>
      <c r="U393" s="1647"/>
      <c r="V393" s="1171"/>
      <c r="W393" s="1171"/>
      <c r="X393" s="555"/>
      <c r="Y393" s="1171"/>
      <c r="Z393" s="1171"/>
      <c r="AA393" s="1171"/>
      <c r="AB393" s="1171"/>
      <c r="AC393" s="1171"/>
      <c r="AD393" s="1643"/>
      <c r="AE393" s="577"/>
      <c r="AF393" s="577"/>
      <c r="AG393" s="577"/>
      <c r="AH393" s="577"/>
      <c r="AI393" s="1652">
        <v>11</v>
      </c>
    </row>
    <row s="1652" customFormat="1" customHeight="1" ht="11.549999999999999">
      <c r="A394" s="998"/>
      <c r="B394" s="1647"/>
      <c r="C394" s="1647"/>
      <c r="D394" s="362"/>
      <c r="J394" s="1652"/>
      <c r="K394" s="1652"/>
      <c r="L394" s="1652"/>
      <c r="N394" s="1171"/>
      <c r="O394" s="1647"/>
      <c r="P394" s="1647"/>
      <c r="Q394" s="1171"/>
      <c r="R394" s="1171"/>
      <c r="S394" s="1171"/>
      <c r="T394" s="1171"/>
      <c r="U394" s="1647"/>
      <c r="V394" s="1171"/>
      <c r="W394" s="1171"/>
      <c r="X394" s="555"/>
      <c r="Y394" s="1171"/>
      <c r="Z394" s="1171"/>
      <c r="AA394" s="1171"/>
      <c r="AB394" s="1171"/>
      <c r="AC394" s="1171"/>
      <c r="AD394" s="1643"/>
      <c r="AE394" s="577"/>
      <c r="AF394" s="577"/>
      <c r="AG394" s="577"/>
      <c r="AH394" s="577"/>
      <c r="AI394" s="1652">
        <v>11</v>
      </c>
    </row>
    <row s="1652" customFormat="1" customHeight="1" ht="11.549999999999999">
      <c r="A395" s="998"/>
      <c r="B395" s="1647"/>
      <c r="C395" s="1647"/>
      <c r="D395" s="362"/>
      <c r="J395" s="1652"/>
      <c r="K395" s="1652"/>
      <c r="L395" s="1652"/>
      <c r="N395" s="1171"/>
      <c r="O395" s="1647"/>
      <c r="P395" s="1647"/>
      <c r="Q395" s="1171"/>
      <c r="R395" s="1171"/>
      <c r="S395" s="1171"/>
      <c r="T395" s="1171"/>
      <c r="U395" s="1647"/>
      <c r="V395" s="1171"/>
      <c r="W395" s="1171"/>
      <c r="X395" s="555"/>
      <c r="Y395" s="1171"/>
      <c r="Z395" s="1171"/>
      <c r="AA395" s="1171"/>
      <c r="AB395" s="1171"/>
      <c r="AC395" s="1171"/>
      <c r="AD395" s="1643"/>
      <c r="AE395" s="577"/>
      <c r="AF395" s="577"/>
      <c r="AG395" s="577"/>
      <c r="AH395" s="577"/>
      <c r="AI395" s="1652">
        <v>11</v>
      </c>
    </row>
    <row s="1652" customFormat="1" customHeight="1" ht="11.549999999999999">
      <c r="A396" s="998"/>
      <c r="B396" s="1647"/>
      <c r="C396" s="1647"/>
      <c r="D396" s="362"/>
      <c r="J396" s="1652"/>
      <c r="K396" s="1652"/>
      <c r="L396" s="1652"/>
      <c r="N396" s="1171"/>
      <c r="O396" s="1647"/>
      <c r="P396" s="1647"/>
      <c r="Q396" s="1171"/>
      <c r="R396" s="1171"/>
      <c r="S396" s="1171"/>
      <c r="T396" s="1171"/>
      <c r="U396" s="1647"/>
      <c r="V396" s="1171"/>
      <c r="W396" s="1171"/>
      <c r="X396" s="555"/>
      <c r="Y396" s="1171"/>
      <c r="Z396" s="1171"/>
      <c r="AA396" s="1171"/>
      <c r="AB396" s="1171"/>
      <c r="AC396" s="1171"/>
      <c r="AD396" s="1643"/>
      <c r="AE396" s="577"/>
      <c r="AF396" s="577"/>
      <c r="AG396" s="577"/>
      <c r="AH396" s="577"/>
      <c r="AI396" s="1652">
        <v>11</v>
      </c>
    </row>
    <row s="1652" customFormat="1" customHeight="1" ht="11.549999999999999">
      <c r="A397" s="998"/>
      <c r="B397" s="1647"/>
      <c r="C397" s="1647"/>
      <c r="D397" s="362"/>
      <c r="J397" s="1652"/>
      <c r="K397" s="1652"/>
      <c r="L397" s="1652"/>
      <c r="N397" s="1171"/>
      <c r="O397" s="1647"/>
      <c r="P397" s="1647"/>
      <c r="Q397" s="1171"/>
      <c r="R397" s="1171"/>
      <c r="S397" s="1171"/>
      <c r="T397" s="1171"/>
      <c r="U397" s="1647"/>
      <c r="V397" s="1171"/>
      <c r="W397" s="1171"/>
      <c r="X397" s="555"/>
      <c r="Y397" s="1171"/>
      <c r="Z397" s="1171"/>
      <c r="AA397" s="1171"/>
      <c r="AB397" s="1171"/>
      <c r="AC397" s="1171"/>
      <c r="AD397" s="1643"/>
      <c r="AE397" s="577"/>
      <c r="AF397" s="577"/>
      <c r="AG397" s="577"/>
      <c r="AH397" s="577"/>
      <c r="AI397" s="1652">
        <v>11</v>
      </c>
    </row>
    <row s="1652" customFormat="1" customHeight="1" ht="11.549999999999999">
      <c r="A398" s="998"/>
      <c r="B398" s="1647"/>
      <c r="C398" s="1647"/>
      <c r="D398" s="362"/>
      <c r="J398" s="1652"/>
      <c r="K398" s="1652"/>
      <c r="L398" s="1652"/>
      <c r="N398" s="1171"/>
      <c r="O398" s="1647"/>
      <c r="P398" s="1647"/>
      <c r="Q398" s="1171"/>
      <c r="R398" s="1171"/>
      <c r="S398" s="1171"/>
      <c r="T398" s="1171"/>
      <c r="U398" s="1647"/>
      <c r="V398" s="1171"/>
      <c r="W398" s="1171"/>
      <c r="X398" s="555"/>
      <c r="Y398" s="1171"/>
      <c r="Z398" s="1171"/>
      <c r="AA398" s="1171"/>
      <c r="AB398" s="1171"/>
      <c r="AC398" s="1171"/>
      <c r="AD398" s="1643"/>
      <c r="AE398" s="577"/>
      <c r="AF398" s="577"/>
      <c r="AG398" s="577"/>
      <c r="AH398" s="577"/>
      <c r="AI398" s="1652">
        <v>11</v>
      </c>
    </row>
    <row s="1652" customFormat="1" customHeight="1" ht="11.549999999999999">
      <c r="A399" s="998"/>
      <c r="B399" s="1647"/>
      <c r="C399" s="1647"/>
      <c r="D399" s="362"/>
      <c r="J399" s="1652"/>
      <c r="K399" s="1652"/>
      <c r="L399" s="1652"/>
      <c r="N399" s="1171"/>
      <c r="O399" s="1647"/>
      <c r="P399" s="1647"/>
      <c r="Q399" s="1171"/>
      <c r="R399" s="1171"/>
      <c r="S399" s="1171"/>
      <c r="T399" s="1171"/>
      <c r="U399" s="1647"/>
      <c r="V399" s="1171"/>
      <c r="W399" s="1171"/>
      <c r="X399" s="555"/>
      <c r="Y399" s="1171"/>
      <c r="Z399" s="1171"/>
      <c r="AA399" s="1171"/>
      <c r="AB399" s="1171"/>
      <c r="AC399" s="1171"/>
      <c r="AD399" s="1643"/>
      <c r="AE399" s="577"/>
      <c r="AF399" s="577"/>
      <c r="AG399" s="577"/>
      <c r="AH399" s="577"/>
      <c r="AI399" s="1652">
        <v>11</v>
      </c>
    </row>
    <row s="1652" customFormat="1" customHeight="1" ht="11.549999999999999">
      <c r="A400" s="998"/>
      <c r="B400" s="1647"/>
      <c r="C400" s="1647"/>
      <c r="D400" s="362"/>
      <c r="J400" s="1652"/>
      <c r="K400" s="1652"/>
      <c r="L400" s="1652"/>
      <c r="N400" s="1171"/>
      <c r="O400" s="1647"/>
      <c r="P400" s="1647"/>
      <c r="Q400" s="1171"/>
      <c r="R400" s="1171"/>
      <c r="S400" s="1171"/>
      <c r="T400" s="1171"/>
      <c r="U400" s="1647"/>
      <c r="V400" s="1171"/>
      <c r="W400" s="1171"/>
      <c r="X400" s="555"/>
      <c r="Y400" s="1171"/>
      <c r="Z400" s="1171"/>
      <c r="AA400" s="1171"/>
      <c r="AB400" s="1171"/>
      <c r="AC400" s="1171"/>
      <c r="AD400" s="1643"/>
      <c r="AE400" s="577"/>
      <c r="AF400" s="577"/>
      <c r="AG400" s="577"/>
      <c r="AH400" s="577"/>
      <c r="AI400" s="1652">
        <v>11</v>
      </c>
    </row>
    <row s="1652" customFormat="1" customHeight="1" ht="11.549999999999999">
      <c r="A401" s="998"/>
      <c r="B401" s="1647"/>
      <c r="C401" s="1647"/>
      <c r="D401" s="362"/>
      <c r="J401" s="1652"/>
      <c r="K401" s="1652"/>
      <c r="L401" s="1652"/>
      <c r="N401" s="1171"/>
      <c r="O401" s="1647"/>
      <c r="P401" s="1647"/>
      <c r="Q401" s="1171"/>
      <c r="R401" s="1171"/>
      <c r="S401" s="1171"/>
      <c r="T401" s="1171"/>
      <c r="U401" s="1647"/>
      <c r="V401" s="1171"/>
      <c r="W401" s="1171"/>
      <c r="X401" s="555"/>
      <c r="Y401" s="1171"/>
      <c r="Z401" s="1171"/>
      <c r="AA401" s="1171"/>
      <c r="AB401" s="1171"/>
      <c r="AC401" s="1171"/>
      <c r="AD401" s="1643"/>
      <c r="AE401" s="577"/>
      <c r="AF401" s="577"/>
      <c r="AG401" s="577"/>
      <c r="AH401" s="577"/>
      <c r="AI401" s="1652">
        <v>11</v>
      </c>
    </row>
    <row s="1652" customFormat="1" customHeight="1" ht="11.549999999999999">
      <c r="A402" s="998"/>
      <c r="B402" s="1647"/>
      <c r="C402" s="1647"/>
      <c r="D402" s="362"/>
      <c r="J402" s="1652"/>
      <c r="K402" s="1652"/>
      <c r="L402" s="1652"/>
      <c r="N402" s="1171"/>
      <c r="O402" s="1647"/>
      <c r="P402" s="1647"/>
      <c r="Q402" s="1171"/>
      <c r="R402" s="1171"/>
      <c r="S402" s="1171"/>
      <c r="T402" s="1171"/>
      <c r="U402" s="1647"/>
      <c r="V402" s="1171"/>
      <c r="W402" s="1171"/>
      <c r="X402" s="555"/>
      <c r="Y402" s="1171"/>
      <c r="Z402" s="1171"/>
      <c r="AA402" s="1171"/>
      <c r="AB402" s="1171"/>
      <c r="AC402" s="1171"/>
      <c r="AD402" s="1643"/>
      <c r="AE402" s="577"/>
      <c r="AF402" s="577"/>
      <c r="AG402" s="577"/>
      <c r="AH402" s="577"/>
      <c r="AI402" s="1652">
        <v>11</v>
      </c>
    </row>
    <row s="1652" customFormat="1" customHeight="1" ht="11.549999999999999">
      <c r="A403" s="998"/>
      <c r="B403" s="1647"/>
      <c r="C403" s="1647"/>
      <c r="D403" s="362"/>
      <c r="J403" s="1652"/>
      <c r="K403" s="1652"/>
      <c r="L403" s="1652"/>
      <c r="N403" s="1171"/>
      <c r="O403" s="1647"/>
      <c r="P403" s="1647"/>
      <c r="Q403" s="1171"/>
      <c r="R403" s="1171"/>
      <c r="S403" s="1171"/>
      <c r="T403" s="1171"/>
      <c r="U403" s="1647"/>
      <c r="V403" s="1171"/>
      <c r="W403" s="1171"/>
      <c r="X403" s="555"/>
      <c r="Y403" s="1171"/>
      <c r="Z403" s="1171"/>
      <c r="AA403" s="1171"/>
      <c r="AB403" s="1171"/>
      <c r="AC403" s="1171"/>
      <c r="AD403" s="1643"/>
      <c r="AE403" s="577"/>
      <c r="AF403" s="577"/>
      <c r="AG403" s="577"/>
      <c r="AH403" s="577"/>
      <c r="AI403" s="1652">
        <v>11</v>
      </c>
    </row>
    <row s="1652" customFormat="1" customHeight="1" ht="11.549999999999999">
      <c r="A404" s="998"/>
      <c r="B404" s="1647"/>
      <c r="C404" s="1647"/>
      <c r="D404" s="362"/>
      <c r="J404" s="1652"/>
      <c r="K404" s="1652"/>
      <c r="L404" s="1652"/>
      <c r="N404" s="1171"/>
      <c r="O404" s="1647"/>
      <c r="P404" s="1647"/>
      <c r="Q404" s="1171"/>
      <c r="R404" s="1171"/>
      <c r="S404" s="1171"/>
      <c r="T404" s="1171"/>
      <c r="U404" s="1647"/>
      <c r="V404" s="1171"/>
      <c r="W404" s="1171"/>
      <c r="X404" s="555"/>
      <c r="Y404" s="1171"/>
      <c r="Z404" s="1171"/>
      <c r="AA404" s="1171"/>
      <c r="AB404" s="1171"/>
      <c r="AC404" s="1171"/>
      <c r="AD404" s="1643"/>
      <c r="AE404" s="577"/>
      <c r="AF404" s="577"/>
      <c r="AG404" s="577"/>
      <c r="AH404" s="577"/>
      <c r="AI404" s="1652">
        <v>11</v>
      </c>
    </row>
    <row s="1652" customFormat="1" customHeight="1" ht="11.549999999999999">
      <c r="A405" s="998"/>
      <c r="B405" s="1647"/>
      <c r="C405" s="1647"/>
      <c r="D405" s="362"/>
      <c r="J405" s="1652"/>
      <c r="K405" s="1652"/>
      <c r="L405" s="1652"/>
      <c r="N405" s="1171"/>
      <c r="O405" s="1647"/>
      <c r="P405" s="1647"/>
      <c r="Q405" s="1171"/>
      <c r="R405" s="1171"/>
      <c r="S405" s="1171"/>
      <c r="T405" s="1171"/>
      <c r="U405" s="1647"/>
      <c r="V405" s="1171"/>
      <c r="W405" s="1171"/>
      <c r="X405" s="555"/>
      <c r="Y405" s="1171"/>
      <c r="Z405" s="1171"/>
      <c r="AA405" s="1171"/>
      <c r="AB405" s="1171"/>
      <c r="AC405" s="1171"/>
      <c r="AD405" s="1643"/>
      <c r="AE405" s="577"/>
      <c r="AF405" s="577"/>
      <c r="AG405" s="577"/>
      <c r="AH405" s="577"/>
      <c r="AI405" s="1652">
        <v>11</v>
      </c>
    </row>
    <row s="1652" customFormat="1" customHeight="1" ht="11.549999999999999">
      <c r="A406" s="998"/>
      <c r="B406" s="1647"/>
      <c r="C406" s="1647"/>
      <c r="D406" s="362"/>
      <c r="J406" s="1652"/>
      <c r="K406" s="1652"/>
      <c r="L406" s="1652"/>
      <c r="N406" s="1171"/>
      <c r="O406" s="1647"/>
      <c r="P406" s="1647"/>
      <c r="Q406" s="1171"/>
      <c r="R406" s="1171"/>
      <c r="S406" s="1171"/>
      <c r="T406" s="1171"/>
      <c r="U406" s="1647"/>
      <c r="V406" s="1171"/>
      <c r="W406" s="1171"/>
      <c r="X406" s="555"/>
      <c r="Y406" s="1171"/>
      <c r="Z406" s="1171"/>
      <c r="AA406" s="1171"/>
      <c r="AB406" s="1171"/>
      <c r="AC406" s="1171"/>
      <c r="AD406" s="1643"/>
      <c r="AE406" s="577"/>
      <c r="AF406" s="577"/>
      <c r="AG406" s="577"/>
      <c r="AH406" s="577"/>
      <c r="AI406" s="1652">
        <v>11</v>
      </c>
    </row>
    <row s="1652" customFormat="1" customHeight="1" ht="11.549999999999999">
      <c r="A407" s="998"/>
      <c r="B407" s="1647"/>
      <c r="C407" s="1647"/>
      <c r="D407" s="362"/>
      <c r="J407" s="1652"/>
      <c r="K407" s="1652"/>
      <c r="L407" s="1652"/>
      <c r="N407" s="1171"/>
      <c r="O407" s="1647"/>
      <c r="P407" s="1647"/>
      <c r="Q407" s="1171"/>
      <c r="R407" s="1171"/>
      <c r="S407" s="1171"/>
      <c r="T407" s="1171"/>
      <c r="U407" s="1647"/>
      <c r="V407" s="1171"/>
      <c r="W407" s="1171"/>
      <c r="X407" s="555"/>
      <c r="Y407" s="1171"/>
      <c r="Z407" s="1171"/>
      <c r="AA407" s="1171"/>
      <c r="AB407" s="1171"/>
      <c r="AC407" s="1171"/>
      <c r="AD407" s="1643"/>
      <c r="AE407" s="577"/>
      <c r="AF407" s="577"/>
      <c r="AG407" s="577"/>
      <c r="AH407" s="577"/>
      <c r="AI407" s="1652">
        <v>11</v>
      </c>
    </row>
    <row s="1652" customFormat="1" customHeight="1" ht="11.549999999999999">
      <c r="A408" s="998"/>
      <c r="B408" s="1647"/>
      <c r="C408" s="1647"/>
      <c r="D408" s="362"/>
      <c r="J408" s="1652"/>
      <c r="K408" s="1652"/>
      <c r="L408" s="1652"/>
      <c r="N408" s="1171"/>
      <c r="O408" s="1647"/>
      <c r="P408" s="1647"/>
      <c r="Q408" s="1171"/>
      <c r="R408" s="1171"/>
      <c r="S408" s="1171"/>
      <c r="T408" s="1171"/>
      <c r="U408" s="1647"/>
      <c r="V408" s="1171"/>
      <c r="W408" s="1171"/>
      <c r="X408" s="555"/>
      <c r="Y408" s="1171"/>
      <c r="Z408" s="1171"/>
      <c r="AA408" s="1171"/>
      <c r="AB408" s="1171"/>
      <c r="AC408" s="1171"/>
      <c r="AD408" s="1643"/>
      <c r="AE408" s="577"/>
      <c r="AF408" s="577"/>
      <c r="AG408" s="577"/>
      <c r="AH408" s="577"/>
      <c r="AI408" s="1652">
        <v>11</v>
      </c>
    </row>
    <row s="1652" customFormat="1" customHeight="1" ht="11.549999999999999">
      <c r="A409" s="998"/>
      <c r="B409" s="1647"/>
      <c r="C409" s="1647"/>
      <c r="D409" s="362"/>
      <c r="J409" s="1652"/>
      <c r="K409" s="1652"/>
      <c r="L409" s="1652"/>
      <c r="N409" s="1171"/>
      <c r="O409" s="1647"/>
      <c r="P409" s="1647"/>
      <c r="Q409" s="1171"/>
      <c r="R409" s="1171"/>
      <c r="S409" s="1171"/>
      <c r="T409" s="1171"/>
      <c r="U409" s="1647"/>
      <c r="V409" s="1171"/>
      <c r="W409" s="1171"/>
      <c r="X409" s="555"/>
      <c r="Y409" s="1171"/>
      <c r="Z409" s="1171"/>
      <c r="AA409" s="1171"/>
      <c r="AB409" s="1171"/>
      <c r="AC409" s="1171"/>
      <c r="AD409" s="1643"/>
      <c r="AE409" s="577"/>
      <c r="AF409" s="577"/>
      <c r="AG409" s="577"/>
      <c r="AH409" s="577"/>
      <c r="AI409" s="1652">
        <v>11</v>
      </c>
    </row>
    <row s="1652" customFormat="1" customHeight="1" ht="11.549999999999999">
      <c r="A410" s="998"/>
      <c r="B410" s="1647"/>
      <c r="C410" s="1647"/>
      <c r="D410" s="362"/>
      <c r="J410" s="1652"/>
      <c r="K410" s="1652"/>
      <c r="L410" s="1652"/>
      <c r="N410" s="1171"/>
      <c r="O410" s="1647"/>
      <c r="P410" s="1647"/>
      <c r="Q410" s="1171"/>
      <c r="R410" s="1171"/>
      <c r="S410" s="1171"/>
      <c r="T410" s="1171"/>
      <c r="U410" s="1647"/>
      <c r="V410" s="1171"/>
      <c r="W410" s="1171"/>
      <c r="X410" s="555"/>
      <c r="Y410" s="1171"/>
      <c r="Z410" s="1171"/>
      <c r="AA410" s="1171"/>
      <c r="AB410" s="1171"/>
      <c r="AC410" s="1171"/>
      <c r="AD410" s="1643"/>
      <c r="AE410" s="577"/>
      <c r="AF410" s="577"/>
      <c r="AG410" s="577"/>
      <c r="AH410" s="577"/>
      <c r="AI410" s="1652">
        <v>11</v>
      </c>
    </row>
    <row s="1652" customFormat="1" customHeight="1" ht="11.549999999999999">
      <c r="A411" s="998"/>
      <c r="B411" s="1647"/>
      <c r="C411" s="1647"/>
      <c r="D411" s="362"/>
      <c r="J411" s="1652"/>
      <c r="K411" s="1652"/>
      <c r="L411" s="1652"/>
      <c r="N411" s="1171"/>
      <c r="O411" s="1647"/>
      <c r="P411" s="1647"/>
      <c r="Q411" s="1171"/>
      <c r="R411" s="1171"/>
      <c r="S411" s="1171"/>
      <c r="T411" s="1171"/>
      <c r="U411" s="1647"/>
      <c r="V411" s="1171"/>
      <c r="W411" s="1171"/>
      <c r="X411" s="555"/>
      <c r="Y411" s="1171"/>
      <c r="Z411" s="1171"/>
      <c r="AA411" s="1171"/>
      <c r="AB411" s="1171"/>
      <c r="AC411" s="1171"/>
      <c r="AD411" s="1643"/>
      <c r="AE411" s="577"/>
      <c r="AF411" s="577"/>
      <c r="AG411" s="577"/>
      <c r="AH411" s="577"/>
      <c r="AI411" s="1652">
        <v>11</v>
      </c>
    </row>
    <row s="1652" customFormat="1" customHeight="1" ht="11.549999999999999">
      <c r="A412" s="998"/>
      <c r="B412" s="1647"/>
      <c r="C412" s="1647"/>
      <c r="D412" s="362"/>
      <c r="J412" s="1652"/>
      <c r="K412" s="1652"/>
      <c r="L412" s="1652"/>
      <c r="N412" s="1171"/>
      <c r="O412" s="1647"/>
      <c r="P412" s="1647"/>
      <c r="Q412" s="1171"/>
      <c r="R412" s="1171"/>
      <c r="S412" s="1171"/>
      <c r="T412" s="1171"/>
      <c r="U412" s="1647"/>
      <c r="V412" s="1171"/>
      <c r="W412" s="1171"/>
      <c r="X412" s="555"/>
      <c r="Y412" s="1171"/>
      <c r="Z412" s="1171"/>
      <c r="AA412" s="1171"/>
      <c r="AB412" s="1171"/>
      <c r="AC412" s="1171"/>
      <c r="AD412" s="1643"/>
      <c r="AE412" s="577"/>
      <c r="AF412" s="577"/>
      <c r="AG412" s="577"/>
      <c r="AH412" s="577"/>
      <c r="AI412" s="1652">
        <v>11</v>
      </c>
    </row>
    <row s="1652" customFormat="1" customHeight="1" ht="11.549999999999999">
      <c r="A413" s="998"/>
      <c r="B413" s="1647"/>
      <c r="C413" s="1647"/>
      <c r="D413" s="362"/>
      <c r="J413" s="1652"/>
      <c r="K413" s="1652"/>
      <c r="L413" s="1652"/>
      <c r="N413" s="1171"/>
      <c r="O413" s="1647"/>
      <c r="P413" s="1647"/>
      <c r="Q413" s="1171"/>
      <c r="R413" s="1171"/>
      <c r="S413" s="1171"/>
      <c r="T413" s="1171"/>
      <c r="U413" s="1647"/>
      <c r="V413" s="1171"/>
      <c r="W413" s="1171"/>
      <c r="X413" s="555"/>
      <c r="Y413" s="1171"/>
      <c r="Z413" s="1171"/>
      <c r="AA413" s="1171"/>
      <c r="AB413" s="1171"/>
      <c r="AC413" s="1171"/>
      <c r="AD413" s="1643"/>
      <c r="AE413" s="577"/>
      <c r="AF413" s="577"/>
      <c r="AG413" s="577"/>
      <c r="AH413" s="577"/>
      <c r="AI413" s="1652">
        <v>11</v>
      </c>
    </row>
    <row s="1652" customFormat="1" customHeight="1" ht="11.549999999999999">
      <c r="A414" s="998"/>
      <c r="B414" s="1647"/>
      <c r="C414" s="1647"/>
      <c r="D414" s="362"/>
      <c r="J414" s="1652"/>
      <c r="K414" s="1652"/>
      <c r="L414" s="1652"/>
      <c r="N414" s="1171"/>
      <c r="O414" s="1647"/>
      <c r="P414" s="1647"/>
      <c r="Q414" s="1171"/>
      <c r="R414" s="1171"/>
      <c r="S414" s="1171"/>
      <c r="T414" s="1171"/>
      <c r="U414" s="1647"/>
      <c r="V414" s="1171"/>
      <c r="W414" s="1171"/>
      <c r="X414" s="555"/>
      <c r="Y414" s="1171"/>
      <c r="Z414" s="1171"/>
      <c r="AA414" s="1171"/>
      <c r="AB414" s="1171"/>
      <c r="AC414" s="1171"/>
      <c r="AD414" s="1643"/>
      <c r="AE414" s="577"/>
      <c r="AF414" s="577"/>
      <c r="AG414" s="577"/>
      <c r="AH414" s="577"/>
      <c r="AI414" s="1652">
        <v>11</v>
      </c>
    </row>
    <row s="1652" customFormat="1" customHeight="1" ht="11.549999999999999">
      <c r="A415" s="998"/>
      <c r="B415" s="1647"/>
      <c r="C415" s="1647"/>
      <c r="D415" s="362"/>
      <c r="J415" s="1652"/>
      <c r="K415" s="1652"/>
      <c r="L415" s="1652"/>
      <c r="N415" s="1171"/>
      <c r="O415" s="1647"/>
      <c r="P415" s="1647"/>
      <c r="Q415" s="1171"/>
      <c r="R415" s="1171"/>
      <c r="S415" s="1171"/>
      <c r="T415" s="1171"/>
      <c r="U415" s="1647"/>
      <c r="V415" s="1171"/>
      <c r="W415" s="1171"/>
      <c r="X415" s="555"/>
      <c r="Y415" s="1171"/>
      <c r="Z415" s="1171"/>
      <c r="AA415" s="1171"/>
      <c r="AB415" s="1171"/>
      <c r="AC415" s="1171"/>
      <c r="AD415" s="1643"/>
      <c r="AE415" s="577"/>
      <c r="AF415" s="577"/>
      <c r="AG415" s="577"/>
      <c r="AH415" s="577"/>
      <c r="AI415" s="1652">
        <v>11</v>
      </c>
    </row>
    <row s="1652" customFormat="1" customHeight="1" ht="11.549999999999999">
      <c r="A416" s="998"/>
      <c r="B416" s="1647"/>
      <c r="C416" s="1647"/>
      <c r="D416" s="362"/>
      <c r="J416" s="1652"/>
      <c r="K416" s="1652"/>
      <c r="L416" s="1652"/>
      <c r="N416" s="1171"/>
      <c r="O416" s="1647"/>
      <c r="P416" s="1647"/>
      <c r="Q416" s="1171"/>
      <c r="R416" s="1171"/>
      <c r="S416" s="1171"/>
      <c r="T416" s="1171"/>
      <c r="U416" s="1647"/>
      <c r="V416" s="1171"/>
      <c r="W416" s="1171"/>
      <c r="X416" s="555"/>
      <c r="Y416" s="1171"/>
      <c r="Z416" s="1171"/>
      <c r="AA416" s="1171"/>
      <c r="AB416" s="1171"/>
      <c r="AC416" s="1171"/>
      <c r="AD416" s="1643"/>
      <c r="AE416" s="577"/>
      <c r="AF416" s="577"/>
      <c r="AG416" s="577"/>
      <c r="AH416" s="577"/>
      <c r="AI416" s="1652">
        <v>11</v>
      </c>
    </row>
    <row customHeight="1" ht="11.549999999999999">
      <c r="J417" s="1646"/>
      <c r="K417" s="1646"/>
      <c r="L417" s="1646"/>
      <c r="AI417" s="1642">
        <v>11</v>
      </c>
    </row>
    <row customHeight="1" ht="11.549999999999999">
      <c r="J418" s="1646"/>
      <c r="K418" s="1646"/>
      <c r="L418" s="1646"/>
      <c r="AI418" s="1642">
        <v>11</v>
      </c>
    </row>
    <row customHeight="1" ht="11.549999999999999">
      <c r="J419" s="1646"/>
      <c r="K419" s="1646"/>
      <c r="L419" s="1646"/>
      <c r="AI419" s="1642">
        <v>11</v>
      </c>
    </row>
    <row customHeight="1" ht="11.549999999999999">
      <c r="A420" s="1001"/>
      <c r="B420" s="1642"/>
      <c r="D420" s="1642"/>
      <c r="J420" s="1646"/>
      <c r="K420" s="1646"/>
      <c r="L420" s="1646"/>
      <c r="N420" s="1642"/>
      <c r="Q420" s="1642"/>
      <c r="R420" s="1642"/>
      <c r="S420" s="1642"/>
      <c r="T420" s="1642"/>
      <c r="V420" s="1642"/>
      <c r="W420" s="1642"/>
      <c r="X420" s="1642"/>
      <c r="Y420" s="1642"/>
      <c r="Z420" s="1642"/>
      <c r="AA420" s="1642"/>
      <c r="AB420" s="1642"/>
      <c r="AC420" s="1642"/>
      <c r="AD420" s="1642"/>
      <c r="AE420" s="1642"/>
      <c r="AF420" s="1642"/>
      <c r="AG420" s="1642"/>
      <c r="AH420" s="1642"/>
      <c r="AI420" s="1642">
        <v>11</v>
      </c>
    </row>
    <row customHeight="1" ht="11.549999999999999">
      <c r="A421" s="1001"/>
      <c r="B421" s="1642"/>
      <c r="D421" s="1642"/>
      <c r="J421" s="1646"/>
      <c r="K421" s="1646"/>
      <c r="L421" s="1646"/>
      <c r="N421" s="1642"/>
      <c r="Q421" s="1642"/>
      <c r="R421" s="1642"/>
      <c r="S421" s="1642"/>
      <c r="T421" s="1642"/>
      <c r="V421" s="1642"/>
      <c r="W421" s="1642"/>
      <c r="X421" s="1642"/>
      <c r="Y421" s="1642"/>
      <c r="Z421" s="1642"/>
      <c r="AA421" s="1642"/>
      <c r="AB421" s="1642"/>
      <c r="AC421" s="1642"/>
      <c r="AD421" s="1642"/>
      <c r="AE421" s="1642"/>
      <c r="AF421" s="1642"/>
      <c r="AG421" s="1642"/>
      <c r="AH421" s="1642"/>
      <c r="AI421" s="1642">
        <v>11</v>
      </c>
    </row>
    <row customHeight="1" ht="11.549999999999999">
      <c r="A422" s="1001"/>
      <c r="B422" s="1642"/>
      <c r="D422" s="1642"/>
      <c r="J422" s="1646"/>
      <c r="K422" s="1646"/>
      <c r="L422" s="1646"/>
      <c r="N422" s="1642"/>
      <c r="Q422" s="1642"/>
      <c r="R422" s="1642"/>
      <c r="S422" s="1642"/>
      <c r="T422" s="1642"/>
      <c r="V422" s="1642"/>
      <c r="W422" s="1642"/>
      <c r="X422" s="1642"/>
      <c r="Y422" s="1642"/>
      <c r="Z422" s="1642"/>
      <c r="AA422" s="1642"/>
      <c r="AB422" s="1642"/>
      <c r="AC422" s="1642"/>
      <c r="AD422" s="1642"/>
      <c r="AE422" s="1642"/>
      <c r="AF422" s="1642"/>
      <c r="AG422" s="1642"/>
      <c r="AH422" s="1642"/>
      <c r="AI422" s="1642">
        <v>11</v>
      </c>
    </row>
    <row customHeight="1" ht="11.549999999999999">
      <c r="A423" s="1001"/>
      <c r="B423" s="1642"/>
      <c r="D423" s="1642"/>
      <c r="J423" s="1646"/>
      <c r="K423" s="1646"/>
      <c r="L423" s="1646"/>
      <c r="N423" s="1642"/>
      <c r="Q423" s="1642"/>
      <c r="R423" s="1642"/>
      <c r="S423" s="1642"/>
      <c r="T423" s="1642"/>
      <c r="V423" s="1642"/>
      <c r="W423" s="1642"/>
      <c r="X423" s="1642"/>
      <c r="Y423" s="1642"/>
      <c r="Z423" s="1642"/>
      <c r="AA423" s="1642"/>
      <c r="AB423" s="1642"/>
      <c r="AC423" s="1642"/>
      <c r="AD423" s="1642"/>
      <c r="AE423" s="1642"/>
      <c r="AF423" s="1642"/>
      <c r="AG423" s="1642"/>
      <c r="AH423" s="1642"/>
      <c r="AI423" s="1642">
        <v>11</v>
      </c>
    </row>
    <row customHeight="1" ht="11.549999999999999">
      <c r="A424" s="1001"/>
      <c r="B424" s="1642"/>
      <c r="D424" s="1642"/>
      <c r="J424" s="1646"/>
      <c r="K424" s="1646"/>
      <c r="L424" s="1646"/>
      <c r="N424" s="1642"/>
      <c r="Q424" s="1642"/>
      <c r="R424" s="1642"/>
      <c r="S424" s="1642"/>
      <c r="T424" s="1642"/>
      <c r="V424" s="1642"/>
      <c r="W424" s="1642"/>
      <c r="X424" s="1642"/>
      <c r="Y424" s="1642"/>
      <c r="Z424" s="1642"/>
      <c r="AA424" s="1642"/>
      <c r="AB424" s="1642"/>
      <c r="AC424" s="1642"/>
      <c r="AD424" s="1642"/>
      <c r="AE424" s="1642"/>
      <c r="AF424" s="1642"/>
      <c r="AG424" s="1642"/>
      <c r="AH424" s="1642"/>
      <c r="AI424" s="1642">
        <v>11</v>
      </c>
    </row>
    <row customHeight="1" ht="11.549999999999999">
      <c r="A425" s="1001"/>
      <c r="B425" s="1642"/>
      <c r="D425" s="1642"/>
      <c r="J425" s="1646"/>
      <c r="K425" s="1646"/>
      <c r="L425" s="1646"/>
      <c r="N425" s="1642"/>
      <c r="Q425" s="1642"/>
      <c r="R425" s="1642"/>
      <c r="S425" s="1642"/>
      <c r="T425" s="1642"/>
      <c r="V425" s="1642"/>
      <c r="W425" s="1642"/>
      <c r="X425" s="1642"/>
      <c r="Y425" s="1642"/>
      <c r="Z425" s="1642"/>
      <c r="AA425" s="1642"/>
      <c r="AB425" s="1642"/>
      <c r="AC425" s="1642"/>
      <c r="AD425" s="1642"/>
      <c r="AE425" s="1642"/>
      <c r="AF425" s="1642"/>
      <c r="AG425" s="1642"/>
      <c r="AH425" s="1642"/>
      <c r="AI425" s="1642">
        <v>11</v>
      </c>
    </row>
    <row customHeight="1" ht="11.549999999999999">
      <c r="A426" s="1001"/>
      <c r="B426" s="1642"/>
      <c r="D426" s="1642"/>
      <c r="J426" s="1646"/>
      <c r="K426" s="1646"/>
      <c r="L426" s="1646"/>
      <c r="N426" s="1642"/>
      <c r="Q426" s="1642"/>
      <c r="R426" s="1642"/>
      <c r="S426" s="1642"/>
      <c r="T426" s="1642"/>
      <c r="V426" s="1642"/>
      <c r="W426" s="1642"/>
      <c r="X426" s="1642"/>
      <c r="Y426" s="1642"/>
      <c r="Z426" s="1642"/>
      <c r="AA426" s="1642"/>
      <c r="AB426" s="1642"/>
      <c r="AC426" s="1642"/>
      <c r="AD426" s="1642"/>
      <c r="AE426" s="1642"/>
      <c r="AF426" s="1642"/>
      <c r="AG426" s="1642"/>
      <c r="AH426" s="1642"/>
      <c r="AI426" s="1642">
        <v>11</v>
      </c>
    </row>
    <row customHeight="1" ht="11.549999999999999">
      <c r="A427" s="1001"/>
      <c r="B427" s="1642"/>
      <c r="D427" s="1642"/>
      <c r="J427" s="1646"/>
      <c r="K427" s="1646"/>
      <c r="L427" s="1646"/>
      <c r="N427" s="1642"/>
      <c r="Q427" s="1642"/>
      <c r="R427" s="1642"/>
      <c r="S427" s="1642"/>
      <c r="T427" s="1642"/>
      <c r="V427" s="1642"/>
      <c r="W427" s="1642"/>
      <c r="X427" s="1642"/>
      <c r="Y427" s="1642"/>
      <c r="Z427" s="1642"/>
      <c r="AA427" s="1642"/>
      <c r="AB427" s="1642"/>
      <c r="AC427" s="1642"/>
      <c r="AD427" s="1642"/>
      <c r="AE427" s="1642"/>
      <c r="AF427" s="1642"/>
      <c r="AG427" s="1642"/>
      <c r="AH427" s="1642"/>
      <c r="AI427" s="1642">
        <v>11</v>
      </c>
    </row>
    <row customHeight="1" ht="11.549999999999999">
      <c r="A428" s="1001"/>
      <c r="B428" s="1642"/>
      <c r="D428" s="1642"/>
      <c r="J428" s="1646"/>
      <c r="K428" s="1646"/>
      <c r="L428" s="1646"/>
      <c r="N428" s="1642"/>
      <c r="Q428" s="1642"/>
      <c r="R428" s="1642"/>
      <c r="S428" s="1642"/>
      <c r="T428" s="1642"/>
      <c r="V428" s="1642"/>
      <c r="W428" s="1642"/>
      <c r="X428" s="1642"/>
      <c r="Y428" s="1642"/>
      <c r="Z428" s="1642"/>
      <c r="AA428" s="1642"/>
      <c r="AB428" s="1642"/>
      <c r="AC428" s="1642"/>
      <c r="AD428" s="1642"/>
      <c r="AE428" s="1642"/>
      <c r="AF428" s="1642"/>
      <c r="AG428" s="1642"/>
      <c r="AH428" s="1642"/>
      <c r="AI428" s="1642">
        <v>11</v>
      </c>
    </row>
    <row customHeight="1" ht="11.549999999999999">
      <c r="A429" s="1001"/>
      <c r="B429" s="1642"/>
      <c r="D429" s="1642"/>
      <c r="J429" s="1646"/>
      <c r="K429" s="1646"/>
      <c r="L429" s="1646"/>
      <c r="N429" s="1642"/>
      <c r="Q429" s="1642"/>
      <c r="R429" s="1642"/>
      <c r="S429" s="1642"/>
      <c r="T429" s="1642"/>
      <c r="V429" s="1642"/>
      <c r="W429" s="1642"/>
      <c r="X429" s="1642"/>
      <c r="Y429" s="1642"/>
      <c r="Z429" s="1642"/>
      <c r="AA429" s="1642"/>
      <c r="AB429" s="1642"/>
      <c r="AC429" s="1642"/>
      <c r="AD429" s="1642"/>
      <c r="AE429" s="1642"/>
      <c r="AF429" s="1642"/>
      <c r="AG429" s="1642"/>
      <c r="AH429" s="1642"/>
      <c r="AI429" s="1642">
        <v>11</v>
      </c>
    </row>
    <row customHeight="1" ht="11.549999999999999">
      <c r="A430" s="1001"/>
      <c r="B430" s="1642"/>
      <c r="D430" s="1642"/>
      <c r="J430" s="1646"/>
      <c r="K430" s="1646"/>
      <c r="L430" s="1646"/>
      <c r="N430" s="1642"/>
      <c r="Q430" s="1642"/>
      <c r="R430" s="1642"/>
      <c r="S430" s="1642"/>
      <c r="T430" s="1642"/>
      <c r="V430" s="1642"/>
      <c r="W430" s="1642"/>
      <c r="X430" s="1642"/>
      <c r="Y430" s="1642"/>
      <c r="Z430" s="1642"/>
      <c r="AA430" s="1642"/>
      <c r="AB430" s="1642"/>
      <c r="AC430" s="1642"/>
      <c r="AD430" s="1642"/>
      <c r="AE430" s="1642"/>
      <c r="AF430" s="1642"/>
      <c r="AG430" s="1642"/>
      <c r="AH430" s="1642"/>
      <c r="AI430" s="1642">
        <v>11</v>
      </c>
    </row>
    <row customHeight="1" ht="11.25" hidden="1">
      <c r="A431" s="998" t="s">
        <v>83</v>
      </c>
      <c r="B431" s="1171">
        <v>0</v>
      </c>
      <c r="C431" s="1647">
        <v>0</v>
      </c>
      <c r="D431" s="1646">
        <v>3</v>
      </c>
      <c r="E431" s="1642">
        <v>7</v>
      </c>
      <c r="F431" s="1642">
        <v>54</v>
      </c>
      <c r="G431" s="1642">
        <v>10</v>
      </c>
      <c r="H431" s="1642">
        <v>0</v>
      </c>
      <c r="I431" s="1642">
        <v>40</v>
      </c>
      <c r="J431" s="1646">
        <v>0</v>
      </c>
      <c r="K431" s="1646">
        <v>0</v>
      </c>
      <c r="L431" s="1646">
        <v>0</v>
      </c>
      <c r="M431" s="1642">
        <v>102</v>
      </c>
      <c r="N431" s="1171">
        <v>9</v>
      </c>
      <c r="O431" s="1647">
        <v>5</v>
      </c>
      <c r="P431" s="1647">
        <v>3</v>
      </c>
      <c r="Q431" s="1171">
        <v>3</v>
      </c>
      <c r="R431" s="1171">
        <v>3</v>
      </c>
      <c r="S431" s="1171">
        <v>3</v>
      </c>
      <c r="T431" s="1171">
        <v>3</v>
      </c>
      <c r="U431" s="1647">
        <v>10</v>
      </c>
      <c r="V431" s="1171">
        <v>34</v>
      </c>
      <c r="W431" s="1171">
        <v>9</v>
      </c>
      <c r="X431" s="555">
        <v>8</v>
      </c>
      <c r="Y431" s="1171">
        <v>8</v>
      </c>
      <c r="Z431" s="1171">
        <v>8</v>
      </c>
      <c r="AA431" s="1171">
        <v>8</v>
      </c>
      <c r="AB431" s="1171">
        <v>8</v>
      </c>
      <c r="AC431" s="1171">
        <v>8</v>
      </c>
      <c r="AD431" s="1643">
        <v>8</v>
      </c>
      <c r="AE431" s="1643">
        <v>8</v>
      </c>
      <c r="AF431" s="1643">
        <v>8</v>
      </c>
      <c r="AG431" s="1643">
        <v>8</v>
      </c>
      <c r="AH431" s="1643">
        <v>8</v>
      </c>
      <c r="AI431" s="1642">
        <v>11</v>
      </c>
    </row>
  </sheetData>
  <sheetProtection formatColumns="0" formatRows="0" autoFilter="0" sort="0" insertRows="0" insertColumns="1" deleteRows="0" deleteColumns="0"/>
  <mergeCells count="23">
    <mergeCell ref="A184:A258"/>
    <mergeCell ref="E21:I21"/>
    <mergeCell ref="E22:I22"/>
    <mergeCell ref="A33:A70"/>
    <mergeCell ref="B34:B39"/>
    <mergeCell ref="A71:A73"/>
    <mergeCell ref="A97:A98"/>
    <mergeCell ref="A113:A121"/>
    <mergeCell ref="A122:A126"/>
    <mergeCell ref="A127:A129"/>
    <mergeCell ref="A130:A175"/>
    <mergeCell ref="A179:A183"/>
    <mergeCell ref="B2:B7"/>
    <mergeCell ref="M25:M29"/>
    <mergeCell ref="F25:G25"/>
    <mergeCell ref="F26:G26"/>
    <mergeCell ref="F27:G27"/>
    <mergeCell ref="E28:G28"/>
    <mergeCell ref="B40:B45"/>
    <mergeCell ref="B46:B51"/>
    <mergeCell ref="B52:B57"/>
    <mergeCell ref="B58:B63"/>
    <mergeCell ref="B64:B69"/>
  </mergeCells>
  <dataValidations count="12">
    <dataValidation allowBlank="1" showInputMessage="1" showErrorMessage="1" prompt="Для выбора выполните двойной щелчок левой клавиши мыши по соответствующей ячейке." sqref="H98:L98 H96:L96"/>
    <dataValidation type="decimal" allowBlank="1" showErrorMessage="1" errorTitle="Ошибка" error="Введите значение от 0 до 100%" sqref="H121:L121 H126:L126">
      <formula1>0</formula1>
      <formula2>100</formula2>
    </dataValidation>
    <dataValidation type="decimal" allowBlank="1" showErrorMessage="1" errorTitle="Ошибка" error="Допускается ввод только действительных чисел!" sqref="H219:L219 H184:L184 H254:L254 H106:L111 H168:L168">
      <formula1>-9.99999999999999E+37</formula1>
      <formula2>9.99999999999999E+37</formula2>
    </dataValidation>
    <dataValidation type="decimal" allowBlank="1" showErrorMessage="1" errorTitle="Ошибка" error="Допускается ввод только действительных чисел!" sqref="H103:L10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56:L258 H112:L112">
      <formula1>900</formula1>
    </dataValidation>
    <dataValidation type="list" allowBlank="1" showInputMessage="1" showErrorMessage="1" errorTitle="Ошибка" error="Выберите значение из списка" prompt="Выберите значение из списка" sqref="G124">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58 F64">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97:L97 H99:L99 H122:L125 H255:L255 H30:L30 H32:L33 H35:L38 H70:L95 H113:L117 H17:L17 H9:L13 H15:L15 H4:L6 H105:L105 H119:L120 H127:L167 H169:L183 H186:H217 I186:I217 J186:J217 K186:K217 L186:L217 H221:H252 I221:I252 J221:J252 K221:K252 L221:L252 H42 I42 J42 K42 L42 H43 I43 J43 K43 L43 H44 I44 J44 K44 L44 H48 I48 J48 K48 L48 H49 I49 J49 K49 L49 H50 I50 J50 K50 L50 H54 I54 J54 K54 L54 H55 I55 J55 K55 L55 H56 I56 J56 K56 L56 H60 I60 J60 K60 L60 H61 I61 J61 K61 L61 H62 I62 J62 K62 L62 H66 I66 J66 K66 L66 H67 I67 J67 K67 L67 H68 I68 J68 K68 L68 H101 I101 J101 K101 L10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L39 K39 J39 I39 H39 G42 G48 G54 G60 G66">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100 K100 J100 I100 H100">
      <formula1>900</formula1>
    </dataValidation>
    <dataValidation type="list" allowBlank="1" showInputMessage="1" showErrorMessage="1" errorTitle="Ошибка" error="Выберите значение из списка" prompt="Выберите значение из списка" sqref="H7:L7 H45 H51 H57 H63 H69 I45 I51 I57 I63 I69 J45 J51 J57 J63 J69 K45 K51 K57 K63 K69 L45 L51 L57 L63 L69">
      <formula1>kind_of_purchase_method</formula1>
    </dataValidation>
  </dataValidations>
  <hyperlinks>
    <hyperlink ref="I112" r:id="rId1" xr:uid="{4046FCB8-F855-F7B7-3A48-AF9ACB6C573B}"/>
    <hyperlink ref="J112" r:id="rId2" xr:uid="{DF8DC518-8A48-D951-803F-699522C9AB83}"/>
    <hyperlink ref="K112" r:id="rId3" xr:uid="{288C2B48-CB7C-E3B9-3C5D-5D964A97CD0D}"/>
    <hyperlink ref="L112" r:id="rId4" xr:uid="{5BC7E172-6589-BC03-0988-CB4AF10B769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58AC8-7B88-CF28-EAC8-8C22574F8A28}" mc:Ignorable="x14ac xr xr2 xr3">
  <sheetPr>
    <tabColor theme="9" tint="-0.25"/>
  </sheetPr>
  <dimension ref="A1:CF64"/>
  <sheetViews>
    <sheetView topLeftCell="C4" showGridLines="0" zoomScale="90" workbookViewId="0">
      <selection activeCell="Q20" sqref="Q20"/>
    </sheetView>
  </sheetViews>
  <sheetFormatPr defaultColWidth="9.140625" customHeight="1" defaultRowHeight="11.25"/>
  <cols>
    <col min="1" max="1" style="954" width="14.7109375" hidden="1" customWidth="1"/>
    <col min="2" max="2" style="1643" width="17.00390625" hidden="1" customWidth="1"/>
    <col min="3" max="3" style="1646" width="3.00390625" customWidth="1"/>
    <col min="4" max="4" style="1646" width="1.8515625" hidden="1" customWidth="1"/>
    <col min="5" max="6" style="1646" width="7.00390625" customWidth="1"/>
    <col min="7" max="7" style="1646" width="29.00390625" customWidth="1"/>
    <col min="8" max="8" style="1646" width="3.7109375" customWidth="1"/>
    <col min="9" max="9" style="1646" width="5.00390625" customWidth="1"/>
    <col min="10" max="11" style="1646" width="24.00390625" customWidth="1"/>
    <col min="12" max="12" style="1646" width="3.00390625" customWidth="1"/>
    <col min="13" max="13" style="1646" width="6.00390625" customWidth="1"/>
    <col min="14" max="14" style="1646" width="25.00390625" customWidth="1"/>
    <col min="15" max="18" style="1646" width="18.00390625" customWidth="1"/>
    <col min="19" max="19" style="1646" width="93.00390625" customWidth="1"/>
    <col min="20" max="20" style="1646" width="10.00390625" customWidth="1"/>
    <col min="21" max="21" style="1653" width="10.00390625" customWidth="1"/>
    <col min="22" max="22" style="1653" width="11.00390625" customWidth="1"/>
    <col min="23" max="27" style="1643" width="10.00390625" customWidth="1"/>
    <col min="28" max="83" style="1646" width="8.00390625" customWidth="1"/>
    <col min="84" max="84" style="1646" width="9.140625" hidden="1"/>
  </cols>
  <sheetData>
    <row customHeight="1" ht="22.5" hidden="1">
      <c r="CF1" s="516" t="s">
        <v>14</v>
      </c>
    </row>
    <row customHeight="1" ht="11.25" hidden="1">
      <c r="CF2" s="516">
        <v>0</v>
      </c>
    </row>
    <row customHeight="1" ht="11.25" hidden="1">
      <c r="CF3" s="516">
        <v>0</v>
      </c>
    </row>
    <row customHeight="1" ht="3">
      <c r="C4" s="520"/>
      <c r="D4" s="520"/>
      <c r="E4" s="520"/>
      <c r="F4" s="520"/>
      <c r="G4" s="520"/>
      <c r="H4" s="520"/>
      <c r="I4" s="520"/>
      <c r="J4" s="520"/>
      <c r="K4" s="177"/>
      <c r="L4" s="177"/>
      <c r="M4" s="177"/>
      <c r="CF4" s="516">
        <v>3</v>
      </c>
    </row>
    <row customHeight="1" ht="29.25">
      <c r="C5" s="520"/>
      <c r="D5" s="1068"/>
      <c r="E5" s="2267" t="str">
        <f>FHD20_NAME_FORM</f>
        <v>Форма 11. Информация о расходах на капитальный и текущий ремонт основных средств</v>
      </c>
      <c r="F5" s="2267"/>
      <c r="G5" s="2267"/>
      <c r="H5" s="2267"/>
      <c r="I5" s="2267"/>
      <c r="J5" s="2267"/>
      <c r="K5" s="2267"/>
      <c r="L5" s="624"/>
      <c r="M5" s="624"/>
      <c r="CF5" s="516">
        <v>28</v>
      </c>
    </row>
    <row s="1646" customFormat="1" customHeight="1" ht="16.8">
      <c r="A6" s="621"/>
      <c r="B6" s="770"/>
      <c r="C6" s="520"/>
      <c r="D6" s="1069"/>
      <c r="E6" s="2206" t="str">
        <f>IF(org=0,"Не определено",org)</f>
        <v>ПАО "КГК"</v>
      </c>
      <c r="F6" s="2206"/>
      <c r="G6" s="2206"/>
      <c r="H6" s="2206"/>
      <c r="I6" s="2206"/>
      <c r="J6" s="2206"/>
      <c r="K6" s="2206"/>
      <c r="L6" s="624"/>
      <c r="M6" s="624"/>
      <c r="U6" s="622"/>
      <c r="V6" s="622"/>
      <c r="W6" s="623"/>
      <c r="X6" s="770"/>
      <c r="Y6" s="770"/>
      <c r="Z6" s="770"/>
      <c r="AA6" s="770"/>
      <c r="CF6" s="769">
        <v>16</v>
      </c>
    </row>
    <row customHeight="1" ht="11.549999999999999">
      <c r="C7" s="520"/>
      <c r="D7" s="520"/>
      <c r="E7" s="520"/>
      <c r="F7" s="520"/>
      <c r="G7" s="533"/>
      <c r="H7" s="533"/>
      <c r="I7" s="533"/>
      <c r="J7" s="533"/>
      <c r="K7" s="625"/>
      <c r="L7" s="625"/>
      <c r="M7" s="625"/>
      <c r="R7" s="763"/>
      <c r="CF7" s="516">
        <v>11</v>
      </c>
    </row>
    <row s="1652" customFormat="1" customHeight="1" ht="4.2">
      <c r="A8" s="632"/>
      <c r="B8" s="577"/>
      <c r="C8" s="362"/>
      <c r="D8" s="362"/>
      <c r="E8" s="362"/>
      <c r="F8" s="362"/>
      <c r="G8" s="986"/>
      <c r="H8" s="986"/>
      <c r="I8" s="986"/>
      <c r="J8" s="986"/>
      <c r="K8" s="1029"/>
      <c r="L8" s="1029"/>
      <c r="M8" s="1029"/>
      <c r="R8" s="1030"/>
      <c r="U8" s="622"/>
      <c r="V8" s="622"/>
      <c r="W8" s="633"/>
      <c r="X8" s="577"/>
      <c r="Y8" s="577"/>
      <c r="Z8" s="577"/>
      <c r="AA8" s="577"/>
      <c r="CF8" s="507">
        <v>4</v>
      </c>
    </row>
    <row customHeight="1" ht="19.95">
      <c r="D9" s="300"/>
      <c r="E9" s="2131" t="s">
        <v>314</v>
      </c>
      <c r="F9" s="2132"/>
      <c r="G9" s="2132"/>
      <c r="H9" s="2132"/>
      <c r="I9" s="2132"/>
      <c r="J9" s="2132"/>
      <c r="K9" s="2132"/>
      <c r="L9" s="2132"/>
      <c r="M9" s="2132"/>
      <c r="N9" s="2132"/>
      <c r="O9" s="2132"/>
      <c r="P9" s="2132"/>
      <c r="Q9" s="2132"/>
      <c r="R9" s="2133"/>
      <c r="S9" s="2157" t="s">
        <v>315</v>
      </c>
      <c r="T9" s="345"/>
      <c r="CF9" s="516">
        <v>19</v>
      </c>
    </row>
    <row customHeight="1" ht="48.29999999999999">
      <c r="D10" s="562" t="s">
        <v>89</v>
      </c>
      <c r="E10" s="2157" t="s">
        <v>89</v>
      </c>
      <c r="F10" s="2157"/>
      <c r="G10" s="532" t="s">
        <v>316</v>
      </c>
      <c r="H10" s="2157" t="s">
        <v>89</v>
      </c>
      <c r="I10" s="2157"/>
      <c r="J10" s="532" t="s">
        <v>662</v>
      </c>
      <c r="K10" s="532" t="s">
        <v>663</v>
      </c>
      <c r="L10" s="2157" t="s">
        <v>89</v>
      </c>
      <c r="M10" s="2157"/>
      <c r="N10" s="532" t="s">
        <v>664</v>
      </c>
      <c r="O10" s="532" t="s">
        <v>665</v>
      </c>
      <c r="P10" s="532" t="s">
        <v>666</v>
      </c>
      <c r="Q10" s="532" t="s">
        <v>667</v>
      </c>
      <c r="R10" s="532" t="s">
        <v>668</v>
      </c>
      <c r="S10" s="2157"/>
      <c r="T10" s="345"/>
      <c r="CF10" s="516">
        <v>46</v>
      </c>
    </row>
    <row s="1653" customFormat="1" customHeight="1" ht="15">
      <c r="A11" s="1063"/>
      <c r="D11" s="1036" t="s">
        <v>120</v>
      </c>
      <c r="E11" s="1036"/>
      <c r="F11" s="1036" t="s">
        <v>104</v>
      </c>
      <c r="G11" s="1036" t="s">
        <v>91</v>
      </c>
      <c r="H11" s="1036"/>
      <c r="I11" s="1036" t="s">
        <v>92</v>
      </c>
      <c r="J11" s="1036" t="s">
        <v>121</v>
      </c>
      <c r="K11" s="1036" t="s">
        <v>93</v>
      </c>
      <c r="L11" s="1036"/>
      <c r="M11" s="1036" t="s">
        <v>94</v>
      </c>
      <c r="N11" s="1036" t="s">
        <v>122</v>
      </c>
      <c r="O11" s="1036" t="s">
        <v>164</v>
      </c>
      <c r="P11" s="1036" t="s">
        <v>165</v>
      </c>
      <c r="Q11" s="1036" t="s">
        <v>166</v>
      </c>
      <c r="R11" s="1036" t="s">
        <v>167</v>
      </c>
      <c r="S11" s="1036" t="s">
        <v>168</v>
      </c>
      <c r="U11" s="622"/>
      <c r="V11" s="622"/>
      <c r="W11" s="622"/>
      <c r="CF11" s="522">
        <v>0</v>
      </c>
    </row>
    <row s="1646" customFormat="1" customHeight="1" ht="1.05">
      <c r="A12" s="626"/>
      <c r="B12" s="373"/>
      <c r="D12" s="559"/>
      <c r="E12" s="357"/>
      <c r="F12" s="357"/>
      <c r="Q12" s="627"/>
      <c r="R12" s="628"/>
      <c r="T12" s="629"/>
      <c r="U12" s="630"/>
      <c r="V12" s="630"/>
      <c r="W12" s="631"/>
      <c r="X12" s="373"/>
      <c r="Y12" s="373"/>
      <c r="Z12" s="373"/>
      <c r="AA12" s="373"/>
      <c r="CF12" s="520">
        <v>1</v>
      </c>
    </row>
    <row s="1652" customFormat="1" customHeight="1" ht="1.05">
      <c r="A13" s="632"/>
      <c r="B13" s="577"/>
      <c r="D13" s="559" t="s">
        <v>390</v>
      </c>
      <c r="E13" s="571"/>
      <c r="F13" s="571"/>
      <c r="G13" s="571"/>
      <c r="H13" s="571"/>
      <c r="I13" s="571"/>
      <c r="J13" s="571"/>
      <c r="K13" s="571"/>
      <c r="L13" s="571"/>
      <c r="M13" s="571"/>
      <c r="N13" s="571"/>
      <c r="O13" s="571"/>
      <c r="P13" s="571"/>
      <c r="Q13" s="571"/>
      <c r="R13" s="571"/>
      <c r="T13" s="345"/>
      <c r="U13" s="622"/>
      <c r="V13" s="622"/>
      <c r="W13" s="633"/>
      <c r="X13" s="577"/>
      <c r="Y13" s="577"/>
      <c r="Z13" s="577"/>
      <c r="AA13" s="577"/>
      <c r="CF13" s="507">
        <v>1</v>
      </c>
    </row>
    <row s="1858" customFormat="1" customHeight="1" ht="15">
      <c r="A14" s="634" t="s">
        <v>128</v>
      </c>
      <c r="B14" s="635"/>
      <c r="C14" s="635"/>
      <c r="D14" s="2410" t="s">
        <v>120</v>
      </c>
      <c r="E14" s="2407" t="s">
        <v>116</v>
      </c>
      <c r="F14" s="2408"/>
      <c r="G14" s="2409"/>
      <c r="H14" s="2413"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14" s="2413"/>
      <c r="J14" s="2413"/>
      <c r="K14" s="2413"/>
      <c r="L14" s="2413"/>
      <c r="M14" s="2413"/>
      <c r="N14" s="2413"/>
      <c r="O14" s="2413"/>
      <c r="P14" s="2413"/>
      <c r="Q14" s="2413"/>
      <c r="R14" s="2413"/>
      <c r="S14" s="730"/>
      <c r="T14" s="727"/>
      <c r="U14" s="636"/>
      <c r="V14" s="636"/>
      <c r="W14" s="637"/>
      <c r="X14" s="637"/>
      <c r="Y14" s="637"/>
      <c r="Z14" s="637"/>
      <c r="AA14" s="638"/>
      <c r="AB14" s="639"/>
      <c r="AC14" s="2405"/>
      <c r="AD14" s="640"/>
      <c r="AE14" s="641" t="s">
        <v>22</v>
      </c>
      <c r="AF14" s="641"/>
      <c r="AG14" s="642" t="s">
        <v>669</v>
      </c>
      <c r="AH14" s="643">
        <v>3</v>
      </c>
      <c r="AI14" s="636"/>
      <c r="AJ14" s="636"/>
      <c r="AK14" s="636"/>
      <c r="AL14" s="636"/>
      <c r="AM14" s="636"/>
      <c r="AN14" s="636"/>
      <c r="AO14" s="636"/>
      <c r="AP14" s="636"/>
      <c r="AQ14" s="636"/>
      <c r="AR14" s="636"/>
      <c r="AS14" s="636"/>
      <c r="AT14" s="636"/>
      <c r="AU14" s="636"/>
      <c r="AV14" s="636"/>
      <c r="AW14" s="636"/>
      <c r="AX14" s="636"/>
      <c r="AY14" s="636"/>
      <c r="AZ14" s="636"/>
      <c r="BA14" s="636"/>
      <c r="BB14" s="636"/>
      <c r="BC14" s="636"/>
      <c r="BD14" s="636"/>
      <c r="BE14" s="636"/>
      <c r="BF14" s="636"/>
      <c r="BG14" s="636"/>
      <c r="BH14" s="636"/>
      <c r="BI14" s="636"/>
      <c r="BJ14" s="636"/>
      <c r="BK14" s="636"/>
      <c r="BL14" s="636"/>
      <c r="BM14" s="636"/>
      <c r="BN14" s="636"/>
      <c r="BO14" s="636"/>
      <c r="BP14" s="636"/>
      <c r="BQ14" s="636"/>
      <c r="BR14" s="636"/>
      <c r="BS14" s="636"/>
      <c r="BT14" s="636"/>
      <c r="BU14" s="636"/>
      <c r="BV14" s="637"/>
      <c r="BW14" s="637"/>
      <c r="BX14" s="637"/>
      <c r="BY14" s="637"/>
      <c r="BZ14" s="637"/>
      <c r="CA14" s="637"/>
      <c r="CB14" s="637"/>
      <c r="CC14" s="637"/>
      <c r="CD14" s="637"/>
      <c r="CE14" s="637"/>
      <c r="CF14" s="304">
        <v>0</v>
      </c>
    </row>
    <row s="1858" customFormat="1" customHeight="1" ht="15">
      <c r="A15" s="634"/>
      <c r="B15" s="635"/>
      <c r="C15" s="635"/>
      <c r="D15" s="2411"/>
      <c r="E15" s="2407" t="s">
        <v>576</v>
      </c>
      <c r="F15" s="2408"/>
      <c r="G15" s="2409"/>
      <c r="H15" s="2413" t="str">
        <f>IF(A14="","",INDEX(DIFFERENTIATION_UNMERGE_AREA,MATCH(A14,DIFFERENTIATION_ID_DIFF,0)))</f>
        <v>Территория 1</v>
      </c>
      <c r="I15" s="2413"/>
      <c r="J15" s="2413"/>
      <c r="K15" s="2413"/>
      <c r="L15" s="2413"/>
      <c r="M15" s="2413"/>
      <c r="N15" s="2413"/>
      <c r="O15" s="2413"/>
      <c r="P15" s="2413"/>
      <c r="Q15" s="2413"/>
      <c r="R15" s="2413"/>
      <c r="S15" s="730"/>
      <c r="T15" s="727"/>
      <c r="U15" s="636"/>
      <c r="V15" s="636"/>
      <c r="W15" s="637"/>
      <c r="X15" s="637"/>
      <c r="Y15" s="637"/>
      <c r="Z15" s="637"/>
      <c r="AA15" s="638"/>
      <c r="AB15" s="639"/>
      <c r="AC15" s="2405"/>
      <c r="AD15" s="640"/>
      <c r="AE15" s="641"/>
      <c r="AF15" s="641"/>
      <c r="AG15" s="642"/>
      <c r="AH15" s="643"/>
      <c r="AI15" s="636"/>
      <c r="AJ15" s="636"/>
      <c r="AK15" s="636"/>
      <c r="AL15" s="636"/>
      <c r="AM15" s="636"/>
      <c r="AN15" s="636"/>
      <c r="AO15" s="636"/>
      <c r="AP15" s="636"/>
      <c r="AQ15" s="636"/>
      <c r="AR15" s="636"/>
      <c r="AS15" s="636"/>
      <c r="AT15" s="636"/>
      <c r="AU15" s="636"/>
      <c r="AV15" s="636"/>
      <c r="AW15" s="636"/>
      <c r="AX15" s="636"/>
      <c r="AY15" s="636"/>
      <c r="AZ15" s="636"/>
      <c r="BA15" s="636"/>
      <c r="BB15" s="636"/>
      <c r="BC15" s="636"/>
      <c r="BD15" s="636"/>
      <c r="BE15" s="636"/>
      <c r="BF15" s="636"/>
      <c r="BG15" s="636"/>
      <c r="BH15" s="636"/>
      <c r="BI15" s="636"/>
      <c r="BJ15" s="636"/>
      <c r="BK15" s="636"/>
      <c r="BL15" s="636"/>
      <c r="BM15" s="636"/>
      <c r="BN15" s="636"/>
      <c r="BO15" s="636"/>
      <c r="BP15" s="636"/>
      <c r="BQ15" s="636"/>
      <c r="BR15" s="636"/>
      <c r="BS15" s="636"/>
      <c r="BT15" s="636"/>
      <c r="BU15" s="636"/>
      <c r="BV15" s="637"/>
      <c r="BW15" s="637"/>
      <c r="BX15" s="637"/>
      <c r="BY15" s="637"/>
      <c r="BZ15" s="637"/>
      <c r="CA15" s="637"/>
      <c r="CB15" s="637"/>
      <c r="CC15" s="637"/>
      <c r="CD15" s="637"/>
      <c r="CE15" s="637"/>
      <c r="CF15" s="304">
        <v>0</v>
      </c>
    </row>
    <row s="1858" customFormat="1" customHeight="1" ht="15">
      <c r="A16" s="634"/>
      <c r="B16" s="635"/>
      <c r="C16" s="635"/>
      <c r="D16" s="2411"/>
      <c r="E16" s="2407" t="s">
        <v>577</v>
      </c>
      <c r="F16" s="2408"/>
      <c r="G16" s="2409"/>
      <c r="H16" s="2413" t="str">
        <f>IF(A14="","",INDEX(DIFFERENTIATION_UNMERGE_SYSTEM,MATCH(A14,DIFFERENTIATION_ID_DIFF,0)))</f>
        <v>СП "Тепловые сети"</v>
      </c>
      <c r="I16" s="2413"/>
      <c r="J16" s="2413"/>
      <c r="K16" s="2413"/>
      <c r="L16" s="2413"/>
      <c r="M16" s="2413"/>
      <c r="N16" s="2413"/>
      <c r="O16" s="2413"/>
      <c r="P16" s="2413"/>
      <c r="Q16" s="2413"/>
      <c r="R16" s="2413"/>
      <c r="S16" s="730"/>
      <c r="T16" s="727"/>
      <c r="U16" s="636"/>
      <c r="V16" s="636"/>
      <c r="W16" s="637"/>
      <c r="X16" s="637"/>
      <c r="Y16" s="637"/>
      <c r="Z16" s="637"/>
      <c r="AA16" s="638"/>
      <c r="AB16" s="639"/>
      <c r="AC16" s="2405"/>
      <c r="AD16" s="640"/>
      <c r="AE16" s="641"/>
      <c r="AF16" s="641"/>
      <c r="AG16" s="642"/>
      <c r="AH16" s="643"/>
      <c r="AI16" s="636"/>
      <c r="AJ16" s="636"/>
      <c r="AK16" s="636"/>
      <c r="AL16" s="636"/>
      <c r="AM16" s="636"/>
      <c r="AN16" s="636"/>
      <c r="AO16" s="636"/>
      <c r="AP16" s="636"/>
      <c r="AQ16" s="636"/>
      <c r="AR16" s="636"/>
      <c r="AS16" s="636"/>
      <c r="AT16" s="636"/>
      <c r="AU16" s="636"/>
      <c r="AV16" s="636"/>
      <c r="AW16" s="636"/>
      <c r="AX16" s="636"/>
      <c r="AY16" s="636"/>
      <c r="AZ16" s="636"/>
      <c r="BA16" s="636"/>
      <c r="BB16" s="636"/>
      <c r="BC16" s="636"/>
      <c r="BD16" s="636"/>
      <c r="BE16" s="636"/>
      <c r="BF16" s="636"/>
      <c r="BG16" s="636"/>
      <c r="BH16" s="636"/>
      <c r="BI16" s="636"/>
      <c r="BJ16" s="636"/>
      <c r="BK16" s="636"/>
      <c r="BL16" s="636"/>
      <c r="BM16" s="636"/>
      <c r="BN16" s="636"/>
      <c r="BO16" s="636"/>
      <c r="BP16" s="636"/>
      <c r="BQ16" s="636"/>
      <c r="BR16" s="636"/>
      <c r="BS16" s="636"/>
      <c r="BT16" s="636"/>
      <c r="BU16" s="636"/>
      <c r="BV16" s="637"/>
      <c r="BW16" s="637"/>
      <c r="BX16" s="637"/>
      <c r="BY16" s="637"/>
      <c r="BZ16" s="637"/>
      <c r="CA16" s="637"/>
      <c r="CB16" s="637"/>
      <c r="CC16" s="637"/>
      <c r="CD16" s="637"/>
      <c r="CE16" s="637"/>
      <c r="CF16" s="304">
        <v>0</v>
      </c>
    </row>
    <row s="1858" customFormat="1" customHeight="1" ht="22.5">
      <c r="A17" s="644"/>
      <c r="B17" s="428"/>
      <c r="C17" s="423"/>
      <c r="D17" s="2411"/>
      <c r="E17" s="2406" t="s">
        <v>670</v>
      </c>
      <c r="F17" s="2406"/>
      <c r="G17" s="2406"/>
      <c r="H17" s="2406"/>
      <c r="I17" s="2406"/>
      <c r="J17" s="2406"/>
      <c r="K17" s="2406"/>
      <c r="L17" s="2406"/>
      <c r="M17" s="2406"/>
      <c r="N17" s="2406"/>
      <c r="O17" s="2406"/>
      <c r="P17" s="2406"/>
      <c r="Q17" s="569">
        <f>SUMIF(T18:T27,"i",Q18:Q27)</f>
        <v>365010.00576</v>
      </c>
      <c r="R17" s="1028"/>
      <c r="S17" s="908" t="s">
        <v>671</v>
      </c>
      <c r="T17" s="728" t="s">
        <v>672</v>
      </c>
      <c r="U17" s="2404">
        <v>1</v>
      </c>
      <c r="V17" s="2404" t="str">
        <f>INDEX(B_FHD_FLAG_INDEX_1,1,MATCH(A14,B_FHD_FLAG_DIFFERENTIATION,0))</f>
        <v>есть</v>
      </c>
      <c r="W17" s="428"/>
      <c r="X17" s="428"/>
      <c r="Y17" s="428"/>
      <c r="Z17" s="428"/>
      <c r="AA17" s="522"/>
      <c r="AB17" s="428"/>
      <c r="AC17" s="2405"/>
      <c r="AD17" s="640"/>
      <c r="AE17" s="428"/>
      <c r="AF17" s="428"/>
      <c r="AG17" s="522"/>
      <c r="AH17" s="522"/>
      <c r="AI17" s="522"/>
      <c r="AJ17" s="522"/>
      <c r="AK17" s="522"/>
      <c r="AL17" s="522"/>
      <c r="AM17" s="522"/>
      <c r="AN17" s="522"/>
      <c r="AO17" s="522"/>
      <c r="AP17" s="522"/>
      <c r="AQ17" s="522"/>
      <c r="AR17" s="522"/>
      <c r="AS17" s="522"/>
      <c r="AT17" s="522"/>
      <c r="AU17" s="522"/>
      <c r="AV17" s="522"/>
      <c r="AW17" s="522"/>
      <c r="AX17" s="522"/>
      <c r="AY17" s="522"/>
      <c r="AZ17" s="522"/>
      <c r="BA17" s="522"/>
      <c r="BB17" s="522"/>
      <c r="BC17" s="522"/>
      <c r="BD17" s="522"/>
      <c r="BE17" s="522"/>
      <c r="BF17" s="522"/>
      <c r="BG17" s="522"/>
      <c r="BH17" s="522"/>
      <c r="BI17" s="522"/>
      <c r="BJ17" s="522"/>
      <c r="BK17" s="522"/>
      <c r="BL17" s="522"/>
      <c r="BM17" s="522"/>
      <c r="BN17" s="522"/>
      <c r="BO17" s="522"/>
      <c r="BP17" s="522"/>
      <c r="BQ17" s="522"/>
      <c r="BR17" s="522"/>
      <c r="BS17" s="522"/>
      <c r="BT17" s="522"/>
      <c r="BU17" s="522"/>
      <c r="BV17" s="428"/>
      <c r="BW17" s="428"/>
      <c r="BX17" s="428"/>
      <c r="BY17" s="428"/>
      <c r="BZ17" s="428"/>
      <c r="CA17" s="428"/>
      <c r="CB17" s="428"/>
      <c r="CC17" s="428"/>
      <c r="CD17" s="428"/>
      <c r="CE17" s="428"/>
      <c r="CF17" s="304">
        <v>0</v>
      </c>
    </row>
    <row s="1858" customFormat="1" customHeight="1" ht="11.25" hidden="1">
      <c r="A18" s="645"/>
      <c r="B18" s="522"/>
      <c r="C18" s="522"/>
      <c r="D18" s="2411"/>
      <c r="E18" s="646"/>
      <c r="F18" s="646">
        <v>0</v>
      </c>
      <c r="G18" s="646"/>
      <c r="H18" s="646"/>
      <c r="I18" s="646"/>
      <c r="J18" s="646"/>
      <c r="K18" s="646"/>
      <c r="L18" s="646"/>
      <c r="M18" s="646"/>
      <c r="N18" s="646"/>
      <c r="O18" s="646"/>
      <c r="P18" s="646"/>
      <c r="Q18" s="646"/>
      <c r="R18" s="646"/>
      <c r="S18" s="647"/>
      <c r="T18" s="729"/>
      <c r="U18" s="2404"/>
      <c r="V18" s="2404"/>
      <c r="W18" s="522"/>
      <c r="X18" s="522"/>
      <c r="Y18" s="522"/>
      <c r="Z18" s="522"/>
      <c r="AA18" s="522"/>
      <c r="AB18" s="428"/>
      <c r="AC18" s="2405"/>
      <c r="AD18" s="640"/>
      <c r="AE18" s="428"/>
      <c r="AF18" s="428"/>
      <c r="AG18" s="522"/>
      <c r="AH18" s="522"/>
      <c r="AI18" s="522"/>
      <c r="AJ18" s="522"/>
      <c r="AK18" s="522"/>
      <c r="AL18" s="522"/>
      <c r="AM18" s="522"/>
      <c r="AN18" s="522"/>
      <c r="AO18" s="522"/>
      <c r="AP18" s="522"/>
      <c r="AQ18" s="522"/>
      <c r="AR18" s="522"/>
      <c r="AS18" s="522"/>
      <c r="AT18" s="522"/>
      <c r="AU18" s="522"/>
      <c r="AV18" s="522"/>
      <c r="AW18" s="522"/>
      <c r="AX18" s="522"/>
      <c r="AY18" s="522"/>
      <c r="AZ18" s="522"/>
      <c r="BA18" s="522"/>
      <c r="BB18" s="522"/>
      <c r="BC18" s="522"/>
      <c r="BD18" s="522"/>
      <c r="BE18" s="522"/>
      <c r="BF18" s="522"/>
      <c r="BG18" s="522"/>
      <c r="BH18" s="522"/>
      <c r="BI18" s="522"/>
      <c r="BJ18" s="522"/>
      <c r="BK18" s="522"/>
      <c r="BL18" s="522"/>
      <c r="BM18" s="522"/>
      <c r="BN18" s="522"/>
      <c r="BO18" s="522"/>
      <c r="BP18" s="522"/>
      <c r="BQ18" s="522"/>
      <c r="BR18" s="522"/>
      <c r="BS18" s="522"/>
      <c r="BT18" s="522"/>
      <c r="BU18" s="522"/>
      <c r="BV18" s="522"/>
      <c r="BW18" s="522"/>
      <c r="BX18" s="522"/>
      <c r="BY18" s="522"/>
      <c r="BZ18" s="522"/>
      <c r="CA18" s="522"/>
      <c r="CB18" s="522"/>
      <c r="CC18" s="522"/>
      <c r="CD18" s="522"/>
      <c r="CE18" s="522"/>
      <c r="CF18" s="304">
        <v>0</v>
      </c>
    </row>
    <row customHeight="1" ht="45">
      <c r="A19" s="1816"/>
      <c r="B19" s="1171"/>
      <c r="C19" s="423"/>
      <c r="D19" s="100"/>
      <c r="E19" s="2602" t="s">
        <v>105</v>
      </c>
      <c r="F19" s="2138" t="s">
        <v>120</v>
      </c>
      <c r="G19" s="2605" t="s">
        <v>673</v>
      </c>
      <c r="H19" s="300"/>
      <c r="I19" s="648" t="s">
        <v>120</v>
      </c>
      <c r="J19" s="1817" t="s">
        <v>674</v>
      </c>
      <c r="K19" s="649" t="s">
        <v>558</v>
      </c>
      <c r="L19" s="2254" t="s">
        <v>558</v>
      </c>
      <c r="M19" s="2607"/>
      <c r="N19" s="649" t="s">
        <v>558</v>
      </c>
      <c r="O19" s="649" t="s">
        <v>558</v>
      </c>
      <c r="P19" s="649" t="s">
        <v>558</v>
      </c>
      <c r="Q19" s="650">
        <f>SUM(Q20:Q22)</f>
        <v>249049.38153</v>
      </c>
      <c r="R19" s="650">
        <f>IF('Показатели ФХД'!I95=0,0,($Q$19/'Показатели ФХД'!I95)*100)</f>
        <v>42.0440140822325</v>
      </c>
      <c r="S19" s="2209"/>
      <c r="T19" s="728" t="s">
        <v>672</v>
      </c>
      <c r="U19" s="100"/>
      <c r="V19" s="100"/>
      <c r="W19" s="1858"/>
      <c r="X19" s="1858"/>
      <c r="Y19" s="1858"/>
      <c r="Z19" s="1858"/>
      <c r="AA19" s="1858"/>
      <c r="AB19" s="1858"/>
      <c r="AC19" s="100"/>
      <c r="AD19" s="1858"/>
      <c r="AE19" s="1858"/>
      <c r="AF19" s="1858"/>
      <c r="AG19" s="1858"/>
      <c r="AH19" s="1858"/>
      <c r="AI19" s="1858"/>
      <c r="AJ19" s="1858"/>
      <c r="AK19" s="1858"/>
      <c r="AL19" s="1858"/>
      <c r="AM19" s="1858"/>
      <c r="AN19" s="1858"/>
      <c r="AO19" s="1858"/>
      <c r="AP19" s="1858"/>
      <c r="AQ19" s="1858"/>
      <c r="AR19" s="1858"/>
      <c r="AS19" s="1858"/>
      <c r="AT19" s="1858"/>
      <c r="AU19" s="1858"/>
      <c r="AV19" s="1858"/>
      <c r="AW19" s="1858"/>
      <c r="AX19" s="1858"/>
      <c r="AY19" s="1858"/>
      <c r="AZ19" s="1858"/>
      <c r="BA19" s="1858"/>
      <c r="BB19" s="1858"/>
      <c r="BC19" s="1858"/>
      <c r="BD19" s="1858"/>
      <c r="BE19" s="1858"/>
      <c r="BF19" s="1858"/>
      <c r="BG19" s="1858"/>
      <c r="BH19" s="1858"/>
      <c r="BI19" s="1858"/>
      <c r="BJ19" s="1858"/>
      <c r="BK19" s="1858"/>
      <c r="BL19" s="1858"/>
      <c r="BM19" s="1858"/>
      <c r="BN19" s="1858"/>
      <c r="BO19" s="1858"/>
      <c r="BP19" s="1858"/>
      <c r="BQ19" s="1858"/>
      <c r="BR19" s="1858"/>
      <c r="BS19" s="1858"/>
      <c r="BT19" s="1858"/>
      <c r="BU19" s="1858"/>
      <c r="BV19" s="1858"/>
      <c r="BW19" s="1858"/>
      <c r="BX19" s="1858"/>
      <c r="BY19" s="1858"/>
      <c r="BZ19" s="1858"/>
      <c r="CA19" s="1858"/>
      <c r="CB19" s="1858"/>
      <c r="CC19" s="1858"/>
      <c r="CD19" s="1858"/>
      <c r="CE19" s="1858"/>
      <c r="CF19" s="1858"/>
    </row>
    <row customHeight="1" ht="11.25">
      <c r="A20" s="1816"/>
      <c r="B20" s="1171"/>
      <c r="C20" s="423"/>
      <c r="D20" s="100"/>
      <c r="E20" s="2603"/>
      <c r="F20" s="2138">
        <v>0</v>
      </c>
      <c r="G20" s="2605"/>
      <c r="H20" s="2157"/>
      <c r="I20" s="2545" t="s">
        <v>675</v>
      </c>
      <c r="J20" s="2599" t="s">
        <v>676</v>
      </c>
      <c r="K20" s="2600" t="s">
        <v>677</v>
      </c>
      <c r="L20" s="651"/>
      <c r="M20" s="652" t="s">
        <v>120</v>
      </c>
      <c r="N20" s="1805" t="s">
        <v>678</v>
      </c>
      <c r="O20" s="653">
        <v>1</v>
      </c>
      <c r="P20" s="654" t="s">
        <v>564</v>
      </c>
      <c r="Q20" s="653">
        <v>249049.38153</v>
      </c>
      <c r="R20" s="655">
        <v>0</v>
      </c>
      <c r="S20" s="2209"/>
      <c r="T20" s="728"/>
      <c r="U20" s="100"/>
      <c r="V20" s="100"/>
      <c r="W20" s="1858"/>
      <c r="X20" s="1858"/>
      <c r="Y20" s="1858"/>
      <c r="Z20" s="1858"/>
      <c r="AA20" s="1858"/>
      <c r="AB20" s="1858"/>
      <c r="AC20" s="100"/>
      <c r="AD20" s="1858"/>
      <c r="AE20" s="1858"/>
      <c r="AF20" s="1858"/>
      <c r="AG20" s="1858"/>
      <c r="AH20" s="1858"/>
      <c r="AI20" s="1858"/>
      <c r="AJ20" s="1858"/>
      <c r="AK20" s="1858"/>
      <c r="AL20" s="1858"/>
      <c r="AM20" s="1858"/>
      <c r="AN20" s="1858"/>
      <c r="AO20" s="1858"/>
      <c r="AP20" s="1858"/>
      <c r="AQ20" s="1858"/>
      <c r="AR20" s="1858"/>
      <c r="AS20" s="1858"/>
      <c r="AT20" s="1858"/>
      <c r="AU20" s="1858"/>
      <c r="AV20" s="1858"/>
      <c r="AW20" s="1858"/>
      <c r="AX20" s="1858"/>
      <c r="AY20" s="1858"/>
      <c r="AZ20" s="1858"/>
      <c r="BA20" s="1858"/>
      <c r="BB20" s="1858"/>
      <c r="BC20" s="1858"/>
      <c r="BD20" s="1858"/>
      <c r="BE20" s="1858"/>
      <c r="BF20" s="1858"/>
      <c r="BG20" s="1858"/>
      <c r="BH20" s="1858"/>
      <c r="BI20" s="1858"/>
      <c r="BJ20" s="1858"/>
      <c r="BK20" s="1858"/>
      <c r="BL20" s="1858"/>
      <c r="BM20" s="1858"/>
      <c r="BN20" s="1858"/>
      <c r="BO20" s="1858"/>
      <c r="BP20" s="1858"/>
      <c r="BQ20" s="1858"/>
      <c r="BR20" s="1858"/>
      <c r="BS20" s="1858"/>
      <c r="BT20" s="1858"/>
      <c r="BU20" s="1858"/>
      <c r="BV20" s="1858"/>
      <c r="BW20" s="1858"/>
      <c r="BX20" s="1858"/>
      <c r="BY20" s="1858"/>
      <c r="BZ20" s="1858"/>
      <c r="CA20" s="1858"/>
      <c r="CB20" s="1858"/>
      <c r="CC20" s="1858"/>
      <c r="CD20" s="1858"/>
      <c r="CE20" s="1858"/>
      <c r="CF20" s="1858"/>
    </row>
    <row customHeight="1" ht="11.25">
      <c r="A21" s="1816"/>
      <c r="B21" s="1171"/>
      <c r="C21" s="423"/>
      <c r="D21" s="100"/>
      <c r="E21" s="2603"/>
      <c r="F21" s="2138">
        <v>0</v>
      </c>
      <c r="G21" s="2605"/>
      <c r="H21" s="2157"/>
      <c r="I21" s="2545"/>
      <c r="J21" s="2599"/>
      <c r="K21" s="2601"/>
      <c r="L21" s="656"/>
      <c r="M21" s="657"/>
      <c r="N21" s="658" t="s">
        <v>679</v>
      </c>
      <c r="O21" s="658"/>
      <c r="P21" s="658"/>
      <c r="Q21" s="658"/>
      <c r="R21" s="659"/>
      <c r="S21" s="2209"/>
      <c r="T21" s="728"/>
      <c r="U21" s="100"/>
      <c r="V21" s="100"/>
      <c r="W21" s="1858"/>
      <c r="X21" s="1858"/>
      <c r="Y21" s="1858"/>
      <c r="Z21" s="1858"/>
      <c r="AA21" s="1858"/>
      <c r="AB21" s="1858"/>
      <c r="AC21" s="100"/>
      <c r="AD21" s="1858"/>
      <c r="AE21" s="1858"/>
      <c r="AF21" s="1858"/>
      <c r="AG21" s="1858"/>
      <c r="AH21" s="1858"/>
      <c r="AI21" s="1858"/>
      <c r="AJ21" s="1858"/>
      <c r="AK21" s="1858"/>
      <c r="AL21" s="1858"/>
      <c r="AM21" s="1858"/>
      <c r="AN21" s="1858"/>
      <c r="AO21" s="1858"/>
      <c r="AP21" s="1858"/>
      <c r="AQ21" s="1858"/>
      <c r="AR21" s="1858"/>
      <c r="AS21" s="1858"/>
      <c r="AT21" s="1858"/>
      <c r="AU21" s="1858"/>
      <c r="AV21" s="1858"/>
      <c r="AW21" s="1858"/>
      <c r="AX21" s="1858"/>
      <c r="AY21" s="1858"/>
      <c r="AZ21" s="1858"/>
      <c r="BA21" s="1858"/>
      <c r="BB21" s="1858"/>
      <c r="BC21" s="1858"/>
      <c r="BD21" s="1858"/>
      <c r="BE21" s="1858"/>
      <c r="BF21" s="1858"/>
      <c r="BG21" s="1858"/>
      <c r="BH21" s="1858"/>
      <c r="BI21" s="1858"/>
      <c r="BJ21" s="1858"/>
      <c r="BK21" s="1858"/>
      <c r="BL21" s="1858"/>
      <c r="BM21" s="1858"/>
      <c r="BN21" s="1858"/>
      <c r="BO21" s="1858"/>
      <c r="BP21" s="1858"/>
      <c r="BQ21" s="1858"/>
      <c r="BR21" s="1858"/>
      <c r="BS21" s="1858"/>
      <c r="BT21" s="1858"/>
      <c r="BU21" s="1858"/>
      <c r="BV21" s="1858"/>
      <c r="BW21" s="1858"/>
      <c r="BX21" s="1858"/>
      <c r="BY21" s="1858"/>
      <c r="BZ21" s="1858"/>
      <c r="CA21" s="1858"/>
      <c r="CB21" s="1858"/>
      <c r="CC21" s="1858"/>
      <c r="CD21" s="1858"/>
      <c r="CE21" s="1858"/>
      <c r="CF21" s="1858"/>
    </row>
    <row customHeight="1" ht="11.25">
      <c r="A22" s="1816"/>
      <c r="B22" s="1171"/>
      <c r="C22" s="423"/>
      <c r="D22" s="100"/>
      <c r="E22" s="2604"/>
      <c r="F22" s="2138">
        <v>0</v>
      </c>
      <c r="G22" s="2606"/>
      <c r="H22" s="656" t="s">
        <v>22</v>
      </c>
      <c r="I22" s="657"/>
      <c r="J22" s="658" t="s">
        <v>680</v>
      </c>
      <c r="K22" s="658"/>
      <c r="L22" s="658"/>
      <c r="M22" s="658"/>
      <c r="N22" s="658"/>
      <c r="O22" s="658"/>
      <c r="P22" s="658"/>
      <c r="Q22" s="658"/>
      <c r="R22" s="659"/>
      <c r="S22" s="2209"/>
      <c r="T22" s="728"/>
      <c r="U22" s="100"/>
      <c r="V22" s="100"/>
      <c r="W22" s="1858"/>
      <c r="X22" s="1858"/>
      <c r="Y22" s="1858"/>
      <c r="Z22" s="1858"/>
      <c r="AA22" s="1858"/>
      <c r="AB22" s="1858"/>
      <c r="AC22" s="100"/>
      <c r="AD22" s="1858"/>
      <c r="AE22" s="1858"/>
      <c r="AF22" s="1858"/>
      <c r="AG22" s="1858"/>
      <c r="AH22" s="1858"/>
      <c r="AI22" s="1858"/>
      <c r="AJ22" s="1858"/>
      <c r="AK22" s="1858"/>
      <c r="AL22" s="1858"/>
      <c r="AM22" s="1858"/>
      <c r="AN22" s="1858"/>
      <c r="AO22" s="1858"/>
      <c r="AP22" s="1858"/>
      <c r="AQ22" s="1858"/>
      <c r="AR22" s="1858"/>
      <c r="AS22" s="1858"/>
      <c r="AT22" s="1858"/>
      <c r="AU22" s="1858"/>
      <c r="AV22" s="1858"/>
      <c r="AW22" s="1858"/>
      <c r="AX22" s="1858"/>
      <c r="AY22" s="1858"/>
      <c r="AZ22" s="1858"/>
      <c r="BA22" s="1858"/>
      <c r="BB22" s="1858"/>
      <c r="BC22" s="1858"/>
      <c r="BD22" s="1858"/>
      <c r="BE22" s="1858"/>
      <c r="BF22" s="1858"/>
      <c r="BG22" s="1858"/>
      <c r="BH22" s="1858"/>
      <c r="BI22" s="1858"/>
      <c r="BJ22" s="1858"/>
      <c r="BK22" s="1858"/>
      <c r="BL22" s="1858"/>
      <c r="BM22" s="1858"/>
      <c r="BN22" s="1858"/>
      <c r="BO22" s="1858"/>
      <c r="BP22" s="1858"/>
      <c r="BQ22" s="1858"/>
      <c r="BR22" s="1858"/>
      <c r="BS22" s="1858"/>
      <c r="BT22" s="1858"/>
      <c r="BU22" s="1858"/>
      <c r="BV22" s="1858"/>
      <c r="BW22" s="1858"/>
      <c r="BX22" s="1858"/>
      <c r="BY22" s="1858"/>
      <c r="BZ22" s="1858"/>
      <c r="CA22" s="1858"/>
      <c r="CB22" s="1858"/>
      <c r="CC22" s="1858"/>
      <c r="CD22" s="1858"/>
      <c r="CE22" s="1858"/>
      <c r="CF22" s="1858"/>
    </row>
    <row customHeight="1" ht="45">
      <c r="A23" s="1816"/>
      <c r="B23" s="1171"/>
      <c r="C23" s="423"/>
      <c r="D23" s="100"/>
      <c r="E23" s="2602" t="s">
        <v>105</v>
      </c>
      <c r="F23" s="2138" t="s">
        <v>104</v>
      </c>
      <c r="G23" s="2605" t="s">
        <v>681</v>
      </c>
      <c r="H23" s="300"/>
      <c r="I23" s="648" t="s">
        <v>120</v>
      </c>
      <c r="J23" s="1817" t="s">
        <v>674</v>
      </c>
      <c r="K23" s="649" t="s">
        <v>558</v>
      </c>
      <c r="L23" s="2254" t="s">
        <v>558</v>
      </c>
      <c r="M23" s="2607"/>
      <c r="N23" s="649" t="s">
        <v>558</v>
      </c>
      <c r="O23" s="649" t="s">
        <v>558</v>
      </c>
      <c r="P23" s="649" t="s">
        <v>558</v>
      </c>
      <c r="Q23" s="650">
        <f>SUM(Q24:Q26)</f>
        <v>115960.62423</v>
      </c>
      <c r="R23" s="650">
        <f>IF('Показатели ФХД'!I95=0,0,($Q$23/'Показатели ФХД'!I95)*100)</f>
        <v>19.5762386084195</v>
      </c>
      <c r="S23" s="2209"/>
      <c r="T23" s="728" t="s">
        <v>672</v>
      </c>
      <c r="U23" s="100"/>
      <c r="V23" s="100"/>
      <c r="W23" s="1858"/>
      <c r="X23" s="1858"/>
      <c r="Y23" s="1858"/>
      <c r="Z23" s="1858"/>
      <c r="AA23" s="1858"/>
      <c r="AB23" s="1858"/>
      <c r="AC23" s="100"/>
      <c r="AD23" s="1858"/>
      <c r="AE23" s="1858"/>
      <c r="AF23" s="1858"/>
      <c r="AG23" s="1858"/>
      <c r="AH23" s="1858"/>
      <c r="AI23" s="1858"/>
      <c r="AJ23" s="1858"/>
      <c r="AK23" s="1858"/>
      <c r="AL23" s="1858"/>
      <c r="AM23" s="1858"/>
      <c r="AN23" s="1858"/>
      <c r="AO23" s="1858"/>
      <c r="AP23" s="1858"/>
      <c r="AQ23" s="1858"/>
      <c r="AR23" s="1858"/>
      <c r="AS23" s="1858"/>
      <c r="AT23" s="1858"/>
      <c r="AU23" s="1858"/>
      <c r="AV23" s="1858"/>
      <c r="AW23" s="1858"/>
      <c r="AX23" s="1858"/>
      <c r="AY23" s="1858"/>
      <c r="AZ23" s="1858"/>
      <c r="BA23" s="1858"/>
      <c r="BB23" s="1858"/>
      <c r="BC23" s="1858"/>
      <c r="BD23" s="1858"/>
      <c r="BE23" s="1858"/>
      <c r="BF23" s="1858"/>
      <c r="BG23" s="1858"/>
      <c r="BH23" s="1858"/>
      <c r="BI23" s="1858"/>
      <c r="BJ23" s="1858"/>
      <c r="BK23" s="1858"/>
      <c r="BL23" s="1858"/>
      <c r="BM23" s="1858"/>
      <c r="BN23" s="1858"/>
      <c r="BO23" s="1858"/>
      <c r="BP23" s="1858"/>
      <c r="BQ23" s="1858"/>
      <c r="BR23" s="1858"/>
      <c r="BS23" s="1858"/>
      <c r="BT23" s="1858"/>
      <c r="BU23" s="1858"/>
      <c r="BV23" s="1858"/>
      <c r="BW23" s="1858"/>
      <c r="BX23" s="1858"/>
      <c r="BY23" s="1858"/>
      <c r="BZ23" s="1858"/>
      <c r="CA23" s="1858"/>
      <c r="CB23" s="1858"/>
      <c r="CC23" s="1858"/>
      <c r="CD23" s="1858"/>
      <c r="CE23" s="1858"/>
      <c r="CF23" s="1858"/>
    </row>
    <row customHeight="1" ht="48">
      <c r="A24" s="1816"/>
      <c r="B24" s="1171"/>
      <c r="C24" s="423"/>
      <c r="D24" s="100"/>
      <c r="E24" s="2603"/>
      <c r="F24" s="2138" t="s">
        <v>120</v>
      </c>
      <c r="G24" s="2605"/>
      <c r="H24" s="2157"/>
      <c r="I24" s="2545" t="s">
        <v>675</v>
      </c>
      <c r="J24" s="2599" t="s">
        <v>676</v>
      </c>
      <c r="K24" s="2600" t="s">
        <v>682</v>
      </c>
      <c r="L24" s="651"/>
      <c r="M24" s="652" t="s">
        <v>120</v>
      </c>
      <c r="N24" s="1805" t="s">
        <v>683</v>
      </c>
      <c r="O24" s="653">
        <v>1</v>
      </c>
      <c r="P24" s="654" t="s">
        <v>564</v>
      </c>
      <c r="Q24" s="653">
        <v>115960.62423</v>
      </c>
      <c r="R24" s="655">
        <v>0</v>
      </c>
      <c r="S24" s="2209"/>
      <c r="T24" s="728"/>
      <c r="U24" s="100"/>
      <c r="V24" s="100"/>
      <c r="W24" s="1858"/>
      <c r="X24" s="1858"/>
      <c r="Y24" s="1858"/>
      <c r="Z24" s="1858"/>
      <c r="AA24" s="1858"/>
      <c r="AB24" s="1858"/>
      <c r="AC24" s="100"/>
      <c r="AD24" s="1858"/>
      <c r="AE24" s="1858"/>
      <c r="AF24" s="1858"/>
      <c r="AG24" s="1858"/>
      <c r="AH24" s="1858"/>
      <c r="AI24" s="1858"/>
      <c r="AJ24" s="1858"/>
      <c r="AK24" s="1858"/>
      <c r="AL24" s="1858"/>
      <c r="AM24" s="1858"/>
      <c r="AN24" s="1858"/>
      <c r="AO24" s="1858"/>
      <c r="AP24" s="1858"/>
      <c r="AQ24" s="1858"/>
      <c r="AR24" s="1858"/>
      <c r="AS24" s="1858"/>
      <c r="AT24" s="1858"/>
      <c r="AU24" s="1858"/>
      <c r="AV24" s="1858"/>
      <c r="AW24" s="1858"/>
      <c r="AX24" s="1858"/>
      <c r="AY24" s="1858"/>
      <c r="AZ24" s="1858"/>
      <c r="BA24" s="1858"/>
      <c r="BB24" s="1858"/>
      <c r="BC24" s="1858"/>
      <c r="BD24" s="1858"/>
      <c r="BE24" s="1858"/>
      <c r="BF24" s="1858"/>
      <c r="BG24" s="1858"/>
      <c r="BH24" s="1858"/>
      <c r="BI24" s="1858"/>
      <c r="BJ24" s="1858"/>
      <c r="BK24" s="1858"/>
      <c r="BL24" s="1858"/>
      <c r="BM24" s="1858"/>
      <c r="BN24" s="1858"/>
      <c r="BO24" s="1858"/>
      <c r="BP24" s="1858"/>
      <c r="BQ24" s="1858"/>
      <c r="BR24" s="1858"/>
      <c r="BS24" s="1858"/>
      <c r="BT24" s="1858"/>
      <c r="BU24" s="1858"/>
      <c r="BV24" s="1858"/>
      <c r="BW24" s="1858"/>
      <c r="BX24" s="1858"/>
      <c r="BY24" s="1858"/>
      <c r="BZ24" s="1858"/>
      <c r="CA24" s="1858"/>
      <c r="CB24" s="1858"/>
      <c r="CC24" s="1858"/>
      <c r="CD24" s="1858"/>
      <c r="CE24" s="1858"/>
      <c r="CF24" s="1858"/>
    </row>
    <row customHeight="1" ht="11.25">
      <c r="A25" s="1816"/>
      <c r="B25" s="1171"/>
      <c r="C25" s="423"/>
      <c r="D25" s="100"/>
      <c r="E25" s="2603"/>
      <c r="F25" s="2138" t="s">
        <v>120</v>
      </c>
      <c r="G25" s="2605"/>
      <c r="H25" s="2157"/>
      <c r="I25" s="2545"/>
      <c r="J25" s="2599"/>
      <c r="K25" s="2601"/>
      <c r="L25" s="656"/>
      <c r="M25" s="657"/>
      <c r="N25" s="658" t="s">
        <v>679</v>
      </c>
      <c r="O25" s="658"/>
      <c r="P25" s="658"/>
      <c r="Q25" s="658"/>
      <c r="R25" s="659"/>
      <c r="S25" s="2209"/>
      <c r="T25" s="728"/>
      <c r="U25" s="100"/>
      <c r="V25" s="100"/>
      <c r="W25" s="1858"/>
      <c r="X25" s="1858"/>
      <c r="Y25" s="1858"/>
      <c r="Z25" s="1858"/>
      <c r="AA25" s="1858"/>
      <c r="AB25" s="1858"/>
      <c r="AC25" s="100"/>
      <c r="AD25" s="1858"/>
      <c r="AE25" s="1858"/>
      <c r="AF25" s="1858"/>
      <c r="AG25" s="1858"/>
      <c r="AH25" s="1858"/>
      <c r="AI25" s="1858"/>
      <c r="AJ25" s="1858"/>
      <c r="AK25" s="1858"/>
      <c r="AL25" s="1858"/>
      <c r="AM25" s="1858"/>
      <c r="AN25" s="1858"/>
      <c r="AO25" s="1858"/>
      <c r="AP25" s="1858"/>
      <c r="AQ25" s="1858"/>
      <c r="AR25" s="1858"/>
      <c r="AS25" s="1858"/>
      <c r="AT25" s="1858"/>
      <c r="AU25" s="1858"/>
      <c r="AV25" s="1858"/>
      <c r="AW25" s="1858"/>
      <c r="AX25" s="1858"/>
      <c r="AY25" s="1858"/>
      <c r="AZ25" s="1858"/>
      <c r="BA25" s="1858"/>
      <c r="BB25" s="1858"/>
      <c r="BC25" s="1858"/>
      <c r="BD25" s="1858"/>
      <c r="BE25" s="1858"/>
      <c r="BF25" s="1858"/>
      <c r="BG25" s="1858"/>
      <c r="BH25" s="1858"/>
      <c r="BI25" s="1858"/>
      <c r="BJ25" s="1858"/>
      <c r="BK25" s="1858"/>
      <c r="BL25" s="1858"/>
      <c r="BM25" s="1858"/>
      <c r="BN25" s="1858"/>
      <c r="BO25" s="1858"/>
      <c r="BP25" s="1858"/>
      <c r="BQ25" s="1858"/>
      <c r="BR25" s="1858"/>
      <c r="BS25" s="1858"/>
      <c r="BT25" s="1858"/>
      <c r="BU25" s="1858"/>
      <c r="BV25" s="1858"/>
      <c r="BW25" s="1858"/>
      <c r="BX25" s="1858"/>
      <c r="BY25" s="1858"/>
      <c r="BZ25" s="1858"/>
      <c r="CA25" s="1858"/>
      <c r="CB25" s="1858"/>
      <c r="CC25" s="1858"/>
      <c r="CD25" s="1858"/>
      <c r="CE25" s="1858"/>
      <c r="CF25" s="1858"/>
    </row>
    <row customHeight="1" ht="11.25">
      <c r="A26" s="1816"/>
      <c r="B26" s="1171"/>
      <c r="C26" s="423"/>
      <c r="D26" s="100"/>
      <c r="E26" s="2604"/>
      <c r="F26" s="2138" t="s">
        <v>120</v>
      </c>
      <c r="G26" s="2606"/>
      <c r="H26" s="656" t="s">
        <v>22</v>
      </c>
      <c r="I26" s="657"/>
      <c r="J26" s="658" t="s">
        <v>680</v>
      </c>
      <c r="K26" s="658"/>
      <c r="L26" s="658"/>
      <c r="M26" s="658"/>
      <c r="N26" s="658"/>
      <c r="O26" s="658"/>
      <c r="P26" s="658"/>
      <c r="Q26" s="658"/>
      <c r="R26" s="659"/>
      <c r="S26" s="2209"/>
      <c r="T26" s="728"/>
      <c r="U26" s="100"/>
      <c r="V26" s="100"/>
      <c r="W26" s="1858"/>
      <c r="X26" s="1858"/>
      <c r="Y26" s="1858"/>
      <c r="Z26" s="1858"/>
      <c r="AA26" s="1858"/>
      <c r="AB26" s="1858"/>
      <c r="AC26" s="100"/>
      <c r="AD26" s="1858"/>
      <c r="AE26" s="1858"/>
      <c r="AF26" s="1858"/>
      <c r="AG26" s="1858"/>
      <c r="AH26" s="1858"/>
      <c r="AI26" s="1858"/>
      <c r="AJ26" s="1858"/>
      <c r="AK26" s="1858"/>
      <c r="AL26" s="1858"/>
      <c r="AM26" s="1858"/>
      <c r="AN26" s="1858"/>
      <c r="AO26" s="1858"/>
      <c r="AP26" s="1858"/>
      <c r="AQ26" s="1858"/>
      <c r="AR26" s="1858"/>
      <c r="AS26" s="1858"/>
      <c r="AT26" s="1858"/>
      <c r="AU26" s="1858"/>
      <c r="AV26" s="1858"/>
      <c r="AW26" s="1858"/>
      <c r="AX26" s="1858"/>
      <c r="AY26" s="1858"/>
      <c r="AZ26" s="1858"/>
      <c r="BA26" s="1858"/>
      <c r="BB26" s="1858"/>
      <c r="BC26" s="1858"/>
      <c r="BD26" s="1858"/>
      <c r="BE26" s="1858"/>
      <c r="BF26" s="1858"/>
      <c r="BG26" s="1858"/>
      <c r="BH26" s="1858"/>
      <c r="BI26" s="1858"/>
      <c r="BJ26" s="1858"/>
      <c r="BK26" s="1858"/>
      <c r="BL26" s="1858"/>
      <c r="BM26" s="1858"/>
      <c r="BN26" s="1858"/>
      <c r="BO26" s="1858"/>
      <c r="BP26" s="1858"/>
      <c r="BQ26" s="1858"/>
      <c r="BR26" s="1858"/>
      <c r="BS26" s="1858"/>
      <c r="BT26" s="1858"/>
      <c r="BU26" s="1858"/>
      <c r="BV26" s="1858"/>
      <c r="BW26" s="1858"/>
      <c r="BX26" s="1858"/>
      <c r="BY26" s="1858"/>
      <c r="BZ26" s="1858"/>
      <c r="CA26" s="1858"/>
      <c r="CB26" s="1858"/>
      <c r="CC26" s="1858"/>
      <c r="CD26" s="1858"/>
      <c r="CE26" s="1858"/>
      <c r="CF26" s="1858"/>
    </row>
    <row s="1858" customFormat="1" customHeight="1" ht="11.25">
      <c r="A27" s="644"/>
      <c r="B27" s="428"/>
      <c r="C27" s="423"/>
      <c r="D27" s="2411"/>
      <c r="E27" s="660" t="s">
        <v>22</v>
      </c>
      <c r="F27" s="661" t="s">
        <v>22</v>
      </c>
      <c r="G27" s="661" t="s">
        <v>684</v>
      </c>
      <c r="H27" s="662" t="s">
        <v>22</v>
      </c>
      <c r="I27" s="662"/>
      <c r="J27" s="662"/>
      <c r="K27" s="662"/>
      <c r="L27" s="662"/>
      <c r="M27" s="662"/>
      <c r="N27" s="662"/>
      <c r="O27" s="662"/>
      <c r="P27" s="662"/>
      <c r="Q27" s="662"/>
      <c r="R27" s="663"/>
      <c r="S27" s="1031"/>
      <c r="T27" s="729"/>
      <c r="U27" s="2404"/>
      <c r="V27" s="2404"/>
      <c r="W27" s="428"/>
      <c r="X27" s="428"/>
      <c r="Y27" s="428"/>
      <c r="Z27" s="428"/>
      <c r="AA27" s="522"/>
      <c r="AB27" s="428"/>
      <c r="AC27" s="2405"/>
      <c r="AD27" s="640"/>
      <c r="AE27" s="428"/>
      <c r="AF27" s="428"/>
      <c r="AG27" s="522"/>
      <c r="AH27" s="522"/>
      <c r="AI27" s="522"/>
      <c r="AJ27" s="522"/>
      <c r="AK27" s="522"/>
      <c r="AL27" s="522"/>
      <c r="AM27" s="522"/>
      <c r="AN27" s="522"/>
      <c r="AO27" s="522"/>
      <c r="AP27" s="522"/>
      <c r="AQ27" s="522"/>
      <c r="AR27" s="522"/>
      <c r="AS27" s="522"/>
      <c r="AT27" s="522"/>
      <c r="AU27" s="522"/>
      <c r="AV27" s="522"/>
      <c r="AW27" s="522"/>
      <c r="AX27" s="522"/>
      <c r="AY27" s="522"/>
      <c r="AZ27" s="522"/>
      <c r="BA27" s="522"/>
      <c r="BB27" s="522"/>
      <c r="BC27" s="522"/>
      <c r="BD27" s="522"/>
      <c r="BE27" s="522"/>
      <c r="BF27" s="522"/>
      <c r="BG27" s="522"/>
      <c r="BH27" s="522"/>
      <c r="BI27" s="522"/>
      <c r="BJ27" s="522"/>
      <c r="BK27" s="522"/>
      <c r="BL27" s="522"/>
      <c r="BM27" s="522"/>
      <c r="BN27" s="522"/>
      <c r="BO27" s="522"/>
      <c r="BP27" s="522"/>
      <c r="BQ27" s="522"/>
      <c r="BR27" s="522"/>
      <c r="BS27" s="522"/>
      <c r="BT27" s="522"/>
      <c r="BU27" s="522"/>
      <c r="BV27" s="428"/>
      <c r="BW27" s="428"/>
      <c r="BX27" s="428"/>
      <c r="BY27" s="428"/>
      <c r="BZ27" s="428"/>
      <c r="CA27" s="428"/>
      <c r="CB27" s="428"/>
      <c r="CC27" s="428"/>
      <c r="CD27" s="428"/>
      <c r="CE27" s="428"/>
      <c r="CF27" s="304">
        <v>0</v>
      </c>
    </row>
    <row s="1858" customFormat="1" customHeight="1" ht="22.5" hidden="1">
      <c r="A28" s="644"/>
      <c r="B28" s="428"/>
      <c r="C28" s="423"/>
      <c r="D28" s="2411"/>
      <c r="E28" s="2406" t="s">
        <v>685</v>
      </c>
      <c r="F28" s="2406"/>
      <c r="G28" s="2406"/>
      <c r="H28" s="2406"/>
      <c r="I28" s="2406"/>
      <c r="J28" s="2406"/>
      <c r="K28" s="2406"/>
      <c r="L28" s="2406"/>
      <c r="M28" s="2406"/>
      <c r="N28" s="2406"/>
      <c r="O28" s="2406"/>
      <c r="P28" s="2406"/>
      <c r="Q28" s="569">
        <f>SUMIF(T29:T30,"i",Q29:Q30)</f>
        <v>0</v>
      </c>
      <c r="R28" s="1028"/>
      <c r="S28" s="720" t="s">
        <v>686</v>
      </c>
      <c r="T28" s="728" t="s">
        <v>672</v>
      </c>
      <c r="U28" s="2404">
        <v>2</v>
      </c>
      <c r="V28" s="2404" t="str">
        <f>INDEX(B_FHD_FLAG_INDEX_2,1,MATCH(A14,B_FHD_FLAG_DIFFERENTIATION,0))</f>
        <v>отсутствует</v>
      </c>
      <c r="W28" s="428"/>
      <c r="X28" s="428"/>
      <c r="Y28" s="428"/>
      <c r="Z28" s="428"/>
      <c r="AA28" s="522"/>
      <c r="AB28" s="428"/>
      <c r="AC28" s="717"/>
      <c r="AD28" s="640"/>
      <c r="AE28" s="428"/>
      <c r="AF28" s="428"/>
      <c r="AG28" s="522"/>
      <c r="AH28" s="522"/>
      <c r="AI28" s="522"/>
      <c r="AJ28" s="522"/>
      <c r="AK28" s="522"/>
      <c r="AL28" s="522"/>
      <c r="AM28" s="522"/>
      <c r="AN28" s="522"/>
      <c r="AO28" s="522"/>
      <c r="AP28" s="522"/>
      <c r="AQ28" s="522"/>
      <c r="AR28" s="522"/>
      <c r="AS28" s="522"/>
      <c r="AT28" s="522"/>
      <c r="AU28" s="522"/>
      <c r="AV28" s="522"/>
      <c r="AW28" s="522"/>
      <c r="AX28" s="522"/>
      <c r="AY28" s="522"/>
      <c r="AZ28" s="522"/>
      <c r="BA28" s="522"/>
      <c r="BB28" s="522"/>
      <c r="BC28" s="522"/>
      <c r="BD28" s="522"/>
      <c r="BE28" s="522"/>
      <c r="BF28" s="522"/>
      <c r="BG28" s="522"/>
      <c r="BH28" s="522"/>
      <c r="BI28" s="522"/>
      <c r="BJ28" s="522"/>
      <c r="BK28" s="522"/>
      <c r="BL28" s="522"/>
      <c r="BM28" s="522"/>
      <c r="BN28" s="522"/>
      <c r="BO28" s="522"/>
      <c r="BP28" s="522"/>
      <c r="BQ28" s="522"/>
      <c r="BR28" s="522"/>
      <c r="BS28" s="522"/>
      <c r="BT28" s="522"/>
      <c r="BU28" s="522"/>
      <c r="BV28" s="428"/>
      <c r="BW28" s="428"/>
      <c r="BX28" s="428"/>
      <c r="BY28" s="428"/>
      <c r="BZ28" s="428"/>
      <c r="CA28" s="428"/>
      <c r="CB28" s="428"/>
      <c r="CC28" s="428"/>
      <c r="CD28" s="428"/>
      <c r="CE28" s="428"/>
      <c r="CF28" s="304">
        <v>0</v>
      </c>
    </row>
    <row s="1858" customFormat="1" customHeight="1" ht="11.25" hidden="1">
      <c r="A29" s="719"/>
      <c r="B29" s="522"/>
      <c r="C29" s="522"/>
      <c r="D29" s="2411"/>
      <c r="E29" s="646"/>
      <c r="F29" s="646">
        <v>0</v>
      </c>
      <c r="G29" s="646"/>
      <c r="H29" s="646"/>
      <c r="I29" s="646"/>
      <c r="J29" s="646"/>
      <c r="K29" s="646"/>
      <c r="L29" s="646"/>
      <c r="M29" s="646"/>
      <c r="N29" s="646"/>
      <c r="O29" s="646"/>
      <c r="P29" s="646"/>
      <c r="Q29" s="646"/>
      <c r="R29" s="646"/>
      <c r="S29" s="647"/>
      <c r="T29" s="729"/>
      <c r="U29" s="2404"/>
      <c r="V29" s="2404"/>
      <c r="W29" s="522"/>
      <c r="X29" s="522"/>
      <c r="Y29" s="522"/>
      <c r="Z29" s="522"/>
      <c r="AA29" s="522"/>
      <c r="AB29" s="428"/>
      <c r="AC29" s="717"/>
      <c r="AD29" s="640"/>
      <c r="AE29" s="428"/>
      <c r="AF29" s="428"/>
      <c r="AG29" s="522"/>
      <c r="AH29" s="522"/>
      <c r="AI29" s="522"/>
      <c r="AJ29" s="522"/>
      <c r="AK29" s="522"/>
      <c r="AL29" s="522"/>
      <c r="AM29" s="522"/>
      <c r="AN29" s="522"/>
      <c r="AO29" s="522"/>
      <c r="AP29" s="522"/>
      <c r="AQ29" s="522"/>
      <c r="AR29" s="522"/>
      <c r="AS29" s="522"/>
      <c r="AT29" s="522"/>
      <c r="AU29" s="522"/>
      <c r="AV29" s="522"/>
      <c r="AW29" s="522"/>
      <c r="AX29" s="522"/>
      <c r="AY29" s="522"/>
      <c r="AZ29" s="522"/>
      <c r="BA29" s="522"/>
      <c r="BB29" s="522"/>
      <c r="BC29" s="522"/>
      <c r="BD29" s="522"/>
      <c r="BE29" s="522"/>
      <c r="BF29" s="522"/>
      <c r="BG29" s="522"/>
      <c r="BH29" s="522"/>
      <c r="BI29" s="522"/>
      <c r="BJ29" s="522"/>
      <c r="BK29" s="522"/>
      <c r="BL29" s="522"/>
      <c r="BM29" s="522"/>
      <c r="BN29" s="522"/>
      <c r="BO29" s="522"/>
      <c r="BP29" s="522"/>
      <c r="BQ29" s="522"/>
      <c r="BR29" s="522"/>
      <c r="BS29" s="522"/>
      <c r="BT29" s="522"/>
      <c r="BU29" s="522"/>
      <c r="BV29" s="522"/>
      <c r="BW29" s="522"/>
      <c r="BX29" s="522"/>
      <c r="BY29" s="522"/>
      <c r="BZ29" s="522"/>
      <c r="CA29" s="522"/>
      <c r="CB29" s="522"/>
      <c r="CC29" s="522"/>
      <c r="CD29" s="522"/>
      <c r="CE29" s="522"/>
      <c r="CF29" s="304">
        <v>0</v>
      </c>
    </row>
    <row s="1858" customFormat="1" customHeight="1" ht="11.25" hidden="1">
      <c r="A30" s="644"/>
      <c r="B30" s="428"/>
      <c r="C30" s="423"/>
      <c r="D30" s="2412"/>
      <c r="E30" s="660" t="s">
        <v>22</v>
      </c>
      <c r="F30" s="661" t="s">
        <v>22</v>
      </c>
      <c r="G30" s="661" t="s">
        <v>22</v>
      </c>
      <c r="H30" s="662" t="s">
        <v>22</v>
      </c>
      <c r="I30" s="662"/>
      <c r="J30" s="662"/>
      <c r="K30" s="662"/>
      <c r="L30" s="662"/>
      <c r="M30" s="662"/>
      <c r="N30" s="662"/>
      <c r="O30" s="662"/>
      <c r="P30" s="662"/>
      <c r="Q30" s="662"/>
      <c r="R30" s="663"/>
      <c r="S30" s="1031"/>
      <c r="T30" s="729"/>
      <c r="U30" s="2404"/>
      <c r="V30" s="2404"/>
      <c r="W30" s="428"/>
      <c r="X30" s="428"/>
      <c r="Y30" s="428"/>
      <c r="Z30" s="428"/>
      <c r="AA30" s="522"/>
      <c r="AB30" s="428"/>
      <c r="AC30" s="717"/>
      <c r="AD30" s="640"/>
      <c r="AE30" s="428"/>
      <c r="AF30" s="428"/>
      <c r="AG30" s="522"/>
      <c r="AH30" s="522"/>
      <c r="AI30" s="522"/>
      <c r="AJ30" s="522"/>
      <c r="AK30" s="522"/>
      <c r="AL30" s="522"/>
      <c r="AM30" s="522"/>
      <c r="AN30" s="522"/>
      <c r="AO30" s="522"/>
      <c r="AP30" s="522"/>
      <c r="AQ30" s="522"/>
      <c r="AR30" s="522"/>
      <c r="AS30" s="522"/>
      <c r="AT30" s="522"/>
      <c r="AU30" s="522"/>
      <c r="AV30" s="522"/>
      <c r="AW30" s="522"/>
      <c r="AX30" s="522"/>
      <c r="AY30" s="522"/>
      <c r="AZ30" s="522"/>
      <c r="BA30" s="522"/>
      <c r="BB30" s="522"/>
      <c r="BC30" s="522"/>
      <c r="BD30" s="522"/>
      <c r="BE30" s="522"/>
      <c r="BF30" s="522"/>
      <c r="BG30" s="522"/>
      <c r="BH30" s="522"/>
      <c r="BI30" s="522"/>
      <c r="BJ30" s="522"/>
      <c r="BK30" s="522"/>
      <c r="BL30" s="522"/>
      <c r="BM30" s="522"/>
      <c r="BN30" s="522"/>
      <c r="BO30" s="522"/>
      <c r="BP30" s="522"/>
      <c r="BQ30" s="522"/>
      <c r="BR30" s="522"/>
      <c r="BS30" s="522"/>
      <c r="BT30" s="522"/>
      <c r="BU30" s="522"/>
      <c r="BV30" s="428"/>
      <c r="BW30" s="428"/>
      <c r="BX30" s="428"/>
      <c r="BY30" s="428"/>
      <c r="BZ30" s="428"/>
      <c r="CA30" s="428"/>
      <c r="CB30" s="428"/>
      <c r="CC30" s="428"/>
      <c r="CD30" s="428"/>
      <c r="CE30" s="428"/>
      <c r="CF30" s="304">
        <v>0</v>
      </c>
    </row>
    <row customHeight="1" ht="15">
      <c r="A31" s="634" t="s">
        <v>132</v>
      </c>
      <c r="B31" s="635"/>
      <c r="C31" s="635" t="s">
        <v>22</v>
      </c>
      <c r="D31" s="2608" t="s">
        <v>687</v>
      </c>
      <c r="E31" s="2407" t="s">
        <v>116</v>
      </c>
      <c r="F31" s="2408"/>
      <c r="G31" s="2409"/>
      <c r="H31" s="2413" t="str">
        <f>IF(A31="","",INDEX(DIFFERENTIATION_UNMERGE_VD,MATCH(A31,DIFFERENTIATION_ID_DIFF,0)))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31" s="2413"/>
      <c r="J31" s="2413"/>
      <c r="K31" s="2413"/>
      <c r="L31" s="2413"/>
      <c r="M31" s="2413"/>
      <c r="N31" s="2413"/>
      <c r="O31" s="2413"/>
      <c r="P31" s="2413"/>
      <c r="Q31" s="2413"/>
      <c r="R31" s="2413"/>
      <c r="S31" s="730"/>
      <c r="T31" s="727"/>
      <c r="U31" s="636"/>
      <c r="V31" s="636"/>
      <c r="W31" s="637"/>
      <c r="X31" s="637"/>
      <c r="Y31" s="637"/>
      <c r="Z31" s="637"/>
      <c r="AA31" s="638"/>
      <c r="AB31" s="639"/>
      <c r="AC31" s="2405"/>
      <c r="AD31" s="640"/>
      <c r="AE31" s="641" t="s">
        <v>22</v>
      </c>
      <c r="AF31" s="641"/>
      <c r="AG31" s="642" t="s">
        <v>669</v>
      </c>
      <c r="AH31" s="643">
        <v>3</v>
      </c>
      <c r="AI31" s="636"/>
      <c r="AJ31" s="636"/>
      <c r="AK31" s="636"/>
      <c r="AL31" s="636"/>
      <c r="AM31" s="636"/>
      <c r="AN31" s="636"/>
      <c r="AO31" s="636"/>
      <c r="AP31" s="636"/>
      <c r="AQ31" s="636"/>
      <c r="AR31" s="636"/>
      <c r="AS31" s="636"/>
      <c r="AT31" s="636"/>
      <c r="AU31" s="636"/>
      <c r="AV31" s="636"/>
      <c r="AW31" s="636"/>
      <c r="AX31" s="636"/>
      <c r="AY31" s="636"/>
      <c r="AZ31" s="636"/>
      <c r="BA31" s="636"/>
      <c r="BB31" s="636"/>
      <c r="BC31" s="636"/>
      <c r="BD31" s="636"/>
      <c r="BE31" s="636"/>
      <c r="BF31" s="636"/>
      <c r="BG31" s="636"/>
      <c r="BH31" s="636"/>
      <c r="BI31" s="636"/>
      <c r="BJ31" s="636"/>
      <c r="BK31" s="636"/>
      <c r="BL31" s="636"/>
      <c r="BM31" s="636"/>
      <c r="BN31" s="636"/>
      <c r="BO31" s="636"/>
      <c r="BP31" s="636"/>
      <c r="BQ31" s="636"/>
      <c r="BR31" s="636"/>
      <c r="BS31" s="636"/>
      <c r="BT31" s="636"/>
      <c r="BU31" s="636"/>
      <c r="BV31" s="637"/>
      <c r="BW31" s="637"/>
      <c r="BX31" s="637"/>
      <c r="BY31" s="637"/>
      <c r="BZ31" s="637"/>
      <c r="CA31" s="637"/>
      <c r="CB31" s="637"/>
      <c r="CC31" s="637"/>
      <c r="CD31" s="637"/>
      <c r="CE31" s="637"/>
      <c r="CF31" s="1858"/>
    </row>
    <row customHeight="1" ht="15">
      <c r="A32" s="634"/>
      <c r="B32" s="635"/>
      <c r="C32" s="635"/>
      <c r="D32" s="2609"/>
      <c r="E32" s="2407" t="s">
        <v>576</v>
      </c>
      <c r="F32" s="2408"/>
      <c r="G32" s="2409"/>
      <c r="H32" s="2413" t="str">
        <f>IF(A31="","",INDEX(DIFFERENTIATION_UNMERGE_AREA,MATCH(A31,DIFFERENTIATION_ID_DIFF,0)))</f>
        <v>Территория 1</v>
      </c>
      <c r="I32" s="2413"/>
      <c r="J32" s="2413"/>
      <c r="K32" s="2413"/>
      <c r="L32" s="2413"/>
      <c r="M32" s="2413"/>
      <c r="N32" s="2413"/>
      <c r="O32" s="2413"/>
      <c r="P32" s="2413"/>
      <c r="Q32" s="2413"/>
      <c r="R32" s="2413"/>
      <c r="S32" s="730"/>
      <c r="T32" s="727"/>
      <c r="U32" s="636"/>
      <c r="V32" s="636"/>
      <c r="W32" s="637"/>
      <c r="X32" s="637"/>
      <c r="Y32" s="637"/>
      <c r="Z32" s="637"/>
      <c r="AA32" s="638"/>
      <c r="AB32" s="639"/>
      <c r="AC32" s="2405"/>
      <c r="AD32" s="640"/>
      <c r="AE32" s="641"/>
      <c r="AF32" s="641"/>
      <c r="AG32" s="642"/>
      <c r="AH32" s="643"/>
      <c r="AI32" s="636"/>
      <c r="AJ32" s="636"/>
      <c r="AK32" s="636"/>
      <c r="AL32" s="636"/>
      <c r="AM32" s="636"/>
      <c r="AN32" s="636"/>
      <c r="AO32" s="636"/>
      <c r="AP32" s="636"/>
      <c r="AQ32" s="636"/>
      <c r="AR32" s="636"/>
      <c r="AS32" s="636"/>
      <c r="AT32" s="636"/>
      <c r="AU32" s="636"/>
      <c r="AV32" s="636"/>
      <c r="AW32" s="636"/>
      <c r="AX32" s="636"/>
      <c r="AY32" s="636"/>
      <c r="AZ32" s="636"/>
      <c r="BA32" s="636"/>
      <c r="BB32" s="636"/>
      <c r="BC32" s="636"/>
      <c r="BD32" s="636"/>
      <c r="BE32" s="636"/>
      <c r="BF32" s="636"/>
      <c r="BG32" s="636"/>
      <c r="BH32" s="636"/>
      <c r="BI32" s="636"/>
      <c r="BJ32" s="636"/>
      <c r="BK32" s="636"/>
      <c r="BL32" s="636"/>
      <c r="BM32" s="636"/>
      <c r="BN32" s="636"/>
      <c r="BO32" s="636"/>
      <c r="BP32" s="636"/>
      <c r="BQ32" s="636"/>
      <c r="BR32" s="636"/>
      <c r="BS32" s="636"/>
      <c r="BT32" s="636"/>
      <c r="BU32" s="636"/>
      <c r="BV32" s="637"/>
      <c r="BW32" s="637"/>
      <c r="BX32" s="637"/>
      <c r="BY32" s="637"/>
      <c r="BZ32" s="637"/>
      <c r="CA32" s="637"/>
      <c r="CB32" s="637"/>
      <c r="CC32" s="637"/>
      <c r="CD32" s="637"/>
      <c r="CE32" s="637"/>
      <c r="CF32" s="1858"/>
    </row>
    <row customHeight="1" ht="15">
      <c r="A33" s="634"/>
      <c r="B33" s="635"/>
      <c r="C33" s="635"/>
      <c r="D33" s="2609"/>
      <c r="E33" s="2407" t="s">
        <v>577</v>
      </c>
      <c r="F33" s="2408"/>
      <c r="G33" s="2409"/>
      <c r="H33" s="2413" t="str">
        <f>IF(A31="","",INDEX(DIFFERENTIATION_UNMERGE_SYSTEM,MATCH(A31,DIFFERENTIATION_ID_DIFF,0)))</f>
        <v>ОП "Энергетические сети"</v>
      </c>
      <c r="I33" s="2413"/>
      <c r="J33" s="2413"/>
      <c r="K33" s="2413"/>
      <c r="L33" s="2413"/>
      <c r="M33" s="2413"/>
      <c r="N33" s="2413"/>
      <c r="O33" s="2413"/>
      <c r="P33" s="2413"/>
      <c r="Q33" s="2413"/>
      <c r="R33" s="2413"/>
      <c r="S33" s="730"/>
      <c r="T33" s="727"/>
      <c r="U33" s="636"/>
      <c r="V33" s="636"/>
      <c r="W33" s="637"/>
      <c r="X33" s="637"/>
      <c r="Y33" s="637"/>
      <c r="Z33" s="637"/>
      <c r="AA33" s="638"/>
      <c r="AB33" s="639"/>
      <c r="AC33" s="2405"/>
      <c r="AD33" s="640"/>
      <c r="AE33" s="641"/>
      <c r="AF33" s="641"/>
      <c r="AG33" s="642"/>
      <c r="AH33" s="643"/>
      <c r="AI33" s="636"/>
      <c r="AJ33" s="636"/>
      <c r="AK33" s="636"/>
      <c r="AL33" s="636"/>
      <c r="AM33" s="636"/>
      <c r="AN33" s="636"/>
      <c r="AO33" s="636"/>
      <c r="AP33" s="636"/>
      <c r="AQ33" s="636"/>
      <c r="AR33" s="636"/>
      <c r="AS33" s="636"/>
      <c r="AT33" s="636"/>
      <c r="AU33" s="636"/>
      <c r="AV33" s="636"/>
      <c r="AW33" s="636"/>
      <c r="AX33" s="636"/>
      <c r="AY33" s="636"/>
      <c r="AZ33" s="636"/>
      <c r="BA33" s="636"/>
      <c r="BB33" s="636"/>
      <c r="BC33" s="636"/>
      <c r="BD33" s="636"/>
      <c r="BE33" s="636"/>
      <c r="BF33" s="636"/>
      <c r="BG33" s="636"/>
      <c r="BH33" s="636"/>
      <c r="BI33" s="636"/>
      <c r="BJ33" s="636"/>
      <c r="BK33" s="636"/>
      <c r="BL33" s="636"/>
      <c r="BM33" s="636"/>
      <c r="BN33" s="636"/>
      <c r="BO33" s="636"/>
      <c r="BP33" s="636"/>
      <c r="BQ33" s="636"/>
      <c r="BR33" s="636"/>
      <c r="BS33" s="636"/>
      <c r="BT33" s="636"/>
      <c r="BU33" s="636"/>
      <c r="BV33" s="637"/>
      <c r="BW33" s="637"/>
      <c r="BX33" s="637"/>
      <c r="BY33" s="637"/>
      <c r="BZ33" s="637"/>
      <c r="CA33" s="637"/>
      <c r="CB33" s="637"/>
      <c r="CC33" s="637"/>
      <c r="CD33" s="637"/>
      <c r="CE33" s="637"/>
      <c r="CF33" s="1858"/>
    </row>
    <row customHeight="1" ht="24.75">
      <c r="A34" s="1816"/>
      <c r="B34" s="1171"/>
      <c r="C34" s="423"/>
      <c r="D34" s="2609"/>
      <c r="E34" s="2406" t="s">
        <v>670</v>
      </c>
      <c r="F34" s="2406"/>
      <c r="G34" s="2406"/>
      <c r="H34" s="2406"/>
      <c r="I34" s="2406"/>
      <c r="J34" s="2406"/>
      <c r="K34" s="2406"/>
      <c r="L34" s="2406"/>
      <c r="M34" s="2406"/>
      <c r="N34" s="2406"/>
      <c r="O34" s="2406"/>
      <c r="P34" s="2406"/>
      <c r="Q34" s="569">
        <f>SUMIF(T35:T36,"i",Q35:Q36)</f>
        <v>0</v>
      </c>
      <c r="R34" s="1028"/>
      <c r="S34" s="1808" t="s">
        <v>671</v>
      </c>
      <c r="T34" s="728" t="s">
        <v>672</v>
      </c>
      <c r="U34" s="2404">
        <v>1</v>
      </c>
      <c r="V34" s="2404" t="str">
        <f>INDEX(B_FHD_FLAG_INDEX_1,1,MATCH(A31,B_FHD_FLAG_DIFFERENTIATION,0))</f>
        <v>есть</v>
      </c>
      <c r="W34" s="1171"/>
      <c r="X34" s="1171"/>
      <c r="Y34" s="1171"/>
      <c r="Z34" s="1171"/>
      <c r="AA34" s="1647"/>
      <c r="AB34" s="1171"/>
      <c r="AC34" s="2405"/>
      <c r="AD34" s="640"/>
      <c r="AE34" s="1171"/>
      <c r="AF34" s="1171"/>
      <c r="AG34" s="1647"/>
      <c r="AH34" s="1647"/>
      <c r="AI34" s="1647"/>
      <c r="AJ34" s="1647"/>
      <c r="AK34" s="1647"/>
      <c r="AL34" s="1647"/>
      <c r="AM34" s="1647"/>
      <c r="AN34" s="1647"/>
      <c r="AO34" s="1647"/>
      <c r="AP34" s="1647"/>
      <c r="AQ34" s="1647"/>
      <c r="AR34" s="1647"/>
      <c r="AS34" s="1647"/>
      <c r="AT34" s="1647"/>
      <c r="AU34" s="1647"/>
      <c r="AV34" s="1647"/>
      <c r="AW34" s="1647"/>
      <c r="AX34" s="1647"/>
      <c r="AY34" s="1647"/>
      <c r="AZ34" s="1647"/>
      <c r="BA34" s="1647"/>
      <c r="BB34" s="1647"/>
      <c r="BC34" s="1647"/>
      <c r="BD34" s="1647"/>
      <c r="BE34" s="1647"/>
      <c r="BF34" s="1647"/>
      <c r="BG34" s="1647"/>
      <c r="BH34" s="1647"/>
      <c r="BI34" s="1647"/>
      <c r="BJ34" s="1647"/>
      <c r="BK34" s="1647"/>
      <c r="BL34" s="1647"/>
      <c r="BM34" s="1647"/>
      <c r="BN34" s="1647"/>
      <c r="BO34" s="1647"/>
      <c r="BP34" s="1647"/>
      <c r="BQ34" s="1647"/>
      <c r="BR34" s="1647"/>
      <c r="BS34" s="1647"/>
      <c r="BT34" s="1647"/>
      <c r="BU34" s="1647"/>
      <c r="BV34" s="1171"/>
      <c r="BW34" s="1171"/>
      <c r="BX34" s="1171"/>
      <c r="BY34" s="1171"/>
      <c r="BZ34" s="1171"/>
      <c r="CA34" s="1171"/>
      <c r="CB34" s="1171"/>
      <c r="CC34" s="1171"/>
      <c r="CD34" s="1171"/>
      <c r="CE34" s="1171"/>
      <c r="CF34" s="1858"/>
    </row>
    <row customHeight="1" ht="11.25" hidden="1">
      <c r="A35" s="1803"/>
      <c r="B35" s="1647"/>
      <c r="C35" s="1647"/>
      <c r="D35" s="2609"/>
      <c r="E35" s="646"/>
      <c r="F35" s="646">
        <v>0</v>
      </c>
      <c r="G35" s="646"/>
      <c r="H35" s="646"/>
      <c r="I35" s="646"/>
      <c r="J35" s="646"/>
      <c r="K35" s="646"/>
      <c r="L35" s="646"/>
      <c r="M35" s="646"/>
      <c r="N35" s="646"/>
      <c r="O35" s="646"/>
      <c r="P35" s="646"/>
      <c r="Q35" s="646"/>
      <c r="R35" s="646"/>
      <c r="S35" s="647"/>
      <c r="T35" s="729"/>
      <c r="U35" s="2404"/>
      <c r="V35" s="2404"/>
      <c r="W35" s="1647"/>
      <c r="X35" s="1647"/>
      <c r="Y35" s="1647"/>
      <c r="Z35" s="1647"/>
      <c r="AA35" s="1647"/>
      <c r="AB35" s="1171"/>
      <c r="AC35" s="2405"/>
      <c r="AD35" s="640"/>
      <c r="AE35" s="1171"/>
      <c r="AF35" s="1171"/>
      <c r="AG35" s="1647"/>
      <c r="AH35" s="1647"/>
      <c r="AI35" s="1647"/>
      <c r="AJ35" s="1647"/>
      <c r="AK35" s="1647"/>
      <c r="AL35" s="1647"/>
      <c r="AM35" s="1647"/>
      <c r="AN35" s="1647"/>
      <c r="AO35" s="1647"/>
      <c r="AP35" s="1647"/>
      <c r="AQ35" s="1647"/>
      <c r="AR35" s="1647"/>
      <c r="AS35" s="1647"/>
      <c r="AT35" s="1647"/>
      <c r="AU35" s="1647"/>
      <c r="AV35" s="1647"/>
      <c r="AW35" s="1647"/>
      <c r="AX35" s="1647"/>
      <c r="AY35" s="1647"/>
      <c r="AZ35" s="1647"/>
      <c r="BA35" s="1647"/>
      <c r="BB35" s="1647"/>
      <c r="BC35" s="1647"/>
      <c r="BD35" s="1647"/>
      <c r="BE35" s="1647"/>
      <c r="BF35" s="1647"/>
      <c r="BG35" s="1647"/>
      <c r="BH35" s="1647"/>
      <c r="BI35" s="1647"/>
      <c r="BJ35" s="1647"/>
      <c r="BK35" s="1647"/>
      <c r="BL35" s="1647"/>
      <c r="BM35" s="1647"/>
      <c r="BN35" s="1647"/>
      <c r="BO35" s="1647"/>
      <c r="BP35" s="1647"/>
      <c r="BQ35" s="1647"/>
      <c r="BR35" s="1647"/>
      <c r="BS35" s="1647"/>
      <c r="BT35" s="1647"/>
      <c r="BU35" s="1647"/>
      <c r="BV35" s="1647"/>
      <c r="BW35" s="1647"/>
      <c r="BX35" s="1647"/>
      <c r="BY35" s="1647"/>
      <c r="BZ35" s="1647"/>
      <c r="CA35" s="1647"/>
      <c r="CB35" s="1647"/>
      <c r="CC35" s="1647"/>
      <c r="CD35" s="1647"/>
      <c r="CE35" s="1647"/>
      <c r="CF35" s="1858"/>
    </row>
    <row customHeight="1" ht="11.25">
      <c r="A36" s="1816"/>
      <c r="B36" s="1171"/>
      <c r="C36" s="423"/>
      <c r="D36" s="2609"/>
      <c r="E36" s="660" t="s">
        <v>22</v>
      </c>
      <c r="F36" s="1179" t="s">
        <v>22</v>
      </c>
      <c r="G36" s="1179" t="s">
        <v>684</v>
      </c>
      <c r="H36" s="662" t="s">
        <v>22</v>
      </c>
      <c r="I36" s="662"/>
      <c r="J36" s="662"/>
      <c r="K36" s="662"/>
      <c r="L36" s="662"/>
      <c r="M36" s="662"/>
      <c r="N36" s="662"/>
      <c r="O36" s="662"/>
      <c r="P36" s="662"/>
      <c r="Q36" s="662"/>
      <c r="R36" s="663"/>
      <c r="S36" s="664"/>
      <c r="T36" s="729"/>
      <c r="U36" s="2404"/>
      <c r="V36" s="2404"/>
      <c r="W36" s="1171"/>
      <c r="X36" s="1171"/>
      <c r="Y36" s="1171"/>
      <c r="Z36" s="1171"/>
      <c r="AA36" s="1647"/>
      <c r="AB36" s="1171"/>
      <c r="AC36" s="2405"/>
      <c r="AD36" s="640"/>
      <c r="AE36" s="1171"/>
      <c r="AF36" s="1171"/>
      <c r="AG36" s="1647"/>
      <c r="AH36" s="1647"/>
      <c r="AI36" s="1647"/>
      <c r="AJ36" s="1647"/>
      <c r="AK36" s="1647"/>
      <c r="AL36" s="1647"/>
      <c r="AM36" s="1647"/>
      <c r="AN36" s="1647"/>
      <c r="AO36" s="1647"/>
      <c r="AP36" s="1647"/>
      <c r="AQ36" s="1647"/>
      <c r="AR36" s="1647"/>
      <c r="AS36" s="1647"/>
      <c r="AT36" s="1647"/>
      <c r="AU36" s="1647"/>
      <c r="AV36" s="1647"/>
      <c r="AW36" s="1647"/>
      <c r="AX36" s="1647"/>
      <c r="AY36" s="1647"/>
      <c r="AZ36" s="1647"/>
      <c r="BA36" s="1647"/>
      <c r="BB36" s="1647"/>
      <c r="BC36" s="1647"/>
      <c r="BD36" s="1647"/>
      <c r="BE36" s="1647"/>
      <c r="BF36" s="1647"/>
      <c r="BG36" s="1647"/>
      <c r="BH36" s="1647"/>
      <c r="BI36" s="1647"/>
      <c r="BJ36" s="1647"/>
      <c r="BK36" s="1647"/>
      <c r="BL36" s="1647"/>
      <c r="BM36" s="1647"/>
      <c r="BN36" s="1647"/>
      <c r="BO36" s="1647"/>
      <c r="BP36" s="1647"/>
      <c r="BQ36" s="1647"/>
      <c r="BR36" s="1647"/>
      <c r="BS36" s="1647"/>
      <c r="BT36" s="1647"/>
      <c r="BU36" s="1647"/>
      <c r="BV36" s="1171"/>
      <c r="BW36" s="1171"/>
      <c r="BX36" s="1171"/>
      <c r="BY36" s="1171"/>
      <c r="BZ36" s="1171"/>
      <c r="CA36" s="1171"/>
      <c r="CB36" s="1171"/>
      <c r="CC36" s="1171"/>
      <c r="CD36" s="1171"/>
      <c r="CE36" s="1171"/>
      <c r="CF36" s="1858"/>
    </row>
    <row customHeight="1" ht="5.25" hidden="1">
      <c r="A37" s="1803"/>
      <c r="B37" s="1647"/>
      <c r="C37" s="1647"/>
      <c r="D37" s="2609"/>
      <c r="E37" s="1050"/>
      <c r="F37" s="1050"/>
      <c r="G37" s="1050"/>
      <c r="H37" s="1050"/>
      <c r="I37" s="1050"/>
      <c r="J37" s="1050"/>
      <c r="K37" s="1050"/>
      <c r="L37" s="1050"/>
      <c r="M37" s="1050"/>
      <c r="N37" s="1050"/>
      <c r="O37" s="1050"/>
      <c r="P37" s="1050"/>
      <c r="Q37" s="1051"/>
      <c r="R37" s="1052"/>
      <c r="S37" s="1053"/>
      <c r="T37" s="728" t="s">
        <v>672</v>
      </c>
      <c r="U37" s="2404">
        <v>1</v>
      </c>
      <c r="V37" s="2404" t="s">
        <v>599</v>
      </c>
      <c r="W37" s="1647"/>
      <c r="X37" s="1647"/>
      <c r="Y37" s="1647"/>
      <c r="Z37" s="1647"/>
      <c r="AA37" s="1647"/>
      <c r="AB37" s="1647"/>
      <c r="AC37" s="1048"/>
      <c r="AD37" s="1049"/>
      <c r="AE37" s="1647"/>
      <c r="AF37" s="1647"/>
      <c r="AG37" s="1647"/>
      <c r="AH37" s="1647"/>
      <c r="AI37" s="1647"/>
      <c r="AJ37" s="1647"/>
      <c r="AK37" s="1647"/>
      <c r="AL37" s="1647"/>
      <c r="AM37" s="1647"/>
      <c r="AN37" s="1647"/>
      <c r="AO37" s="1647"/>
      <c r="AP37" s="1647"/>
      <c r="AQ37" s="1647"/>
      <c r="AR37" s="1647"/>
      <c r="AS37" s="1647"/>
      <c r="AT37" s="1647"/>
      <c r="AU37" s="1647"/>
      <c r="AV37" s="1647"/>
      <c r="AW37" s="1647"/>
      <c r="AX37" s="1647"/>
      <c r="AY37" s="1647"/>
      <c r="AZ37" s="1647"/>
      <c r="BA37" s="1647"/>
      <c r="BB37" s="1647"/>
      <c r="BC37" s="1647"/>
      <c r="BD37" s="1647"/>
      <c r="BE37" s="1647"/>
      <c r="BF37" s="1647"/>
      <c r="BG37" s="1647"/>
      <c r="BH37" s="1647"/>
      <c r="BI37" s="1647"/>
      <c r="BJ37" s="1647"/>
      <c r="BK37" s="1647"/>
      <c r="BL37" s="1647"/>
      <c r="BM37" s="1647"/>
      <c r="BN37" s="1647"/>
      <c r="BO37" s="1647"/>
      <c r="BP37" s="1647"/>
      <c r="BQ37" s="1647"/>
      <c r="BR37" s="1647"/>
      <c r="BS37" s="1647"/>
      <c r="BT37" s="1647"/>
      <c r="BU37" s="1647"/>
      <c r="BV37" s="1647"/>
      <c r="BW37" s="1647"/>
      <c r="BX37" s="1647"/>
      <c r="BY37" s="1647"/>
      <c r="BZ37" s="1647"/>
      <c r="CA37" s="1647"/>
      <c r="CB37" s="1647"/>
      <c r="CC37" s="1647"/>
      <c r="CD37" s="1647"/>
      <c r="CE37" s="1647"/>
      <c r="CF37" s="1327"/>
    </row>
    <row customHeight="1" ht="5.25" hidden="1">
      <c r="A38" s="1803"/>
      <c r="B38" s="1647"/>
      <c r="C38" s="1647"/>
      <c r="D38" s="2609"/>
      <c r="E38" s="646"/>
      <c r="F38" s="646"/>
      <c r="G38" s="646"/>
      <c r="H38" s="646"/>
      <c r="I38" s="646"/>
      <c r="J38" s="646"/>
      <c r="K38" s="646"/>
      <c r="L38" s="646"/>
      <c r="M38" s="646"/>
      <c r="N38" s="646"/>
      <c r="O38" s="646"/>
      <c r="P38" s="646"/>
      <c r="Q38" s="646"/>
      <c r="R38" s="646"/>
      <c r="S38" s="647"/>
      <c r="T38" s="729"/>
      <c r="U38" s="2404"/>
      <c r="V38" s="2404"/>
      <c r="W38" s="1647"/>
      <c r="X38" s="1647"/>
      <c r="Y38" s="1647"/>
      <c r="Z38" s="1647"/>
      <c r="AA38" s="1647"/>
      <c r="AB38" s="1647"/>
      <c r="AC38" s="1048"/>
      <c r="AD38" s="1049"/>
      <c r="AE38" s="1647"/>
      <c r="AF38" s="1647"/>
      <c r="AG38" s="1647"/>
      <c r="AH38" s="1647"/>
      <c r="AI38" s="1647"/>
      <c r="AJ38" s="1647"/>
      <c r="AK38" s="1647"/>
      <c r="AL38" s="1647"/>
      <c r="AM38" s="1647"/>
      <c r="AN38" s="1647"/>
      <c r="AO38" s="1647"/>
      <c r="AP38" s="1647"/>
      <c r="AQ38" s="1647"/>
      <c r="AR38" s="1647"/>
      <c r="AS38" s="1647"/>
      <c r="AT38" s="1647"/>
      <c r="AU38" s="1647"/>
      <c r="AV38" s="1647"/>
      <c r="AW38" s="1647"/>
      <c r="AX38" s="1647"/>
      <c r="AY38" s="1647"/>
      <c r="AZ38" s="1647"/>
      <c r="BA38" s="1647"/>
      <c r="BB38" s="1647"/>
      <c r="BC38" s="1647"/>
      <c r="BD38" s="1647"/>
      <c r="BE38" s="1647"/>
      <c r="BF38" s="1647"/>
      <c r="BG38" s="1647"/>
      <c r="BH38" s="1647"/>
      <c r="BI38" s="1647"/>
      <c r="BJ38" s="1647"/>
      <c r="BK38" s="1647"/>
      <c r="BL38" s="1647"/>
      <c r="BM38" s="1647"/>
      <c r="BN38" s="1647"/>
      <c r="BO38" s="1647"/>
      <c r="BP38" s="1647"/>
      <c r="BQ38" s="1647"/>
      <c r="BR38" s="1647"/>
      <c r="BS38" s="1647"/>
      <c r="BT38" s="1647"/>
      <c r="BU38" s="1647"/>
      <c r="BV38" s="1647"/>
      <c r="BW38" s="1647"/>
      <c r="BX38" s="1647"/>
      <c r="BY38" s="1647"/>
      <c r="BZ38" s="1647"/>
      <c r="CA38" s="1647"/>
      <c r="CB38" s="1647"/>
      <c r="CC38" s="1647"/>
      <c r="CD38" s="1647"/>
      <c r="CE38" s="1647"/>
      <c r="CF38" s="1327"/>
    </row>
    <row customHeight="1" ht="5.25" hidden="1">
      <c r="A39" s="1803"/>
      <c r="B39" s="1647"/>
      <c r="C39" s="1647"/>
      <c r="D39" s="2610"/>
      <c r="E39" s="1054"/>
      <c r="F39" s="1055"/>
      <c r="G39" s="1055" t="s">
        <v>22</v>
      </c>
      <c r="H39" s="1056"/>
      <c r="I39" s="1056"/>
      <c r="J39" s="1056"/>
      <c r="K39" s="1056"/>
      <c r="L39" s="1056"/>
      <c r="M39" s="1056"/>
      <c r="N39" s="1056"/>
      <c r="O39" s="1056"/>
      <c r="P39" s="1056"/>
      <c r="Q39" s="1056"/>
      <c r="R39" s="957"/>
      <c r="S39" s="1057"/>
      <c r="T39" s="729"/>
      <c r="U39" s="2404"/>
      <c r="V39" s="2404"/>
      <c r="W39" s="1647"/>
      <c r="X39" s="1647"/>
      <c r="Y39" s="1647"/>
      <c r="Z39" s="1647"/>
      <c r="AA39" s="1647"/>
      <c r="AB39" s="1647"/>
      <c r="AC39" s="1048"/>
      <c r="AD39" s="1049"/>
      <c r="AE39" s="1647"/>
      <c r="AF39" s="1647"/>
      <c r="AG39" s="1647"/>
      <c r="AH39" s="1647"/>
      <c r="AI39" s="1647"/>
      <c r="AJ39" s="1647"/>
      <c r="AK39" s="1647"/>
      <c r="AL39" s="1647"/>
      <c r="AM39" s="1647"/>
      <c r="AN39" s="1647"/>
      <c r="AO39" s="1647"/>
      <c r="AP39" s="1647"/>
      <c r="AQ39" s="1647"/>
      <c r="AR39" s="1647"/>
      <c r="AS39" s="1647"/>
      <c r="AT39" s="1647"/>
      <c r="AU39" s="1647"/>
      <c r="AV39" s="1647"/>
      <c r="AW39" s="1647"/>
      <c r="AX39" s="1647"/>
      <c r="AY39" s="1647"/>
      <c r="AZ39" s="1647"/>
      <c r="BA39" s="1647"/>
      <c r="BB39" s="1647"/>
      <c r="BC39" s="1647"/>
      <c r="BD39" s="1647"/>
      <c r="BE39" s="1647"/>
      <c r="BF39" s="1647"/>
      <c r="BG39" s="1647"/>
      <c r="BH39" s="1647"/>
      <c r="BI39" s="1647"/>
      <c r="BJ39" s="1647"/>
      <c r="BK39" s="1647"/>
      <c r="BL39" s="1647"/>
      <c r="BM39" s="1647"/>
      <c r="BN39" s="1647"/>
      <c r="BO39" s="1647"/>
      <c r="BP39" s="1647"/>
      <c r="BQ39" s="1647"/>
      <c r="BR39" s="1647"/>
      <c r="BS39" s="1647"/>
      <c r="BT39" s="1647"/>
      <c r="BU39" s="1647"/>
      <c r="BV39" s="1647"/>
      <c r="BW39" s="1647"/>
      <c r="BX39" s="1647"/>
      <c r="BY39" s="1647"/>
      <c r="BZ39" s="1647"/>
      <c r="CA39" s="1647"/>
      <c r="CB39" s="1647"/>
      <c r="CC39" s="1647"/>
      <c r="CD39" s="1647"/>
      <c r="CE39" s="1647"/>
      <c r="CF39" s="1327"/>
    </row>
    <row customHeight="1" ht="15">
      <c r="A40" s="634" t="s">
        <v>134</v>
      </c>
      <c r="B40" s="635"/>
      <c r="C40" s="635" t="s">
        <v>22</v>
      </c>
      <c r="D40" s="2608" t="s">
        <v>688</v>
      </c>
      <c r="E40" s="2407" t="s">
        <v>116</v>
      </c>
      <c r="F40" s="2408"/>
      <c r="G40" s="2409"/>
      <c r="H40" s="2413" t="str">
        <f>IF(A40="","",INDEX(DIFFERENTIATION_UNMERGE_VD,MATCH(A40,DIFFERENTIATION_ID_DIFF,0)))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40" s="2413"/>
      <c r="J40" s="2413"/>
      <c r="K40" s="2413"/>
      <c r="L40" s="2413"/>
      <c r="M40" s="2413"/>
      <c r="N40" s="2413"/>
      <c r="O40" s="2413"/>
      <c r="P40" s="2413"/>
      <c r="Q40" s="2413"/>
      <c r="R40" s="2413"/>
      <c r="S40" s="730"/>
      <c r="T40" s="727"/>
      <c r="U40" s="636"/>
      <c r="V40" s="636"/>
      <c r="W40" s="637"/>
      <c r="X40" s="637"/>
      <c r="Y40" s="637"/>
      <c r="Z40" s="637"/>
      <c r="AA40" s="638"/>
      <c r="AB40" s="639"/>
      <c r="AC40" s="2405"/>
      <c r="AD40" s="640"/>
      <c r="AE40" s="641" t="s">
        <v>22</v>
      </c>
      <c r="AF40" s="641"/>
      <c r="AG40" s="642" t="s">
        <v>669</v>
      </c>
      <c r="AH40" s="643">
        <v>3</v>
      </c>
      <c r="AI40" s="636"/>
      <c r="AJ40" s="636"/>
      <c r="AK40" s="636"/>
      <c r="AL40" s="636"/>
      <c r="AM40" s="636"/>
      <c r="AN40" s="636"/>
      <c r="AO40" s="636"/>
      <c r="AP40" s="636"/>
      <c r="AQ40" s="636"/>
      <c r="AR40" s="636"/>
      <c r="AS40" s="636"/>
      <c r="AT40" s="636"/>
      <c r="AU40" s="636"/>
      <c r="AV40" s="636"/>
      <c r="AW40" s="636"/>
      <c r="AX40" s="636"/>
      <c r="AY40" s="636"/>
      <c r="AZ40" s="636"/>
      <c r="BA40" s="636"/>
      <c r="BB40" s="636"/>
      <c r="BC40" s="636"/>
      <c r="BD40" s="636"/>
      <c r="BE40" s="636"/>
      <c r="BF40" s="636"/>
      <c r="BG40" s="636"/>
      <c r="BH40" s="636"/>
      <c r="BI40" s="636"/>
      <c r="BJ40" s="636"/>
      <c r="BK40" s="636"/>
      <c r="BL40" s="636"/>
      <c r="BM40" s="636"/>
      <c r="BN40" s="636"/>
      <c r="BO40" s="636"/>
      <c r="BP40" s="636"/>
      <c r="BQ40" s="636"/>
      <c r="BR40" s="636"/>
      <c r="BS40" s="636"/>
      <c r="BT40" s="636"/>
      <c r="BU40" s="636"/>
      <c r="BV40" s="637"/>
      <c r="BW40" s="637"/>
      <c r="BX40" s="637"/>
      <c r="BY40" s="637"/>
      <c r="BZ40" s="637"/>
      <c r="CA40" s="637"/>
      <c r="CB40" s="637"/>
      <c r="CC40" s="637"/>
      <c r="CD40" s="637"/>
      <c r="CE40" s="637"/>
      <c r="CF40" s="1858"/>
    </row>
    <row customHeight="1" ht="15">
      <c r="A41" s="634"/>
      <c r="B41" s="635"/>
      <c r="C41" s="635"/>
      <c r="D41" s="2609"/>
      <c r="E41" s="2407" t="s">
        <v>576</v>
      </c>
      <c r="F41" s="2408"/>
      <c r="G41" s="2409"/>
      <c r="H41" s="2413" t="str">
        <f>IF(A40="","",INDEX(DIFFERENTIATION_UNMERGE_AREA,MATCH(A40,DIFFERENTIATION_ID_DIFF,0)))</f>
        <v>Территория 2</v>
      </c>
      <c r="I41" s="2413"/>
      <c r="J41" s="2413"/>
      <c r="K41" s="2413"/>
      <c r="L41" s="2413"/>
      <c r="M41" s="2413"/>
      <c r="N41" s="2413"/>
      <c r="O41" s="2413"/>
      <c r="P41" s="2413"/>
      <c r="Q41" s="2413"/>
      <c r="R41" s="2413"/>
      <c r="S41" s="730"/>
      <c r="T41" s="727"/>
      <c r="U41" s="636"/>
      <c r="V41" s="636"/>
      <c r="W41" s="637"/>
      <c r="X41" s="637"/>
      <c r="Y41" s="637"/>
      <c r="Z41" s="637"/>
      <c r="AA41" s="638"/>
      <c r="AB41" s="639"/>
      <c r="AC41" s="2405"/>
      <c r="AD41" s="640"/>
      <c r="AE41" s="641"/>
      <c r="AF41" s="641"/>
      <c r="AG41" s="642"/>
      <c r="AH41" s="643"/>
      <c r="AI41" s="636"/>
      <c r="AJ41" s="636"/>
      <c r="AK41" s="636"/>
      <c r="AL41" s="636"/>
      <c r="AM41" s="636"/>
      <c r="AN41" s="636"/>
      <c r="AO41" s="636"/>
      <c r="AP41" s="636"/>
      <c r="AQ41" s="636"/>
      <c r="AR41" s="636"/>
      <c r="AS41" s="636"/>
      <c r="AT41" s="636"/>
      <c r="AU41" s="636"/>
      <c r="AV41" s="636"/>
      <c r="AW41" s="636"/>
      <c r="AX41" s="636"/>
      <c r="AY41" s="636"/>
      <c r="AZ41" s="636"/>
      <c r="BA41" s="636"/>
      <c r="BB41" s="636"/>
      <c r="BC41" s="636"/>
      <c r="BD41" s="636"/>
      <c r="BE41" s="636"/>
      <c r="BF41" s="636"/>
      <c r="BG41" s="636"/>
      <c r="BH41" s="636"/>
      <c r="BI41" s="636"/>
      <c r="BJ41" s="636"/>
      <c r="BK41" s="636"/>
      <c r="BL41" s="636"/>
      <c r="BM41" s="636"/>
      <c r="BN41" s="636"/>
      <c r="BO41" s="636"/>
      <c r="BP41" s="636"/>
      <c r="BQ41" s="636"/>
      <c r="BR41" s="636"/>
      <c r="BS41" s="636"/>
      <c r="BT41" s="636"/>
      <c r="BU41" s="636"/>
      <c r="BV41" s="637"/>
      <c r="BW41" s="637"/>
      <c r="BX41" s="637"/>
      <c r="BY41" s="637"/>
      <c r="BZ41" s="637"/>
      <c r="CA41" s="637"/>
      <c r="CB41" s="637"/>
      <c r="CC41" s="637"/>
      <c r="CD41" s="637"/>
      <c r="CE41" s="637"/>
      <c r="CF41" s="1858"/>
    </row>
    <row customHeight="1" ht="15">
      <c r="A42" s="634"/>
      <c r="B42" s="635"/>
      <c r="C42" s="635"/>
      <c r="D42" s="2609"/>
      <c r="E42" s="2407" t="s">
        <v>577</v>
      </c>
      <c r="F42" s="2408"/>
      <c r="G42" s="2409"/>
      <c r="H42" s="2413" t="str">
        <f>IF(A40="","",INDEX(DIFFERENTIATION_UNMERGE_SYSTEM,MATCH(A40,DIFFERENTIATION_ID_DIFF,0)))</f>
        <v>без дифференциации</v>
      </c>
      <c r="I42" s="2413"/>
      <c r="J42" s="2413"/>
      <c r="K42" s="2413"/>
      <c r="L42" s="2413"/>
      <c r="M42" s="2413"/>
      <c r="N42" s="2413"/>
      <c r="O42" s="2413"/>
      <c r="P42" s="2413"/>
      <c r="Q42" s="2413"/>
      <c r="R42" s="2413"/>
      <c r="S42" s="730"/>
      <c r="T42" s="727"/>
      <c r="U42" s="636"/>
      <c r="V42" s="636"/>
      <c r="W42" s="637"/>
      <c r="X42" s="637"/>
      <c r="Y42" s="637"/>
      <c r="Z42" s="637"/>
      <c r="AA42" s="638"/>
      <c r="AB42" s="639"/>
      <c r="AC42" s="2405"/>
      <c r="AD42" s="640"/>
      <c r="AE42" s="641"/>
      <c r="AF42" s="641"/>
      <c r="AG42" s="642"/>
      <c r="AH42" s="643"/>
      <c r="AI42" s="636"/>
      <c r="AJ42" s="636"/>
      <c r="AK42" s="636"/>
      <c r="AL42" s="636"/>
      <c r="AM42" s="636"/>
      <c r="AN42" s="636"/>
      <c r="AO42" s="636"/>
      <c r="AP42" s="636"/>
      <c r="AQ42" s="636"/>
      <c r="AR42" s="636"/>
      <c r="AS42" s="636"/>
      <c r="AT42" s="636"/>
      <c r="AU42" s="636"/>
      <c r="AV42" s="636"/>
      <c r="AW42" s="636"/>
      <c r="AX42" s="636"/>
      <c r="AY42" s="636"/>
      <c r="AZ42" s="636"/>
      <c r="BA42" s="636"/>
      <c r="BB42" s="636"/>
      <c r="BC42" s="636"/>
      <c r="BD42" s="636"/>
      <c r="BE42" s="636"/>
      <c r="BF42" s="636"/>
      <c r="BG42" s="636"/>
      <c r="BH42" s="636"/>
      <c r="BI42" s="636"/>
      <c r="BJ42" s="636"/>
      <c r="BK42" s="636"/>
      <c r="BL42" s="636"/>
      <c r="BM42" s="636"/>
      <c r="BN42" s="636"/>
      <c r="BO42" s="636"/>
      <c r="BP42" s="636"/>
      <c r="BQ42" s="636"/>
      <c r="BR42" s="636"/>
      <c r="BS42" s="636"/>
      <c r="BT42" s="636"/>
      <c r="BU42" s="636"/>
      <c r="BV42" s="637"/>
      <c r="BW42" s="637"/>
      <c r="BX42" s="637"/>
      <c r="BY42" s="637"/>
      <c r="BZ42" s="637"/>
      <c r="CA42" s="637"/>
      <c r="CB42" s="637"/>
      <c r="CC42" s="637"/>
      <c r="CD42" s="637"/>
      <c r="CE42" s="637"/>
      <c r="CF42" s="1858"/>
    </row>
    <row customHeight="1" ht="24.75">
      <c r="A43" s="1816"/>
      <c r="B43" s="1171"/>
      <c r="C43" s="423"/>
      <c r="D43" s="2609"/>
      <c r="E43" s="2406" t="s">
        <v>670</v>
      </c>
      <c r="F43" s="2406"/>
      <c r="G43" s="2406"/>
      <c r="H43" s="2406"/>
      <c r="I43" s="2406"/>
      <c r="J43" s="2406"/>
      <c r="K43" s="2406"/>
      <c r="L43" s="2406"/>
      <c r="M43" s="2406"/>
      <c r="N43" s="2406"/>
      <c r="O43" s="2406"/>
      <c r="P43" s="2406"/>
      <c r="Q43" s="569">
        <f>SUMIF(T44:T45,"i",Q44:Q45)</f>
        <v>0</v>
      </c>
      <c r="R43" s="1028"/>
      <c r="S43" s="1808" t="s">
        <v>671</v>
      </c>
      <c r="T43" s="728" t="s">
        <v>672</v>
      </c>
      <c r="U43" s="2404">
        <v>1</v>
      </c>
      <c r="V43" s="2404" t="str">
        <f>INDEX(B_FHD_FLAG_INDEX_1,1,MATCH(A40,B_FHD_FLAG_DIFFERENTIATION,0))</f>
        <v>есть</v>
      </c>
      <c r="W43" s="1171"/>
      <c r="X43" s="1171"/>
      <c r="Y43" s="1171"/>
      <c r="Z43" s="1171"/>
      <c r="AA43" s="1647"/>
      <c r="AB43" s="1171"/>
      <c r="AC43" s="2405"/>
      <c r="AD43" s="640"/>
      <c r="AE43" s="1171"/>
      <c r="AF43" s="1171"/>
      <c r="AG43" s="1647"/>
      <c r="AH43" s="1647"/>
      <c r="AI43" s="1647"/>
      <c r="AJ43" s="1647"/>
      <c r="AK43" s="1647"/>
      <c r="AL43" s="1647"/>
      <c r="AM43" s="1647"/>
      <c r="AN43" s="1647"/>
      <c r="AO43" s="1647"/>
      <c r="AP43" s="1647"/>
      <c r="AQ43" s="1647"/>
      <c r="AR43" s="1647"/>
      <c r="AS43" s="1647"/>
      <c r="AT43" s="1647"/>
      <c r="AU43" s="1647"/>
      <c r="AV43" s="1647"/>
      <c r="AW43" s="1647"/>
      <c r="AX43" s="1647"/>
      <c r="AY43" s="1647"/>
      <c r="AZ43" s="1647"/>
      <c r="BA43" s="1647"/>
      <c r="BB43" s="1647"/>
      <c r="BC43" s="1647"/>
      <c r="BD43" s="1647"/>
      <c r="BE43" s="1647"/>
      <c r="BF43" s="1647"/>
      <c r="BG43" s="1647"/>
      <c r="BH43" s="1647"/>
      <c r="BI43" s="1647"/>
      <c r="BJ43" s="1647"/>
      <c r="BK43" s="1647"/>
      <c r="BL43" s="1647"/>
      <c r="BM43" s="1647"/>
      <c r="BN43" s="1647"/>
      <c r="BO43" s="1647"/>
      <c r="BP43" s="1647"/>
      <c r="BQ43" s="1647"/>
      <c r="BR43" s="1647"/>
      <c r="BS43" s="1647"/>
      <c r="BT43" s="1647"/>
      <c r="BU43" s="1647"/>
      <c r="BV43" s="1171"/>
      <c r="BW43" s="1171"/>
      <c r="BX43" s="1171"/>
      <c r="BY43" s="1171"/>
      <c r="BZ43" s="1171"/>
      <c r="CA43" s="1171"/>
      <c r="CB43" s="1171"/>
      <c r="CC43" s="1171"/>
      <c r="CD43" s="1171"/>
      <c r="CE43" s="1171"/>
      <c r="CF43" s="1858"/>
    </row>
    <row customHeight="1" ht="11.25" hidden="1">
      <c r="A44" s="1803"/>
      <c r="B44" s="1647"/>
      <c r="C44" s="1647"/>
      <c r="D44" s="2609"/>
      <c r="E44" s="646"/>
      <c r="F44" s="646">
        <v>0</v>
      </c>
      <c r="G44" s="646"/>
      <c r="H44" s="646"/>
      <c r="I44" s="646"/>
      <c r="J44" s="646"/>
      <c r="K44" s="646"/>
      <c r="L44" s="646"/>
      <c r="M44" s="646"/>
      <c r="N44" s="646"/>
      <c r="O44" s="646"/>
      <c r="P44" s="646"/>
      <c r="Q44" s="646"/>
      <c r="R44" s="646"/>
      <c r="S44" s="647"/>
      <c r="T44" s="729"/>
      <c r="U44" s="2404"/>
      <c r="V44" s="2404"/>
      <c r="W44" s="1647"/>
      <c r="X44" s="1647"/>
      <c r="Y44" s="1647"/>
      <c r="Z44" s="1647"/>
      <c r="AA44" s="1647"/>
      <c r="AB44" s="1171"/>
      <c r="AC44" s="2405"/>
      <c r="AD44" s="640"/>
      <c r="AE44" s="1171"/>
      <c r="AF44" s="1171"/>
      <c r="AG44" s="1647"/>
      <c r="AH44" s="1647"/>
      <c r="AI44" s="1647"/>
      <c r="AJ44" s="1647"/>
      <c r="AK44" s="1647"/>
      <c r="AL44" s="1647"/>
      <c r="AM44" s="1647"/>
      <c r="AN44" s="1647"/>
      <c r="AO44" s="1647"/>
      <c r="AP44" s="1647"/>
      <c r="AQ44" s="1647"/>
      <c r="AR44" s="1647"/>
      <c r="AS44" s="1647"/>
      <c r="AT44" s="1647"/>
      <c r="AU44" s="1647"/>
      <c r="AV44" s="1647"/>
      <c r="AW44" s="1647"/>
      <c r="AX44" s="1647"/>
      <c r="AY44" s="1647"/>
      <c r="AZ44" s="1647"/>
      <c r="BA44" s="1647"/>
      <c r="BB44" s="1647"/>
      <c r="BC44" s="1647"/>
      <c r="BD44" s="1647"/>
      <c r="BE44" s="1647"/>
      <c r="BF44" s="1647"/>
      <c r="BG44" s="1647"/>
      <c r="BH44" s="1647"/>
      <c r="BI44" s="1647"/>
      <c r="BJ44" s="1647"/>
      <c r="BK44" s="1647"/>
      <c r="BL44" s="1647"/>
      <c r="BM44" s="1647"/>
      <c r="BN44" s="1647"/>
      <c r="BO44" s="1647"/>
      <c r="BP44" s="1647"/>
      <c r="BQ44" s="1647"/>
      <c r="BR44" s="1647"/>
      <c r="BS44" s="1647"/>
      <c r="BT44" s="1647"/>
      <c r="BU44" s="1647"/>
      <c r="BV44" s="1647"/>
      <c r="BW44" s="1647"/>
      <c r="BX44" s="1647"/>
      <c r="BY44" s="1647"/>
      <c r="BZ44" s="1647"/>
      <c r="CA44" s="1647"/>
      <c r="CB44" s="1647"/>
      <c r="CC44" s="1647"/>
      <c r="CD44" s="1647"/>
      <c r="CE44" s="1647"/>
      <c r="CF44" s="1858"/>
    </row>
    <row customHeight="1" ht="11.25">
      <c r="A45" s="1816"/>
      <c r="B45" s="1171"/>
      <c r="C45" s="423"/>
      <c r="D45" s="2609"/>
      <c r="E45" s="660" t="s">
        <v>22</v>
      </c>
      <c r="F45" s="1179" t="s">
        <v>22</v>
      </c>
      <c r="G45" s="1179" t="s">
        <v>684</v>
      </c>
      <c r="H45" s="662" t="s">
        <v>22</v>
      </c>
      <c r="I45" s="662"/>
      <c r="J45" s="662"/>
      <c r="K45" s="662"/>
      <c r="L45" s="662"/>
      <c r="M45" s="662"/>
      <c r="N45" s="662"/>
      <c r="O45" s="662"/>
      <c r="P45" s="662"/>
      <c r="Q45" s="662"/>
      <c r="R45" s="663"/>
      <c r="S45" s="664"/>
      <c r="T45" s="729"/>
      <c r="U45" s="2404"/>
      <c r="V45" s="2404"/>
      <c r="W45" s="1171"/>
      <c r="X45" s="1171"/>
      <c r="Y45" s="1171"/>
      <c r="Z45" s="1171"/>
      <c r="AA45" s="1647"/>
      <c r="AB45" s="1171"/>
      <c r="AC45" s="2405"/>
      <c r="AD45" s="640"/>
      <c r="AE45" s="1171"/>
      <c r="AF45" s="1171"/>
      <c r="AG45" s="1647"/>
      <c r="AH45" s="1647"/>
      <c r="AI45" s="1647"/>
      <c r="AJ45" s="1647"/>
      <c r="AK45" s="1647"/>
      <c r="AL45" s="1647"/>
      <c r="AM45" s="1647"/>
      <c r="AN45" s="1647"/>
      <c r="AO45" s="1647"/>
      <c r="AP45" s="1647"/>
      <c r="AQ45" s="1647"/>
      <c r="AR45" s="1647"/>
      <c r="AS45" s="1647"/>
      <c r="AT45" s="1647"/>
      <c r="AU45" s="1647"/>
      <c r="AV45" s="1647"/>
      <c r="AW45" s="1647"/>
      <c r="AX45" s="1647"/>
      <c r="AY45" s="1647"/>
      <c r="AZ45" s="1647"/>
      <c r="BA45" s="1647"/>
      <c r="BB45" s="1647"/>
      <c r="BC45" s="1647"/>
      <c r="BD45" s="1647"/>
      <c r="BE45" s="1647"/>
      <c r="BF45" s="1647"/>
      <c r="BG45" s="1647"/>
      <c r="BH45" s="1647"/>
      <c r="BI45" s="1647"/>
      <c r="BJ45" s="1647"/>
      <c r="BK45" s="1647"/>
      <c r="BL45" s="1647"/>
      <c r="BM45" s="1647"/>
      <c r="BN45" s="1647"/>
      <c r="BO45" s="1647"/>
      <c r="BP45" s="1647"/>
      <c r="BQ45" s="1647"/>
      <c r="BR45" s="1647"/>
      <c r="BS45" s="1647"/>
      <c r="BT45" s="1647"/>
      <c r="BU45" s="1647"/>
      <c r="BV45" s="1171"/>
      <c r="BW45" s="1171"/>
      <c r="BX45" s="1171"/>
      <c r="BY45" s="1171"/>
      <c r="BZ45" s="1171"/>
      <c r="CA45" s="1171"/>
      <c r="CB45" s="1171"/>
      <c r="CC45" s="1171"/>
      <c r="CD45" s="1171"/>
      <c r="CE45" s="1171"/>
      <c r="CF45" s="1858"/>
    </row>
    <row customHeight="1" ht="5.25" hidden="1">
      <c r="A46" s="1803"/>
      <c r="B46" s="1647"/>
      <c r="C46" s="1647"/>
      <c r="D46" s="2609"/>
      <c r="E46" s="1050"/>
      <c r="F46" s="1050"/>
      <c r="G46" s="1050"/>
      <c r="H46" s="1050"/>
      <c r="I46" s="1050"/>
      <c r="J46" s="1050"/>
      <c r="K46" s="1050"/>
      <c r="L46" s="1050"/>
      <c r="M46" s="1050"/>
      <c r="N46" s="1050"/>
      <c r="O46" s="1050"/>
      <c r="P46" s="1050"/>
      <c r="Q46" s="1051"/>
      <c r="R46" s="1052"/>
      <c r="S46" s="1053"/>
      <c r="T46" s="728" t="s">
        <v>672</v>
      </c>
      <c r="U46" s="2404">
        <v>1</v>
      </c>
      <c r="V46" s="2404" t="s">
        <v>599</v>
      </c>
      <c r="W46" s="1647"/>
      <c r="X46" s="1647"/>
      <c r="Y46" s="1647"/>
      <c r="Z46" s="1647"/>
      <c r="AA46" s="1647"/>
      <c r="AB46" s="1647"/>
      <c r="AC46" s="1048"/>
      <c r="AD46" s="1049"/>
      <c r="AE46" s="1647"/>
      <c r="AF46" s="1647"/>
      <c r="AG46" s="1647"/>
      <c r="AH46" s="1647"/>
      <c r="AI46" s="1647"/>
      <c r="AJ46" s="1647"/>
      <c r="AK46" s="1647"/>
      <c r="AL46" s="1647"/>
      <c r="AM46" s="1647"/>
      <c r="AN46" s="1647"/>
      <c r="AO46" s="1647"/>
      <c r="AP46" s="1647"/>
      <c r="AQ46" s="1647"/>
      <c r="AR46" s="1647"/>
      <c r="AS46" s="1647"/>
      <c r="AT46" s="1647"/>
      <c r="AU46" s="1647"/>
      <c r="AV46" s="1647"/>
      <c r="AW46" s="1647"/>
      <c r="AX46" s="1647"/>
      <c r="AY46" s="1647"/>
      <c r="AZ46" s="1647"/>
      <c r="BA46" s="1647"/>
      <c r="BB46" s="1647"/>
      <c r="BC46" s="1647"/>
      <c r="BD46" s="1647"/>
      <c r="BE46" s="1647"/>
      <c r="BF46" s="1647"/>
      <c r="BG46" s="1647"/>
      <c r="BH46" s="1647"/>
      <c r="BI46" s="1647"/>
      <c r="BJ46" s="1647"/>
      <c r="BK46" s="1647"/>
      <c r="BL46" s="1647"/>
      <c r="BM46" s="1647"/>
      <c r="BN46" s="1647"/>
      <c r="BO46" s="1647"/>
      <c r="BP46" s="1647"/>
      <c r="BQ46" s="1647"/>
      <c r="BR46" s="1647"/>
      <c r="BS46" s="1647"/>
      <c r="BT46" s="1647"/>
      <c r="BU46" s="1647"/>
      <c r="BV46" s="1647"/>
      <c r="BW46" s="1647"/>
      <c r="BX46" s="1647"/>
      <c r="BY46" s="1647"/>
      <c r="BZ46" s="1647"/>
      <c r="CA46" s="1647"/>
      <c r="CB46" s="1647"/>
      <c r="CC46" s="1647"/>
      <c r="CD46" s="1647"/>
      <c r="CE46" s="1647"/>
      <c r="CF46" s="1327"/>
    </row>
    <row customHeight="1" ht="5.25" hidden="1">
      <c r="A47" s="1803"/>
      <c r="B47" s="1647"/>
      <c r="C47" s="1647"/>
      <c r="D47" s="2609"/>
      <c r="E47" s="646"/>
      <c r="F47" s="646"/>
      <c r="G47" s="646"/>
      <c r="H47" s="646"/>
      <c r="I47" s="646"/>
      <c r="J47" s="646"/>
      <c r="K47" s="646"/>
      <c r="L47" s="646"/>
      <c r="M47" s="646"/>
      <c r="N47" s="646"/>
      <c r="O47" s="646"/>
      <c r="P47" s="646"/>
      <c r="Q47" s="646"/>
      <c r="R47" s="646"/>
      <c r="S47" s="647"/>
      <c r="T47" s="729"/>
      <c r="U47" s="2404"/>
      <c r="V47" s="2404"/>
      <c r="W47" s="1647"/>
      <c r="X47" s="1647"/>
      <c r="Y47" s="1647"/>
      <c r="Z47" s="1647"/>
      <c r="AA47" s="1647"/>
      <c r="AB47" s="1647"/>
      <c r="AC47" s="1048"/>
      <c r="AD47" s="1049"/>
      <c r="AE47" s="1647"/>
      <c r="AF47" s="1647"/>
      <c r="AG47" s="1647"/>
      <c r="AH47" s="1647"/>
      <c r="AI47" s="1647"/>
      <c r="AJ47" s="1647"/>
      <c r="AK47" s="1647"/>
      <c r="AL47" s="1647"/>
      <c r="AM47" s="1647"/>
      <c r="AN47" s="1647"/>
      <c r="AO47" s="1647"/>
      <c r="AP47" s="1647"/>
      <c r="AQ47" s="1647"/>
      <c r="AR47" s="1647"/>
      <c r="AS47" s="1647"/>
      <c r="AT47" s="1647"/>
      <c r="AU47" s="1647"/>
      <c r="AV47" s="1647"/>
      <c r="AW47" s="1647"/>
      <c r="AX47" s="1647"/>
      <c r="AY47" s="1647"/>
      <c r="AZ47" s="1647"/>
      <c r="BA47" s="1647"/>
      <c r="BB47" s="1647"/>
      <c r="BC47" s="1647"/>
      <c r="BD47" s="1647"/>
      <c r="BE47" s="1647"/>
      <c r="BF47" s="1647"/>
      <c r="BG47" s="1647"/>
      <c r="BH47" s="1647"/>
      <c r="BI47" s="1647"/>
      <c r="BJ47" s="1647"/>
      <c r="BK47" s="1647"/>
      <c r="BL47" s="1647"/>
      <c r="BM47" s="1647"/>
      <c r="BN47" s="1647"/>
      <c r="BO47" s="1647"/>
      <c r="BP47" s="1647"/>
      <c r="BQ47" s="1647"/>
      <c r="BR47" s="1647"/>
      <c r="BS47" s="1647"/>
      <c r="BT47" s="1647"/>
      <c r="BU47" s="1647"/>
      <c r="BV47" s="1647"/>
      <c r="BW47" s="1647"/>
      <c r="BX47" s="1647"/>
      <c r="BY47" s="1647"/>
      <c r="BZ47" s="1647"/>
      <c r="CA47" s="1647"/>
      <c r="CB47" s="1647"/>
      <c r="CC47" s="1647"/>
      <c r="CD47" s="1647"/>
      <c r="CE47" s="1647"/>
      <c r="CF47" s="1327"/>
    </row>
    <row customHeight="1" ht="5.25" hidden="1">
      <c r="A48" s="1803"/>
      <c r="B48" s="1647"/>
      <c r="C48" s="1647"/>
      <c r="D48" s="2610"/>
      <c r="E48" s="1054"/>
      <c r="F48" s="1055"/>
      <c r="G48" s="1055" t="s">
        <v>22</v>
      </c>
      <c r="H48" s="1056"/>
      <c r="I48" s="1056"/>
      <c r="J48" s="1056"/>
      <c r="K48" s="1056"/>
      <c r="L48" s="1056"/>
      <c r="M48" s="1056"/>
      <c r="N48" s="1056"/>
      <c r="O48" s="1056"/>
      <c r="P48" s="1056"/>
      <c r="Q48" s="1056"/>
      <c r="R48" s="957"/>
      <c r="S48" s="1057"/>
      <c r="T48" s="729"/>
      <c r="U48" s="2404"/>
      <c r="V48" s="2404"/>
      <c r="W48" s="1647"/>
      <c r="X48" s="1647"/>
      <c r="Y48" s="1647"/>
      <c r="Z48" s="1647"/>
      <c r="AA48" s="1647"/>
      <c r="AB48" s="1647"/>
      <c r="AC48" s="1048"/>
      <c r="AD48" s="1049"/>
      <c r="AE48" s="1647"/>
      <c r="AF48" s="1647"/>
      <c r="AG48" s="1647"/>
      <c r="AH48" s="1647"/>
      <c r="AI48" s="1647"/>
      <c r="AJ48" s="1647"/>
      <c r="AK48" s="1647"/>
      <c r="AL48" s="1647"/>
      <c r="AM48" s="1647"/>
      <c r="AN48" s="1647"/>
      <c r="AO48" s="1647"/>
      <c r="AP48" s="1647"/>
      <c r="AQ48" s="1647"/>
      <c r="AR48" s="1647"/>
      <c r="AS48" s="1647"/>
      <c r="AT48" s="1647"/>
      <c r="AU48" s="1647"/>
      <c r="AV48" s="1647"/>
      <c r="AW48" s="1647"/>
      <c r="AX48" s="1647"/>
      <c r="AY48" s="1647"/>
      <c r="AZ48" s="1647"/>
      <c r="BA48" s="1647"/>
      <c r="BB48" s="1647"/>
      <c r="BC48" s="1647"/>
      <c r="BD48" s="1647"/>
      <c r="BE48" s="1647"/>
      <c r="BF48" s="1647"/>
      <c r="BG48" s="1647"/>
      <c r="BH48" s="1647"/>
      <c r="BI48" s="1647"/>
      <c r="BJ48" s="1647"/>
      <c r="BK48" s="1647"/>
      <c r="BL48" s="1647"/>
      <c r="BM48" s="1647"/>
      <c r="BN48" s="1647"/>
      <c r="BO48" s="1647"/>
      <c r="BP48" s="1647"/>
      <c r="BQ48" s="1647"/>
      <c r="BR48" s="1647"/>
      <c r="BS48" s="1647"/>
      <c r="BT48" s="1647"/>
      <c r="BU48" s="1647"/>
      <c r="BV48" s="1647"/>
      <c r="BW48" s="1647"/>
      <c r="BX48" s="1647"/>
      <c r="BY48" s="1647"/>
      <c r="BZ48" s="1647"/>
      <c r="CA48" s="1647"/>
      <c r="CB48" s="1647"/>
      <c r="CC48" s="1647"/>
      <c r="CD48" s="1647"/>
      <c r="CE48" s="1647"/>
      <c r="CF48" s="1327"/>
    </row>
    <row customHeight="1" ht="15">
      <c r="A49" s="634" t="s">
        <v>135</v>
      </c>
      <c r="B49" s="635"/>
      <c r="C49" s="635" t="s">
        <v>22</v>
      </c>
      <c r="D49" s="2608" t="s">
        <v>689</v>
      </c>
      <c r="E49" s="2407" t="s">
        <v>116</v>
      </c>
      <c r="F49" s="2408"/>
      <c r="G49" s="2409"/>
      <c r="H49" s="2413" t="str">
        <f>IF(A49="","",INDEX(DIFFERENTIATION_UNMERGE_VD,MATCH(A49,DIFFERENTIATION_ID_DIFF,0)))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49" s="2413"/>
      <c r="J49" s="2413"/>
      <c r="K49" s="2413"/>
      <c r="L49" s="2413"/>
      <c r="M49" s="2413"/>
      <c r="N49" s="2413"/>
      <c r="O49" s="2413"/>
      <c r="P49" s="2413"/>
      <c r="Q49" s="2413"/>
      <c r="R49" s="2413"/>
      <c r="S49" s="730"/>
      <c r="T49" s="727"/>
      <c r="U49" s="636"/>
      <c r="V49" s="636"/>
      <c r="W49" s="637"/>
      <c r="X49" s="637"/>
      <c r="Y49" s="637"/>
      <c r="Z49" s="637"/>
      <c r="AA49" s="638"/>
      <c r="AB49" s="639"/>
      <c r="AC49" s="2405"/>
      <c r="AD49" s="640"/>
      <c r="AE49" s="641" t="s">
        <v>22</v>
      </c>
      <c r="AF49" s="641"/>
      <c r="AG49" s="642" t="s">
        <v>669</v>
      </c>
      <c r="AH49" s="643">
        <v>3</v>
      </c>
      <c r="AI49" s="636"/>
      <c r="AJ49" s="636"/>
      <c r="AK49" s="636"/>
      <c r="AL49" s="636"/>
      <c r="AM49" s="636"/>
      <c r="AN49" s="636"/>
      <c r="AO49" s="636"/>
      <c r="AP49" s="636"/>
      <c r="AQ49" s="636"/>
      <c r="AR49" s="636"/>
      <c r="AS49" s="636"/>
      <c r="AT49" s="636"/>
      <c r="AU49" s="636"/>
      <c r="AV49" s="636"/>
      <c r="AW49" s="636"/>
      <c r="AX49" s="636"/>
      <c r="AY49" s="636"/>
      <c r="AZ49" s="636"/>
      <c r="BA49" s="636"/>
      <c r="BB49" s="636"/>
      <c r="BC49" s="636"/>
      <c r="BD49" s="636"/>
      <c r="BE49" s="636"/>
      <c r="BF49" s="636"/>
      <c r="BG49" s="636"/>
      <c r="BH49" s="636"/>
      <c r="BI49" s="636"/>
      <c r="BJ49" s="636"/>
      <c r="BK49" s="636"/>
      <c r="BL49" s="636"/>
      <c r="BM49" s="636"/>
      <c r="BN49" s="636"/>
      <c r="BO49" s="636"/>
      <c r="BP49" s="636"/>
      <c r="BQ49" s="636"/>
      <c r="BR49" s="636"/>
      <c r="BS49" s="636"/>
      <c r="BT49" s="636"/>
      <c r="BU49" s="636"/>
      <c r="BV49" s="637"/>
      <c r="BW49" s="637"/>
      <c r="BX49" s="637"/>
      <c r="BY49" s="637"/>
      <c r="BZ49" s="637"/>
      <c r="CA49" s="637"/>
      <c r="CB49" s="637"/>
      <c r="CC49" s="637"/>
      <c r="CD49" s="637"/>
      <c r="CE49" s="637"/>
      <c r="CF49" s="1858"/>
    </row>
    <row customHeight="1" ht="15">
      <c r="A50" s="634"/>
      <c r="B50" s="635"/>
      <c r="C50" s="635"/>
      <c r="D50" s="2609"/>
      <c r="E50" s="2407" t="s">
        <v>576</v>
      </c>
      <c r="F50" s="2408"/>
      <c r="G50" s="2409"/>
      <c r="H50" s="2413" t="str">
        <f>IF(A49="","",INDEX(DIFFERENTIATION_UNMERGE_AREA,MATCH(A49,DIFFERENTIATION_ID_DIFF,0)))</f>
        <v>Территория 3</v>
      </c>
      <c r="I50" s="2413"/>
      <c r="J50" s="2413"/>
      <c r="K50" s="2413"/>
      <c r="L50" s="2413"/>
      <c r="M50" s="2413"/>
      <c r="N50" s="2413"/>
      <c r="O50" s="2413"/>
      <c r="P50" s="2413"/>
      <c r="Q50" s="2413"/>
      <c r="R50" s="2413"/>
      <c r="S50" s="730"/>
      <c r="T50" s="727"/>
      <c r="U50" s="636"/>
      <c r="V50" s="636"/>
      <c r="W50" s="637"/>
      <c r="X50" s="637"/>
      <c r="Y50" s="637"/>
      <c r="Z50" s="637"/>
      <c r="AA50" s="638"/>
      <c r="AB50" s="639"/>
      <c r="AC50" s="2405"/>
      <c r="AD50" s="640"/>
      <c r="AE50" s="641"/>
      <c r="AF50" s="641"/>
      <c r="AG50" s="642"/>
      <c r="AH50" s="643"/>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7"/>
      <c r="BW50" s="637"/>
      <c r="BX50" s="637"/>
      <c r="BY50" s="637"/>
      <c r="BZ50" s="637"/>
      <c r="CA50" s="637"/>
      <c r="CB50" s="637"/>
      <c r="CC50" s="637"/>
      <c r="CD50" s="637"/>
      <c r="CE50" s="637"/>
      <c r="CF50" s="1858"/>
    </row>
    <row customHeight="1" ht="15">
      <c r="A51" s="634"/>
      <c r="B51" s="635"/>
      <c r="C51" s="635"/>
      <c r="D51" s="2609"/>
      <c r="E51" s="2407" t="s">
        <v>577</v>
      </c>
      <c r="F51" s="2408"/>
      <c r="G51" s="2409"/>
      <c r="H51" s="2413" t="str">
        <f>IF(A49="","",INDEX(DIFFERENTIATION_UNMERGE_SYSTEM,MATCH(A49,DIFFERENTIATION_ID_DIFF,0)))</f>
        <v>без дифференциации</v>
      </c>
      <c r="I51" s="2413"/>
      <c r="J51" s="2413"/>
      <c r="K51" s="2413"/>
      <c r="L51" s="2413"/>
      <c r="M51" s="2413"/>
      <c r="N51" s="2413"/>
      <c r="O51" s="2413"/>
      <c r="P51" s="2413"/>
      <c r="Q51" s="2413"/>
      <c r="R51" s="2413"/>
      <c r="S51" s="730"/>
      <c r="T51" s="727"/>
      <c r="U51" s="636"/>
      <c r="V51" s="636"/>
      <c r="W51" s="637"/>
      <c r="X51" s="637"/>
      <c r="Y51" s="637"/>
      <c r="Z51" s="637"/>
      <c r="AA51" s="638"/>
      <c r="AB51" s="639"/>
      <c r="AC51" s="2405"/>
      <c r="AD51" s="640"/>
      <c r="AE51" s="641"/>
      <c r="AF51" s="641"/>
      <c r="AG51" s="642"/>
      <c r="AH51" s="643"/>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7"/>
      <c r="BW51" s="637"/>
      <c r="BX51" s="637"/>
      <c r="BY51" s="637"/>
      <c r="BZ51" s="637"/>
      <c r="CA51" s="637"/>
      <c r="CB51" s="637"/>
      <c r="CC51" s="637"/>
      <c r="CD51" s="637"/>
      <c r="CE51" s="637"/>
      <c r="CF51" s="1858"/>
    </row>
    <row customHeight="1" ht="24.75">
      <c r="A52" s="1816"/>
      <c r="B52" s="1171"/>
      <c r="C52" s="423"/>
      <c r="D52" s="2609"/>
      <c r="E52" s="2406" t="s">
        <v>670</v>
      </c>
      <c r="F52" s="2406"/>
      <c r="G52" s="2406"/>
      <c r="H52" s="2406"/>
      <c r="I52" s="2406"/>
      <c r="J52" s="2406"/>
      <c r="K52" s="2406"/>
      <c r="L52" s="2406"/>
      <c r="M52" s="2406"/>
      <c r="N52" s="2406"/>
      <c r="O52" s="2406"/>
      <c r="P52" s="2406"/>
      <c r="Q52" s="569">
        <f>SUMIF(T53:T54,"i",Q53:Q54)</f>
        <v>0</v>
      </c>
      <c r="R52" s="1028"/>
      <c r="S52" s="1808" t="s">
        <v>671</v>
      </c>
      <c r="T52" s="728" t="s">
        <v>672</v>
      </c>
      <c r="U52" s="2404">
        <v>1</v>
      </c>
      <c r="V52" s="2404" t="str">
        <f>INDEX(B_FHD_FLAG_INDEX_1,1,MATCH(A49,B_FHD_FLAG_DIFFERENTIATION,0))</f>
        <v>есть</v>
      </c>
      <c r="W52" s="1171"/>
      <c r="X52" s="1171"/>
      <c r="Y52" s="1171"/>
      <c r="Z52" s="1171"/>
      <c r="AA52" s="1647"/>
      <c r="AB52" s="1171"/>
      <c r="AC52" s="2405"/>
      <c r="AD52" s="640"/>
      <c r="AE52" s="1171"/>
      <c r="AF52" s="1171"/>
      <c r="AG52" s="1647"/>
      <c r="AH52" s="1647"/>
      <c r="AI52" s="1647"/>
      <c r="AJ52" s="1647"/>
      <c r="AK52" s="1647"/>
      <c r="AL52" s="1647"/>
      <c r="AM52" s="1647"/>
      <c r="AN52" s="1647"/>
      <c r="AO52" s="1647"/>
      <c r="AP52" s="1647"/>
      <c r="AQ52" s="1647"/>
      <c r="AR52" s="1647"/>
      <c r="AS52" s="1647"/>
      <c r="AT52" s="1647"/>
      <c r="AU52" s="1647"/>
      <c r="AV52" s="1647"/>
      <c r="AW52" s="1647"/>
      <c r="AX52" s="1647"/>
      <c r="AY52" s="1647"/>
      <c r="AZ52" s="1647"/>
      <c r="BA52" s="1647"/>
      <c r="BB52" s="1647"/>
      <c r="BC52" s="1647"/>
      <c r="BD52" s="1647"/>
      <c r="BE52" s="1647"/>
      <c r="BF52" s="1647"/>
      <c r="BG52" s="1647"/>
      <c r="BH52" s="1647"/>
      <c r="BI52" s="1647"/>
      <c r="BJ52" s="1647"/>
      <c r="BK52" s="1647"/>
      <c r="BL52" s="1647"/>
      <c r="BM52" s="1647"/>
      <c r="BN52" s="1647"/>
      <c r="BO52" s="1647"/>
      <c r="BP52" s="1647"/>
      <c r="BQ52" s="1647"/>
      <c r="BR52" s="1647"/>
      <c r="BS52" s="1647"/>
      <c r="BT52" s="1647"/>
      <c r="BU52" s="1647"/>
      <c r="BV52" s="1171"/>
      <c r="BW52" s="1171"/>
      <c r="BX52" s="1171"/>
      <c r="BY52" s="1171"/>
      <c r="BZ52" s="1171"/>
      <c r="CA52" s="1171"/>
      <c r="CB52" s="1171"/>
      <c r="CC52" s="1171"/>
      <c r="CD52" s="1171"/>
      <c r="CE52" s="1171"/>
      <c r="CF52" s="1858"/>
    </row>
    <row customHeight="1" ht="11.25" hidden="1">
      <c r="A53" s="1803"/>
      <c r="B53" s="1647"/>
      <c r="C53" s="1647"/>
      <c r="D53" s="2609"/>
      <c r="E53" s="646"/>
      <c r="F53" s="646">
        <v>0</v>
      </c>
      <c r="G53" s="646"/>
      <c r="H53" s="646"/>
      <c r="I53" s="646"/>
      <c r="J53" s="646"/>
      <c r="K53" s="646"/>
      <c r="L53" s="646"/>
      <c r="M53" s="646"/>
      <c r="N53" s="646"/>
      <c r="O53" s="646"/>
      <c r="P53" s="646"/>
      <c r="Q53" s="646"/>
      <c r="R53" s="646"/>
      <c r="S53" s="647"/>
      <c r="T53" s="729"/>
      <c r="U53" s="2404"/>
      <c r="V53" s="2404"/>
      <c r="W53" s="1647"/>
      <c r="X53" s="1647"/>
      <c r="Y53" s="1647"/>
      <c r="Z53" s="1647"/>
      <c r="AA53" s="1647"/>
      <c r="AB53" s="1171"/>
      <c r="AC53" s="2405"/>
      <c r="AD53" s="640"/>
      <c r="AE53" s="1171"/>
      <c r="AF53" s="1171"/>
      <c r="AG53" s="1647"/>
      <c r="AH53" s="1647"/>
      <c r="AI53" s="1647"/>
      <c r="AJ53" s="1647"/>
      <c r="AK53" s="1647"/>
      <c r="AL53" s="1647"/>
      <c r="AM53" s="1647"/>
      <c r="AN53" s="1647"/>
      <c r="AO53" s="1647"/>
      <c r="AP53" s="1647"/>
      <c r="AQ53" s="1647"/>
      <c r="AR53" s="1647"/>
      <c r="AS53" s="1647"/>
      <c r="AT53" s="1647"/>
      <c r="AU53" s="1647"/>
      <c r="AV53" s="1647"/>
      <c r="AW53" s="1647"/>
      <c r="AX53" s="1647"/>
      <c r="AY53" s="1647"/>
      <c r="AZ53" s="1647"/>
      <c r="BA53" s="1647"/>
      <c r="BB53" s="1647"/>
      <c r="BC53" s="1647"/>
      <c r="BD53" s="1647"/>
      <c r="BE53" s="1647"/>
      <c r="BF53" s="1647"/>
      <c r="BG53" s="1647"/>
      <c r="BH53" s="1647"/>
      <c r="BI53" s="1647"/>
      <c r="BJ53" s="1647"/>
      <c r="BK53" s="1647"/>
      <c r="BL53" s="1647"/>
      <c r="BM53" s="1647"/>
      <c r="BN53" s="1647"/>
      <c r="BO53" s="1647"/>
      <c r="BP53" s="1647"/>
      <c r="BQ53" s="1647"/>
      <c r="BR53" s="1647"/>
      <c r="BS53" s="1647"/>
      <c r="BT53" s="1647"/>
      <c r="BU53" s="1647"/>
      <c r="BV53" s="1647"/>
      <c r="BW53" s="1647"/>
      <c r="BX53" s="1647"/>
      <c r="BY53" s="1647"/>
      <c r="BZ53" s="1647"/>
      <c r="CA53" s="1647"/>
      <c r="CB53" s="1647"/>
      <c r="CC53" s="1647"/>
      <c r="CD53" s="1647"/>
      <c r="CE53" s="1647"/>
      <c r="CF53" s="1858"/>
    </row>
    <row customHeight="1" ht="11.25">
      <c r="A54" s="1816"/>
      <c r="B54" s="1171"/>
      <c r="C54" s="423"/>
      <c r="D54" s="2609"/>
      <c r="E54" s="660" t="s">
        <v>22</v>
      </c>
      <c r="F54" s="1179" t="s">
        <v>22</v>
      </c>
      <c r="G54" s="1179" t="s">
        <v>684</v>
      </c>
      <c r="H54" s="662" t="s">
        <v>22</v>
      </c>
      <c r="I54" s="662"/>
      <c r="J54" s="662"/>
      <c r="K54" s="662"/>
      <c r="L54" s="662"/>
      <c r="M54" s="662"/>
      <c r="N54" s="662"/>
      <c r="O54" s="662"/>
      <c r="P54" s="662"/>
      <c r="Q54" s="662"/>
      <c r="R54" s="663"/>
      <c r="S54" s="664"/>
      <c r="T54" s="729"/>
      <c r="U54" s="2404"/>
      <c r="V54" s="2404"/>
      <c r="W54" s="1171"/>
      <c r="X54" s="1171"/>
      <c r="Y54" s="1171"/>
      <c r="Z54" s="1171"/>
      <c r="AA54" s="1647"/>
      <c r="AB54" s="1171"/>
      <c r="AC54" s="2405"/>
      <c r="AD54" s="640"/>
      <c r="AE54" s="1171"/>
      <c r="AF54" s="1171"/>
      <c r="AG54" s="1647"/>
      <c r="AH54" s="1647"/>
      <c r="AI54" s="1647"/>
      <c r="AJ54" s="1647"/>
      <c r="AK54" s="1647"/>
      <c r="AL54" s="1647"/>
      <c r="AM54" s="1647"/>
      <c r="AN54" s="1647"/>
      <c r="AO54" s="1647"/>
      <c r="AP54" s="1647"/>
      <c r="AQ54" s="1647"/>
      <c r="AR54" s="1647"/>
      <c r="AS54" s="1647"/>
      <c r="AT54" s="1647"/>
      <c r="AU54" s="1647"/>
      <c r="AV54" s="1647"/>
      <c r="AW54" s="1647"/>
      <c r="AX54" s="1647"/>
      <c r="AY54" s="1647"/>
      <c r="AZ54" s="1647"/>
      <c r="BA54" s="1647"/>
      <c r="BB54" s="1647"/>
      <c r="BC54" s="1647"/>
      <c r="BD54" s="1647"/>
      <c r="BE54" s="1647"/>
      <c r="BF54" s="1647"/>
      <c r="BG54" s="1647"/>
      <c r="BH54" s="1647"/>
      <c r="BI54" s="1647"/>
      <c r="BJ54" s="1647"/>
      <c r="BK54" s="1647"/>
      <c r="BL54" s="1647"/>
      <c r="BM54" s="1647"/>
      <c r="BN54" s="1647"/>
      <c r="BO54" s="1647"/>
      <c r="BP54" s="1647"/>
      <c r="BQ54" s="1647"/>
      <c r="BR54" s="1647"/>
      <c r="BS54" s="1647"/>
      <c r="BT54" s="1647"/>
      <c r="BU54" s="1647"/>
      <c r="BV54" s="1171"/>
      <c r="BW54" s="1171"/>
      <c r="BX54" s="1171"/>
      <c r="BY54" s="1171"/>
      <c r="BZ54" s="1171"/>
      <c r="CA54" s="1171"/>
      <c r="CB54" s="1171"/>
      <c r="CC54" s="1171"/>
      <c r="CD54" s="1171"/>
      <c r="CE54" s="1171"/>
      <c r="CF54" s="1858"/>
    </row>
    <row customHeight="1" ht="5.25" hidden="1">
      <c r="A55" s="1803"/>
      <c r="B55" s="1647"/>
      <c r="C55" s="1647"/>
      <c r="D55" s="2609"/>
      <c r="E55" s="1050"/>
      <c r="F55" s="1050"/>
      <c r="G55" s="1050"/>
      <c r="H55" s="1050"/>
      <c r="I55" s="1050"/>
      <c r="J55" s="1050"/>
      <c r="K55" s="1050"/>
      <c r="L55" s="1050"/>
      <c r="M55" s="1050"/>
      <c r="N55" s="1050"/>
      <c r="O55" s="1050"/>
      <c r="P55" s="1050"/>
      <c r="Q55" s="1051"/>
      <c r="R55" s="1052"/>
      <c r="S55" s="1053"/>
      <c r="T55" s="728" t="s">
        <v>672</v>
      </c>
      <c r="U55" s="2404">
        <v>1</v>
      </c>
      <c r="V55" s="2404" t="s">
        <v>599</v>
      </c>
      <c r="W55" s="1647"/>
      <c r="X55" s="1647"/>
      <c r="Y55" s="1647"/>
      <c r="Z55" s="1647"/>
      <c r="AA55" s="1647"/>
      <c r="AB55" s="1647"/>
      <c r="AC55" s="1048"/>
      <c r="AD55" s="1049"/>
      <c r="AE55" s="1647"/>
      <c r="AF55" s="1647"/>
      <c r="AG55" s="1647"/>
      <c r="AH55" s="1647"/>
      <c r="AI55" s="1647"/>
      <c r="AJ55" s="1647"/>
      <c r="AK55" s="1647"/>
      <c r="AL55" s="1647"/>
      <c r="AM55" s="1647"/>
      <c r="AN55" s="1647"/>
      <c r="AO55" s="1647"/>
      <c r="AP55" s="1647"/>
      <c r="AQ55" s="1647"/>
      <c r="AR55" s="1647"/>
      <c r="AS55" s="1647"/>
      <c r="AT55" s="1647"/>
      <c r="AU55" s="1647"/>
      <c r="AV55" s="1647"/>
      <c r="AW55" s="1647"/>
      <c r="AX55" s="1647"/>
      <c r="AY55" s="1647"/>
      <c r="AZ55" s="1647"/>
      <c r="BA55" s="1647"/>
      <c r="BB55" s="1647"/>
      <c r="BC55" s="1647"/>
      <c r="BD55" s="1647"/>
      <c r="BE55" s="1647"/>
      <c r="BF55" s="1647"/>
      <c r="BG55" s="1647"/>
      <c r="BH55" s="1647"/>
      <c r="BI55" s="1647"/>
      <c r="BJ55" s="1647"/>
      <c r="BK55" s="1647"/>
      <c r="BL55" s="1647"/>
      <c r="BM55" s="1647"/>
      <c r="BN55" s="1647"/>
      <c r="BO55" s="1647"/>
      <c r="BP55" s="1647"/>
      <c r="BQ55" s="1647"/>
      <c r="BR55" s="1647"/>
      <c r="BS55" s="1647"/>
      <c r="BT55" s="1647"/>
      <c r="BU55" s="1647"/>
      <c r="BV55" s="1647"/>
      <c r="BW55" s="1647"/>
      <c r="BX55" s="1647"/>
      <c r="BY55" s="1647"/>
      <c r="BZ55" s="1647"/>
      <c r="CA55" s="1647"/>
      <c r="CB55" s="1647"/>
      <c r="CC55" s="1647"/>
      <c r="CD55" s="1647"/>
      <c r="CE55" s="1647"/>
      <c r="CF55" s="1327"/>
    </row>
    <row customHeight="1" ht="5.25" hidden="1">
      <c r="A56" s="1803"/>
      <c r="B56" s="1647"/>
      <c r="C56" s="1647"/>
      <c r="D56" s="2609"/>
      <c r="E56" s="646"/>
      <c r="F56" s="646"/>
      <c r="G56" s="646"/>
      <c r="H56" s="646"/>
      <c r="I56" s="646"/>
      <c r="J56" s="646"/>
      <c r="K56" s="646"/>
      <c r="L56" s="646"/>
      <c r="M56" s="646"/>
      <c r="N56" s="646"/>
      <c r="O56" s="646"/>
      <c r="P56" s="646"/>
      <c r="Q56" s="646"/>
      <c r="R56" s="646"/>
      <c r="S56" s="647"/>
      <c r="T56" s="729"/>
      <c r="U56" s="2404"/>
      <c r="V56" s="2404"/>
      <c r="W56" s="1647"/>
      <c r="X56" s="1647"/>
      <c r="Y56" s="1647"/>
      <c r="Z56" s="1647"/>
      <c r="AA56" s="1647"/>
      <c r="AB56" s="1647"/>
      <c r="AC56" s="1048"/>
      <c r="AD56" s="1049"/>
      <c r="AE56" s="1647"/>
      <c r="AF56" s="1647"/>
      <c r="AG56" s="1647"/>
      <c r="AH56" s="1647"/>
      <c r="AI56" s="1647"/>
      <c r="AJ56" s="1647"/>
      <c r="AK56" s="1647"/>
      <c r="AL56" s="1647"/>
      <c r="AM56" s="1647"/>
      <c r="AN56" s="1647"/>
      <c r="AO56" s="1647"/>
      <c r="AP56" s="1647"/>
      <c r="AQ56" s="1647"/>
      <c r="AR56" s="1647"/>
      <c r="AS56" s="1647"/>
      <c r="AT56" s="1647"/>
      <c r="AU56" s="1647"/>
      <c r="AV56" s="1647"/>
      <c r="AW56" s="1647"/>
      <c r="AX56" s="1647"/>
      <c r="AY56" s="1647"/>
      <c r="AZ56" s="1647"/>
      <c r="BA56" s="1647"/>
      <c r="BB56" s="1647"/>
      <c r="BC56" s="1647"/>
      <c r="BD56" s="1647"/>
      <c r="BE56" s="1647"/>
      <c r="BF56" s="1647"/>
      <c r="BG56" s="1647"/>
      <c r="BH56" s="1647"/>
      <c r="BI56" s="1647"/>
      <c r="BJ56" s="1647"/>
      <c r="BK56" s="1647"/>
      <c r="BL56" s="1647"/>
      <c r="BM56" s="1647"/>
      <c r="BN56" s="1647"/>
      <c r="BO56" s="1647"/>
      <c r="BP56" s="1647"/>
      <c r="BQ56" s="1647"/>
      <c r="BR56" s="1647"/>
      <c r="BS56" s="1647"/>
      <c r="BT56" s="1647"/>
      <c r="BU56" s="1647"/>
      <c r="BV56" s="1647"/>
      <c r="BW56" s="1647"/>
      <c r="BX56" s="1647"/>
      <c r="BY56" s="1647"/>
      <c r="BZ56" s="1647"/>
      <c r="CA56" s="1647"/>
      <c r="CB56" s="1647"/>
      <c r="CC56" s="1647"/>
      <c r="CD56" s="1647"/>
      <c r="CE56" s="1647"/>
      <c r="CF56" s="1327"/>
    </row>
    <row customHeight="1" ht="5.25" hidden="1">
      <c r="A57" s="1803"/>
      <c r="B57" s="1647"/>
      <c r="C57" s="1647"/>
      <c r="D57" s="2610"/>
      <c r="E57" s="1054"/>
      <c r="F57" s="1055"/>
      <c r="G57" s="1055" t="s">
        <v>22</v>
      </c>
      <c r="H57" s="1056"/>
      <c r="I57" s="1056"/>
      <c r="J57" s="1056"/>
      <c r="K57" s="1056"/>
      <c r="L57" s="1056"/>
      <c r="M57" s="1056"/>
      <c r="N57" s="1056"/>
      <c r="O57" s="1056"/>
      <c r="P57" s="1056"/>
      <c r="Q57" s="1056"/>
      <c r="R57" s="957"/>
      <c r="S57" s="1057"/>
      <c r="T57" s="729"/>
      <c r="U57" s="2404"/>
      <c r="V57" s="2404"/>
      <c r="W57" s="1647"/>
      <c r="X57" s="1647"/>
      <c r="Y57" s="1647"/>
      <c r="Z57" s="1647"/>
      <c r="AA57" s="1647"/>
      <c r="AB57" s="1647"/>
      <c r="AC57" s="1048"/>
      <c r="AD57" s="1049"/>
      <c r="AE57" s="1647"/>
      <c r="AF57" s="1647"/>
      <c r="AG57" s="1647"/>
      <c r="AH57" s="1647"/>
      <c r="AI57" s="1647"/>
      <c r="AJ57" s="1647"/>
      <c r="AK57" s="1647"/>
      <c r="AL57" s="1647"/>
      <c r="AM57" s="1647"/>
      <c r="AN57" s="1647"/>
      <c r="AO57" s="1647"/>
      <c r="AP57" s="1647"/>
      <c r="AQ57" s="1647"/>
      <c r="AR57" s="1647"/>
      <c r="AS57" s="1647"/>
      <c r="AT57" s="1647"/>
      <c r="AU57" s="1647"/>
      <c r="AV57" s="1647"/>
      <c r="AW57" s="1647"/>
      <c r="AX57" s="1647"/>
      <c r="AY57" s="1647"/>
      <c r="AZ57" s="1647"/>
      <c r="BA57" s="1647"/>
      <c r="BB57" s="1647"/>
      <c r="BC57" s="1647"/>
      <c r="BD57" s="1647"/>
      <c r="BE57" s="1647"/>
      <c r="BF57" s="1647"/>
      <c r="BG57" s="1647"/>
      <c r="BH57" s="1647"/>
      <c r="BI57" s="1647"/>
      <c r="BJ57" s="1647"/>
      <c r="BK57" s="1647"/>
      <c r="BL57" s="1647"/>
      <c r="BM57" s="1647"/>
      <c r="BN57" s="1647"/>
      <c r="BO57" s="1647"/>
      <c r="BP57" s="1647"/>
      <c r="BQ57" s="1647"/>
      <c r="BR57" s="1647"/>
      <c r="BS57" s="1647"/>
      <c r="BT57" s="1647"/>
      <c r="BU57" s="1647"/>
      <c r="BV57" s="1647"/>
      <c r="BW57" s="1647"/>
      <c r="BX57" s="1647"/>
      <c r="BY57" s="1647"/>
      <c r="BZ57" s="1647"/>
      <c r="CA57" s="1647"/>
      <c r="CB57" s="1647"/>
      <c r="CC57" s="1647"/>
      <c r="CD57" s="1647"/>
      <c r="CE57" s="1647"/>
      <c r="CF57" s="1327"/>
    </row>
    <row customHeight="1" ht="19.95">
      <c r="D58" s="1058"/>
      <c r="E58" s="1058"/>
      <c r="F58" s="1058"/>
      <c r="G58" s="1058"/>
      <c r="H58" s="1058"/>
      <c r="I58" s="1058"/>
      <c r="J58" s="1058"/>
      <c r="K58" s="1058"/>
      <c r="L58" s="1058"/>
      <c r="M58" s="1058"/>
      <c r="N58" s="1058"/>
      <c r="O58" s="1058"/>
      <c r="P58" s="1058"/>
      <c r="Q58" s="1058"/>
      <c r="R58" s="1058"/>
      <c r="S58" s="1058"/>
      <c r="T58" s="345"/>
      <c r="CF58" s="516">
        <v>19</v>
      </c>
    </row>
    <row customHeight="1" ht="11.549999999999999">
      <c r="D59" s="520"/>
      <c r="CF59" s="516">
        <v>11</v>
      </c>
    </row>
    <row customHeight="1" ht="11.549999999999999">
      <c r="D60" s="665"/>
      <c r="E60" s="665"/>
      <c r="F60" s="665"/>
      <c r="G60" s="666"/>
      <c r="CF60" s="516">
        <v>11</v>
      </c>
    </row>
    <row customHeight="1" ht="11.549999999999999">
      <c r="CF61" s="516">
        <v>11</v>
      </c>
    </row>
    <row customHeight="1" ht="11.549999999999999">
      <c r="D62" s="667"/>
      <c r="E62" s="2414"/>
      <c r="F62" s="2414"/>
      <c r="G62" s="2414"/>
      <c r="H62" s="2414"/>
      <c r="I62" s="2414"/>
      <c r="J62" s="2414"/>
      <c r="K62" s="2414"/>
      <c r="L62" s="2414"/>
      <c r="M62" s="2414"/>
      <c r="N62" s="2414"/>
      <c r="O62" s="2414"/>
      <c r="P62" s="2414"/>
      <c r="Q62" s="2414"/>
      <c r="R62" s="2414"/>
      <c r="CF62" s="516">
        <v>11</v>
      </c>
    </row>
    <row customHeight="1" ht="11.549999999999999">
      <c r="F63" s="769"/>
      <c r="G63" s="769"/>
      <c r="CF63" s="516">
        <v>11</v>
      </c>
    </row>
    <row customHeight="1" ht="11.25" hidden="1">
      <c r="A64" s="621" t="s">
        <v>83</v>
      </c>
      <c r="B64" s="460">
        <v>0</v>
      </c>
      <c r="C64" s="516">
        <v>3</v>
      </c>
      <c r="D64" s="516">
        <v>0</v>
      </c>
      <c r="E64" s="516">
        <v>7</v>
      </c>
      <c r="F64" s="516">
        <v>7</v>
      </c>
      <c r="G64" s="516">
        <v>29</v>
      </c>
      <c r="H64" s="516">
        <v>3</v>
      </c>
      <c r="I64" s="516">
        <v>5</v>
      </c>
      <c r="J64" s="516">
        <v>24</v>
      </c>
      <c r="K64" s="516">
        <v>24</v>
      </c>
      <c r="L64" s="516">
        <v>3</v>
      </c>
      <c r="M64" s="516">
        <v>6</v>
      </c>
      <c r="N64" s="516">
        <v>25</v>
      </c>
      <c r="O64" s="516">
        <v>18</v>
      </c>
      <c r="P64" s="516">
        <v>18</v>
      </c>
      <c r="Q64" s="516">
        <v>18</v>
      </c>
      <c r="R64" s="516">
        <v>18</v>
      </c>
      <c r="S64" s="516">
        <v>93</v>
      </c>
      <c r="T64" s="516">
        <v>10</v>
      </c>
      <c r="U64" s="622">
        <v>10</v>
      </c>
      <c r="V64" s="622">
        <v>11</v>
      </c>
      <c r="W64" s="623">
        <v>10</v>
      </c>
      <c r="X64" s="460">
        <v>10</v>
      </c>
      <c r="Y64" s="460">
        <v>10</v>
      </c>
      <c r="Z64" s="460">
        <v>10</v>
      </c>
      <c r="AA64" s="460">
        <v>10</v>
      </c>
      <c r="AB64" s="516">
        <v>8</v>
      </c>
      <c r="AC64" s="516">
        <v>8</v>
      </c>
      <c r="AD64" s="516">
        <v>8</v>
      </c>
      <c r="AE64" s="516">
        <v>8</v>
      </c>
      <c r="AF64" s="516">
        <v>8</v>
      </c>
      <c r="AG64" s="516">
        <v>8</v>
      </c>
      <c r="AH64" s="516">
        <v>8</v>
      </c>
      <c r="AI64" s="516">
        <v>8</v>
      </c>
      <c r="AJ64" s="516">
        <v>8</v>
      </c>
      <c r="AK64" s="516">
        <v>8</v>
      </c>
      <c r="AL64" s="516">
        <v>8</v>
      </c>
      <c r="AM64" s="516">
        <v>8</v>
      </c>
      <c r="AN64" s="516">
        <v>8</v>
      </c>
      <c r="AO64" s="516">
        <v>8</v>
      </c>
      <c r="AP64" s="516">
        <v>8</v>
      </c>
      <c r="AQ64" s="516">
        <v>8</v>
      </c>
      <c r="AR64" s="516">
        <v>8</v>
      </c>
      <c r="AS64" s="516">
        <v>8</v>
      </c>
      <c r="AT64" s="516">
        <v>8</v>
      </c>
      <c r="AU64" s="516">
        <v>8</v>
      </c>
      <c r="AV64" s="516">
        <v>8</v>
      </c>
      <c r="AW64" s="516">
        <v>8</v>
      </c>
      <c r="AX64" s="516">
        <v>8</v>
      </c>
      <c r="AY64" s="516">
        <v>8</v>
      </c>
      <c r="AZ64" s="516">
        <v>8</v>
      </c>
      <c r="BA64" s="516">
        <v>8</v>
      </c>
      <c r="BB64" s="516">
        <v>8</v>
      </c>
      <c r="BC64" s="516">
        <v>8</v>
      </c>
      <c r="BD64" s="516">
        <v>8</v>
      </c>
      <c r="BE64" s="516">
        <v>8</v>
      </c>
      <c r="BF64" s="516">
        <v>8</v>
      </c>
      <c r="BG64" s="516">
        <v>8</v>
      </c>
      <c r="BH64" s="516">
        <v>8</v>
      </c>
      <c r="BI64" s="516">
        <v>8</v>
      </c>
      <c r="BJ64" s="516">
        <v>8</v>
      </c>
      <c r="BK64" s="516">
        <v>8</v>
      </c>
      <c r="BL64" s="516">
        <v>8</v>
      </c>
      <c r="BM64" s="516">
        <v>8</v>
      </c>
      <c r="BN64" s="516">
        <v>8</v>
      </c>
      <c r="BO64" s="516">
        <v>8</v>
      </c>
      <c r="BP64" s="516">
        <v>8</v>
      </c>
      <c r="BQ64" s="516">
        <v>8</v>
      </c>
      <c r="BR64" s="516">
        <v>8</v>
      </c>
      <c r="BS64" s="516">
        <v>8</v>
      </c>
      <c r="BT64" s="516">
        <v>8</v>
      </c>
      <c r="BU64" s="516">
        <v>8</v>
      </c>
      <c r="BV64" s="516">
        <v>8</v>
      </c>
      <c r="BW64" s="516">
        <v>8</v>
      </c>
      <c r="BX64" s="516">
        <v>8</v>
      </c>
      <c r="BY64" s="516">
        <v>8</v>
      </c>
      <c r="BZ64" s="516">
        <v>8</v>
      </c>
      <c r="CA64" s="516">
        <v>8</v>
      </c>
      <c r="CB64" s="516">
        <v>8</v>
      </c>
      <c r="CC64" s="516">
        <v>8</v>
      </c>
      <c r="CD64" s="516">
        <v>8</v>
      </c>
      <c r="CE64" s="516">
        <v>8</v>
      </c>
      <c r="CF64" s="516">
        <v>11</v>
      </c>
    </row>
  </sheetData>
  <sheetProtection formatColumns="0" formatRows="0" autoFilter="0" sort="0" insertRows="0" insertColumns="1" deleteRows="0" deleteColumns="0"/>
  <mergeCells count="79">
    <mergeCell ref="E5:K5"/>
    <mergeCell ref="E6:K6"/>
    <mergeCell ref="E9:R9"/>
    <mergeCell ref="S9:S10"/>
    <mergeCell ref="E10:F10"/>
    <mergeCell ref="H10:I10"/>
    <mergeCell ref="L10:M10"/>
    <mergeCell ref="D14:D30"/>
    <mergeCell ref="H14:R14"/>
    <mergeCell ref="H15:R15"/>
    <mergeCell ref="H16:R16"/>
    <mergeCell ref="E62:R62"/>
    <mergeCell ref="E28:P28"/>
    <mergeCell ref="U28:U30"/>
    <mergeCell ref="V28:V30"/>
    <mergeCell ref="AC14:AC27"/>
    <mergeCell ref="E17:P17"/>
    <mergeCell ref="U17:U27"/>
    <mergeCell ref="V17:V27"/>
    <mergeCell ref="E14:G14"/>
    <mergeCell ref="E15:G15"/>
    <mergeCell ref="E16:G16"/>
    <mergeCell ref="U37:U39"/>
    <mergeCell ref="V37:V39"/>
    <mergeCell ref="U34:U36"/>
    <mergeCell ref="V34:V36"/>
    <mergeCell ref="D31:D39"/>
    <mergeCell ref="E31:G31"/>
    <mergeCell ref="H31:R31"/>
    <mergeCell ref="AC31:AC36"/>
    <mergeCell ref="E32:G32"/>
    <mergeCell ref="H32:R32"/>
    <mergeCell ref="E33:G33"/>
    <mergeCell ref="H33:R33"/>
    <mergeCell ref="E34:P34"/>
    <mergeCell ref="U46:U48"/>
    <mergeCell ref="V46:V48"/>
    <mergeCell ref="U43:U45"/>
    <mergeCell ref="V43:V45"/>
    <mergeCell ref="D40:D48"/>
    <mergeCell ref="E40:G40"/>
    <mergeCell ref="H40:R40"/>
    <mergeCell ref="AC40:AC45"/>
    <mergeCell ref="E41:G41"/>
    <mergeCell ref="H41:R41"/>
    <mergeCell ref="E42:G42"/>
    <mergeCell ref="H42:R42"/>
    <mergeCell ref="E43:P43"/>
    <mergeCell ref="U55:U57"/>
    <mergeCell ref="V55:V57"/>
    <mergeCell ref="U52:U54"/>
    <mergeCell ref="V52:V54"/>
    <mergeCell ref="D49:D57"/>
    <mergeCell ref="E49:G49"/>
    <mergeCell ref="H49:R49"/>
    <mergeCell ref="AC49:AC54"/>
    <mergeCell ref="E50:G50"/>
    <mergeCell ref="H50:R50"/>
    <mergeCell ref="E51:G51"/>
    <mergeCell ref="H51:R51"/>
    <mergeCell ref="E52:P52"/>
    <mergeCell ref="E19:E22"/>
    <mergeCell ref="F19:F22"/>
    <mergeCell ref="G19:G22"/>
    <mergeCell ref="L19:M19"/>
    <mergeCell ref="S19:S22"/>
    <mergeCell ref="H20:H21"/>
    <mergeCell ref="I20:I21"/>
    <mergeCell ref="J20:J21"/>
    <mergeCell ref="K20:K21"/>
    <mergeCell ref="E23:E26"/>
    <mergeCell ref="F23:F26"/>
    <mergeCell ref="G23:G26"/>
    <mergeCell ref="L23:M23"/>
    <mergeCell ref="S23:S26"/>
    <mergeCell ref="H24:H25"/>
    <mergeCell ref="I24:I25"/>
    <mergeCell ref="J24:J25"/>
    <mergeCell ref="K24:K25"/>
  </mergeCells>
  <dataValidations count="8">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47F37-4A88-F608-6059-AA8AAA6A61E2}"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8" width="10.7109375" hidden="1" customWidth="1"/>
    <col min="6" max="6" style="1377" width="16.8515625" hidden="1" customWidth="1"/>
    <col min="7" max="7" style="1653" width="5.57421875" hidden="1" customWidth="1"/>
    <col min="8" max="8" style="1646" width="3.00390625" customWidth="1"/>
    <col min="9" max="9" style="1646" width="7.00390625" customWidth="1"/>
    <col min="10" max="10" style="1646" width="56.00390625" customWidth="1"/>
    <col min="11" max="11" style="1646" width="10.00390625" customWidth="1"/>
    <col min="12" max="12" style="1646" width="40.57421875" hidden="1" customWidth="1"/>
    <col min="13" max="13" style="1646" width="40.7109375" customWidth="1"/>
    <col min="14" max="16" style="1646" width="40.57421875" customWidth="1"/>
    <col min="17" max="17" style="1377" width="9.7109375" hidden="1" customWidth="1"/>
    <col min="18" max="18" style="1646" width="102.00390625" customWidth="1"/>
    <col min="19" max="19" style="1377" width="9.00390625" customWidth="1"/>
    <col min="20" max="20" style="1653" width="5.00390625" customWidth="1"/>
    <col min="21" max="21" style="1653" width="3.00390625" customWidth="1"/>
    <col min="22" max="25" style="1377" width="3.00390625" customWidth="1"/>
    <col min="26" max="26" style="1653" width="10.00390625" customWidth="1"/>
    <col min="27" max="27" style="1377" width="34.00390625" customWidth="1"/>
    <col min="28" max="28" style="1377" width="9.00390625" customWidth="1"/>
    <col min="29" max="29" style="747" width="8.00390625" customWidth="1"/>
    <col min="30" max="34" style="1377" width="8.00390625" customWidth="1"/>
    <col min="35" max="39" style="1643" width="8.00390625" customWidth="1"/>
    <col min="40" max="40" style="1646" width="5.421875" hidden="1" customWidth="1"/>
  </cols>
  <sheetData>
    <row s="1377" customFormat="1" customHeight="1" ht="33.75" hidden="1">
      <c r="A1" s="998"/>
      <c r="B1" s="998"/>
      <c r="C1" s="998"/>
      <c r="D1" s="998"/>
      <c r="E1" s="998"/>
      <c r="G1" s="1647"/>
      <c r="H1" s="889"/>
      <c r="L1" s="1377">
        <v>4</v>
      </c>
      <c r="M1" s="1377">
        <v>4</v>
      </c>
      <c r="N1" s="1377" t="s">
        <v>91</v>
      </c>
      <c r="O1" s="1377">
        <v>4</v>
      </c>
      <c r="P1" s="1377">
        <v>4</v>
      </c>
      <c r="T1" s="1647"/>
      <c r="U1" s="1647"/>
      <c r="Z1" s="1647"/>
      <c r="AN1" s="1377" t="s">
        <v>14</v>
      </c>
    </row>
    <row s="1377" customFormat="1" customHeight="1" ht="78.75" hidden="1">
      <c r="A2" s="998"/>
      <c r="B2" s="2061" t="s">
        <v>690</v>
      </c>
      <c r="C2" s="2061" t="s">
        <v>691</v>
      </c>
      <c r="D2" s="2060" t="s">
        <v>692</v>
      </c>
      <c r="E2" s="2064">
        <f>RIGHT(I2,LEN(I2)-SEARCH("#",SUBSTITUTE(I2,".","#",LEN(I2)-LEN(SUBSTITUTE(I2,".","")))))</f>
      </c>
      <c r="F2" s="2066">
        <f>J2</f>
        <v>0</v>
      </c>
      <c r="G2" s="1647"/>
      <c r="H2" s="2067"/>
      <c r="I2" s="2057"/>
      <c r="J2" s="551"/>
      <c r="K2" s="2027" t="s">
        <v>568</v>
      </c>
      <c r="L2" s="762"/>
      <c r="M2" s="762"/>
      <c r="N2" s="762"/>
      <c r="O2" s="762"/>
      <c r="P2" s="762"/>
      <c r="Q2" s="554"/>
      <c r="R2" s="1536" t="s">
        <v>569</v>
      </c>
      <c r="S2" s="554"/>
      <c r="T2" s="1647"/>
      <c r="U2" s="1647"/>
      <c r="Z2" s="1647"/>
      <c r="AC2" s="555"/>
      <c r="AI2" s="1643"/>
      <c r="AJ2" s="1643"/>
      <c r="AK2" s="1643"/>
      <c r="AL2" s="1643"/>
      <c r="AM2" s="1643"/>
      <c r="AN2" s="1377">
        <v>0</v>
      </c>
    </row>
    <row customHeight="1" ht="11.25" hidden="1">
      <c r="E3" s="2059" t="s">
        <v>693</v>
      </c>
      <c r="L3" s="1642">
        <f>0</f>
        <v>0</v>
      </c>
      <c r="M3" s="1642">
        <v>1</v>
      </c>
      <c r="N3" s="1646">
        <f>0</f>
        <v>0</v>
      </c>
      <c r="O3" s="1646">
        <f>0</f>
        <v>0</v>
      </c>
      <c r="P3" s="1646">
        <f>0</f>
        <v>0</v>
      </c>
      <c r="AN3" s="1642">
        <v>0</v>
      </c>
    </row>
    <row s="1643" customFormat="1" customHeight="1" ht="11.25" hidden="1">
      <c r="A4" s="998"/>
      <c r="B4" s="998"/>
      <c r="C4" s="998"/>
      <c r="E4" s="998"/>
      <c r="F4" s="1377"/>
      <c r="G4" s="1647"/>
      <c r="H4" s="631"/>
      <c r="N4" s="1643"/>
      <c r="O4" s="1643"/>
      <c r="P4" s="1643"/>
      <c r="Q4" s="1377"/>
      <c r="R4" s="1643">
        <v>4</v>
      </c>
      <c r="S4" s="1377"/>
      <c r="T4" s="1647"/>
      <c r="U4" s="1647"/>
      <c r="V4" s="1377"/>
      <c r="W4" s="1377"/>
      <c r="X4" s="1377"/>
      <c r="Y4" s="1377"/>
      <c r="Z4" s="1647"/>
      <c r="AA4" s="1377"/>
      <c r="AB4" s="1377"/>
      <c r="AC4" s="555"/>
      <c r="AD4" s="1377"/>
      <c r="AE4" s="1377"/>
      <c r="AF4" s="1377"/>
      <c r="AG4" s="1377"/>
      <c r="AH4" s="1377"/>
      <c r="AN4" s="1643">
        <v>0</v>
      </c>
    </row>
    <row customHeight="1" ht="11.549999999999999">
      <c r="N5" s="1646"/>
      <c r="O5" s="1646"/>
      <c r="P5" s="1646"/>
      <c r="AN5" s="1642">
        <v>11</v>
      </c>
    </row>
    <row customHeight="1" ht="57.75">
      <c r="I6" s="2337" t="s">
        <v>694</v>
      </c>
      <c r="J6" s="2337"/>
      <c r="K6" s="2337"/>
      <c r="L6" s="2337"/>
      <c r="M6" s="2337"/>
      <c r="N6" s="2337"/>
      <c r="O6" s="2337"/>
      <c r="P6" s="2337"/>
      <c r="R6" s="567"/>
      <c r="AN6" s="1642">
        <v>55</v>
      </c>
    </row>
    <row customHeight="1" ht="25.2">
      <c r="I7" s="2279" t="str">
        <f>IF(org=0,"Не определено",org)</f>
        <v>ПАО "КГК"</v>
      </c>
      <c r="J7" s="2279"/>
      <c r="K7" s="2279"/>
      <c r="L7" s="2279"/>
      <c r="M7" s="2279"/>
      <c r="N7" s="2279"/>
      <c r="O7" s="2279"/>
      <c r="P7" s="2279"/>
      <c r="AN7" s="1642">
        <v>24</v>
      </c>
    </row>
    <row customHeight="1" ht="11.549999999999999">
      <c r="I8" s="1146"/>
      <c r="J8" s="1146"/>
      <c r="K8" s="1146"/>
      <c r="L8" s="1146"/>
      <c r="M8" s="1146"/>
      <c r="N8" s="1147" t="s">
        <v>22</v>
      </c>
      <c r="O8" s="1147" t="s">
        <v>22</v>
      </c>
      <c r="P8" s="1147" t="s">
        <v>22</v>
      </c>
      <c r="AN8" s="1642">
        <v>11</v>
      </c>
    </row>
    <row s="1653" customFormat="1" customHeight="1" ht="30" hidden="1">
      <c r="A9" s="1178"/>
      <c r="B9" s="1178"/>
      <c r="C9" s="1178"/>
      <c r="E9" s="1178"/>
      <c r="H9" s="1653"/>
      <c r="L9" s="900"/>
      <c r="M9" s="900" t="s">
        <v>128</v>
      </c>
      <c r="N9" s="900" t="s">
        <v>132</v>
      </c>
      <c r="O9" s="900" t="s">
        <v>134</v>
      </c>
      <c r="P9" s="900" t="s">
        <v>135</v>
      </c>
      <c r="AN9" s="1647">
        <v>1</v>
      </c>
    </row>
    <row customHeight="1" ht="11.549999999999999">
      <c r="E10" s="2058" t="s">
        <v>695</v>
      </c>
      <c r="I10" s="722"/>
      <c r="J10" s="2397" t="s">
        <v>116</v>
      </c>
      <c r="K10" s="2398"/>
      <c r="L10" s="2037" t="str">
        <f>IF(L9="","",INDEX(DIFFERENTIATION_UNMERGE_VD,MATCH(L9,DIFFERENTIATION_ID_DIFF,0)))</f>
        <v/>
      </c>
      <c r="M10" s="2037"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N10" s="2423" t="str">
        <f>IF(N9="","",INDEX(DIFFERENTIATION_UNMERGE_VD,MATCH(N9,DIFFERENTIATION_ID_DIFF,0)))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O10" s="2423" t="str">
        <f>IF(O9="","",INDEX(DIFFERENTIATION_UNMERGE_VD,MATCH(O9,DIFFERENTIATION_ID_DIFF,0)))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P10" s="2423" t="str">
        <f>IF(P9="","",INDEX(DIFFERENTIATION_UNMERGE_VD,MATCH(P9,DIFFERENTIATION_ID_DIFF,0)))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R10" s="2157" t="s">
        <v>315</v>
      </c>
      <c r="AN10" s="1642">
        <v>11</v>
      </c>
    </row>
    <row customHeight="1" ht="11.549999999999999">
      <c r="E11" s="2058" t="s">
        <v>696</v>
      </c>
      <c r="I11" s="722"/>
      <c r="J11" s="2397" t="s">
        <v>576</v>
      </c>
      <c r="K11" s="2398"/>
      <c r="L11" s="2037" t="str">
        <f>IF(L9="","",INDEX(DIFFERENTIATION_UNMERGE_AREA,MATCH(L9,DIFFERENTIATION_ID_DIFF,0)))</f>
        <v/>
      </c>
      <c r="M11" s="2037" t="str">
        <f>IF(M9="","",INDEX(DIFFERENTIATION_UNMERGE_AREA,MATCH(M9,DIFFERENTIATION_ID_DIFF,0)))</f>
        <v>Территория 1</v>
      </c>
      <c r="N11" s="2423" t="str">
        <f>IF(N9="","",INDEX(DIFFERENTIATION_UNMERGE_AREA,MATCH(N9,DIFFERENTIATION_ID_DIFF,0)))</f>
        <v>Территория 1</v>
      </c>
      <c r="O11" s="2423" t="str">
        <f>IF(O9="","",INDEX(DIFFERENTIATION_UNMERGE_AREA,MATCH(O9,DIFFERENTIATION_ID_DIFF,0)))</f>
        <v>Территория 2</v>
      </c>
      <c r="P11" s="2423" t="str">
        <f>IF(P9="","",INDEX(DIFFERENTIATION_UNMERGE_AREA,MATCH(P9,DIFFERENTIATION_ID_DIFF,0)))</f>
        <v>Территория 3</v>
      </c>
      <c r="R11" s="2157"/>
      <c r="AN11" s="1642">
        <v>11</v>
      </c>
    </row>
    <row customHeight="1" ht="11.549999999999999">
      <c r="E12" s="2058" t="s">
        <v>697</v>
      </c>
      <c r="I12" s="1673"/>
      <c r="J12" s="2397" t="s">
        <v>577</v>
      </c>
      <c r="K12" s="2398"/>
      <c r="L12" s="2037" t="str">
        <f>IF(L9="","",INDEX(DIFFERENTIATION_UNMERGE_SYSTEM,MATCH(L9,DIFFERENTIATION_ID_DIFF,0)))</f>
        <v/>
      </c>
      <c r="M12" s="2037" t="str">
        <f>IF(M9="","",INDEX(DIFFERENTIATION_UNMERGE_SYSTEM,MATCH(M9,DIFFERENTIATION_ID_DIFF,0)))</f>
        <v>СП "Тепловые сети"</v>
      </c>
      <c r="N12" s="2423" t="str">
        <f>IF(N9="","",INDEX(DIFFERENTIATION_UNMERGE_SYSTEM,MATCH(N9,DIFFERENTIATION_ID_DIFF,0)))</f>
        <v>ОП "Энергетические сети"</v>
      </c>
      <c r="O12" s="2423" t="str">
        <f>IF(O9="","",INDEX(DIFFERENTIATION_UNMERGE_SYSTEM,MATCH(O9,DIFFERENTIATION_ID_DIFF,0)))</f>
        <v>без дифференциации</v>
      </c>
      <c r="P12" s="2423" t="str">
        <f>IF(P9="","",INDEX(DIFFERENTIATION_UNMERGE_SYSTEM,MATCH(P9,DIFFERENTIATION_ID_DIFF,0)))</f>
        <v>без дифференциации</v>
      </c>
      <c r="R12" s="2157"/>
      <c r="AN12" s="1642">
        <v>11</v>
      </c>
    </row>
    <row customHeight="1" ht="11.549999999999999">
      <c r="E13" s="2058" t="s">
        <v>698</v>
      </c>
      <c r="F13" s="2058" t="s">
        <v>699</v>
      </c>
      <c r="I13" s="2399" t="s">
        <v>314</v>
      </c>
      <c r="J13" s="2400"/>
      <c r="K13" s="2400"/>
      <c r="L13" s="2035"/>
      <c r="M13" s="2075"/>
      <c r="N13" s="2397"/>
      <c r="O13" s="2397"/>
      <c r="P13" s="2397"/>
      <c r="R13" s="2157"/>
      <c r="AN13" s="1642">
        <v>11</v>
      </c>
    </row>
    <row customHeight="1" ht="24">
      <c r="I14" s="2028" t="s">
        <v>89</v>
      </c>
      <c r="J14" s="2028" t="s">
        <v>316</v>
      </c>
      <c r="K14" s="2028" t="s">
        <v>578</v>
      </c>
      <c r="L14" s="2068" t="s">
        <v>317</v>
      </c>
      <c r="M14" s="2069" t="s">
        <v>317</v>
      </c>
      <c r="N14" s="2292" t="s">
        <v>317</v>
      </c>
      <c r="O14" s="2292" t="s">
        <v>317</v>
      </c>
      <c r="P14" s="2292" t="s">
        <v>317</v>
      </c>
      <c r="R14" s="2157"/>
      <c r="AN14" s="1642">
        <v>23</v>
      </c>
    </row>
    <row customHeight="1" ht="24">
      <c r="A15" s="2062"/>
      <c r="B15" s="2061" t="s">
        <v>700</v>
      </c>
      <c r="C15" s="2061" t="s">
        <v>701</v>
      </c>
      <c r="D15" s="2060" t="s">
        <v>702</v>
      </c>
      <c r="E15" s="2064" t="s">
        <v>703</v>
      </c>
      <c r="F15" s="2064" t="s">
        <v>703</v>
      </c>
      <c r="G15" s="1647" t="s">
        <v>606</v>
      </c>
      <c r="H15" s="2029"/>
      <c r="I15" s="1641">
        <v>1</v>
      </c>
      <c r="J15" s="2030" t="s">
        <v>704</v>
      </c>
      <c r="K15" s="2028" t="s">
        <v>320</v>
      </c>
      <c r="L15" s="673"/>
      <c r="M15" s="829"/>
      <c r="N15" s="673"/>
      <c r="O15" s="673"/>
      <c r="P15" s="673"/>
      <c r="Q15" s="554" t="s">
        <v>705</v>
      </c>
      <c r="R15" s="1536" t="s">
        <v>706</v>
      </c>
      <c r="S15" s="554" t="s">
        <v>705</v>
      </c>
      <c r="AN15" s="1642">
        <v>23</v>
      </c>
    </row>
    <row customHeight="1" ht="35.699999999999996">
      <c r="A16" s="2062"/>
      <c r="B16" s="2061" t="s">
        <v>707</v>
      </c>
      <c r="C16" s="2061" t="s">
        <v>708</v>
      </c>
      <c r="D16" s="2060" t="s">
        <v>692</v>
      </c>
      <c r="E16" s="2064" t="s">
        <v>703</v>
      </c>
      <c r="F16" s="2064" t="s">
        <v>703</v>
      </c>
      <c r="H16" s="2029"/>
      <c r="I16" s="1640">
        <v>2</v>
      </c>
      <c r="J16" s="2071" t="s">
        <v>709</v>
      </c>
      <c r="K16" s="2070" t="s">
        <v>568</v>
      </c>
      <c r="L16" s="2076"/>
      <c r="M16" s="1686"/>
      <c r="N16" s="2076"/>
      <c r="O16" s="2076"/>
      <c r="P16" s="2076"/>
      <c r="Q16" s="554" t="s">
        <v>705</v>
      </c>
      <c r="R16" s="1536" t="s">
        <v>710</v>
      </c>
      <c r="S16" s="554" t="s">
        <v>705</v>
      </c>
      <c r="AN16" s="1642">
        <v>34</v>
      </c>
    </row>
    <row s="1653" customFormat="1" customHeight="1" ht="17.25" hidden="1">
      <c r="A17" s="1178"/>
      <c r="B17" s="1178"/>
      <c r="C17" s="1178"/>
      <c r="D17" s="1178"/>
      <c r="E17" s="1178"/>
      <c r="H17" s="1335"/>
      <c r="I17" s="1024" t="s">
        <v>711</v>
      </c>
      <c r="J17" s="1002"/>
      <c r="K17" s="1024"/>
      <c r="L17" s="1003"/>
      <c r="M17" s="1003"/>
      <c r="N17" s="1003"/>
      <c r="O17" s="1003"/>
      <c r="P17" s="1003"/>
      <c r="R17" s="1396"/>
      <c r="AN17" s="1647">
        <v>1</v>
      </c>
    </row>
    <row s="1377" customFormat="1" customHeight="1" ht="24">
      <c r="A18" s="998"/>
      <c r="B18" s="998"/>
      <c r="C18" s="998"/>
      <c r="D18" s="998"/>
      <c r="E18" s="998"/>
      <c r="G18" s="1647"/>
      <c r="H18" s="1644"/>
      <c r="I18" s="581"/>
      <c r="J18" s="582" t="s">
        <v>647</v>
      </c>
      <c r="K18" s="583"/>
      <c r="L18" s="2078"/>
      <c r="M18" s="584"/>
      <c r="N18" s="2685"/>
      <c r="O18" s="2686"/>
      <c r="P18" s="2687"/>
      <c r="Q18" s="554"/>
      <c r="R18" s="1536" t="s">
        <v>648</v>
      </c>
      <c r="S18" s="554"/>
      <c r="T18" s="1647"/>
      <c r="U18" s="1647"/>
      <c r="Z18" s="1647"/>
      <c r="AC18" s="555"/>
      <c r="AI18" s="1643"/>
      <c r="AJ18" s="1643"/>
      <c r="AK18" s="1643"/>
      <c r="AL18" s="1643"/>
      <c r="AM18" s="1643"/>
      <c r="AN18" s="1377">
        <v>23</v>
      </c>
    </row>
    <row customHeight="1" ht="19.95">
      <c r="A19" s="2062"/>
      <c r="B19" s="2061" t="s">
        <v>712</v>
      </c>
      <c r="C19" s="2061" t="s">
        <v>713</v>
      </c>
      <c r="D19" s="2060" t="s">
        <v>692</v>
      </c>
      <c r="E19" s="2064" t="s">
        <v>703</v>
      </c>
      <c r="F19" s="2064" t="s">
        <v>703</v>
      </c>
      <c r="H19" s="2029"/>
      <c r="I19" s="1675">
        <v>3</v>
      </c>
      <c r="J19" s="2030" t="s">
        <v>713</v>
      </c>
      <c r="K19" s="2026" t="s">
        <v>568</v>
      </c>
      <c r="L19" s="738"/>
      <c r="M19" s="568"/>
      <c r="N19" s="738"/>
      <c r="O19" s="738"/>
      <c r="P19" s="738"/>
      <c r="Q19" s="554"/>
      <c r="R19" s="1536" t="s">
        <v>714</v>
      </c>
      <c r="S19" s="554"/>
      <c r="AN19" s="1642">
        <v>19</v>
      </c>
    </row>
    <row customHeight="1" ht="77.7">
      <c r="A20" s="2062"/>
      <c r="B20" s="2061" t="s">
        <v>715</v>
      </c>
      <c r="C20" s="2061" t="s">
        <v>716</v>
      </c>
      <c r="D20" s="2060" t="s">
        <v>692</v>
      </c>
      <c r="E20" s="2064" t="s">
        <v>703</v>
      </c>
      <c r="F20" s="2064" t="s">
        <v>703</v>
      </c>
      <c r="H20" s="2029"/>
      <c r="I20" s="1675">
        <v>4</v>
      </c>
      <c r="J20" s="2030" t="s">
        <v>717</v>
      </c>
      <c r="K20" s="2026" t="s">
        <v>611</v>
      </c>
      <c r="L20" s="738"/>
      <c r="M20" s="568"/>
      <c r="N20" s="738"/>
      <c r="O20" s="738"/>
      <c r="P20" s="738"/>
      <c r="Q20" s="554"/>
      <c r="R20" s="1536"/>
      <c r="S20" s="554"/>
      <c r="AN20" s="1642">
        <v>74</v>
      </c>
    </row>
    <row customHeight="1" ht="35.699999999999996">
      <c r="A21" s="2062"/>
      <c r="B21" s="2061" t="s">
        <v>718</v>
      </c>
      <c r="C21" s="2061" t="s">
        <v>719</v>
      </c>
      <c r="D21" s="2060" t="s">
        <v>692</v>
      </c>
      <c r="E21" s="2064" t="s">
        <v>703</v>
      </c>
      <c r="F21" s="2064" t="s">
        <v>703</v>
      </c>
      <c r="H21" s="2029"/>
      <c r="I21" s="1675">
        <v>5</v>
      </c>
      <c r="J21" s="2030" t="s">
        <v>720</v>
      </c>
      <c r="K21" s="2026" t="s">
        <v>611</v>
      </c>
      <c r="L21" s="738"/>
      <c r="M21" s="568"/>
      <c r="N21" s="738"/>
      <c r="O21" s="738"/>
      <c r="P21" s="738"/>
      <c r="Q21" s="554"/>
      <c r="R21" s="1536" t="s">
        <v>714</v>
      </c>
      <c r="S21" s="554"/>
      <c r="AN21" s="1642">
        <v>34</v>
      </c>
    </row>
    <row customHeight="1" ht="48.29999999999999">
      <c r="A22" s="2062"/>
      <c r="B22" s="2061" t="s">
        <v>721</v>
      </c>
      <c r="C22" s="2061" t="s">
        <v>722</v>
      </c>
      <c r="D22" s="2060" t="s">
        <v>692</v>
      </c>
      <c r="E22" s="2064" t="s">
        <v>703</v>
      </c>
      <c r="F22" s="2064" t="s">
        <v>703</v>
      </c>
      <c r="H22" s="2029"/>
      <c r="I22" s="1675">
        <v>6</v>
      </c>
      <c r="J22" s="2030" t="s">
        <v>723</v>
      </c>
      <c r="K22" s="2026" t="s">
        <v>611</v>
      </c>
      <c r="L22" s="738"/>
      <c r="M22" s="568"/>
      <c r="N22" s="738"/>
      <c r="O22" s="738"/>
      <c r="P22" s="738"/>
      <c r="Q22" s="554"/>
      <c r="R22" s="1536" t="s">
        <v>724</v>
      </c>
      <c r="S22" s="554"/>
      <c r="AN22" s="1642">
        <v>46</v>
      </c>
    </row>
    <row customHeight="1" ht="19.95">
      <c r="A23" s="2062"/>
      <c r="B23" s="2061" t="s">
        <v>725</v>
      </c>
      <c r="C23" s="2061" t="s">
        <v>726</v>
      </c>
      <c r="D23" s="2060" t="s">
        <v>692</v>
      </c>
      <c r="E23" s="2064" t="s">
        <v>703</v>
      </c>
      <c r="F23" s="2064" t="s">
        <v>703</v>
      </c>
      <c r="H23" s="2029"/>
      <c r="I23" s="1675" t="s">
        <v>727</v>
      </c>
      <c r="J23" s="1535" t="s">
        <v>728</v>
      </c>
      <c r="K23" s="2026" t="s">
        <v>611</v>
      </c>
      <c r="L23" s="738"/>
      <c r="M23" s="568"/>
      <c r="N23" s="738"/>
      <c r="O23" s="738"/>
      <c r="P23" s="738"/>
      <c r="Q23" s="554"/>
      <c r="R23" s="1536" t="s">
        <v>714</v>
      </c>
      <c r="S23" s="554"/>
      <c r="AN23" s="1642">
        <v>19</v>
      </c>
    </row>
    <row customHeight="1" ht="19.95">
      <c r="A24" s="2062"/>
      <c r="B24" s="2061" t="s">
        <v>729</v>
      </c>
      <c r="C24" s="2061" t="s">
        <v>730</v>
      </c>
      <c r="D24" s="2060" t="s">
        <v>692</v>
      </c>
      <c r="E24" s="2064" t="s">
        <v>703</v>
      </c>
      <c r="F24" s="2064" t="s">
        <v>703</v>
      </c>
      <c r="H24" s="2029"/>
      <c r="I24" s="1675" t="s">
        <v>731</v>
      </c>
      <c r="J24" s="1535" t="s">
        <v>732</v>
      </c>
      <c r="K24" s="2026" t="s">
        <v>611</v>
      </c>
      <c r="L24" s="738"/>
      <c r="M24" s="568"/>
      <c r="N24" s="738"/>
      <c r="O24" s="738"/>
      <c r="P24" s="738"/>
      <c r="Q24" s="554"/>
      <c r="R24" s="1536"/>
      <c r="S24" s="554"/>
      <c r="AN24" s="1642">
        <v>19</v>
      </c>
    </row>
    <row customHeight="1" ht="24">
      <c r="A25" s="2062"/>
      <c r="B25" s="2061" t="s">
        <v>733</v>
      </c>
      <c r="C25" s="2061" t="s">
        <v>734</v>
      </c>
      <c r="D25" s="2060" t="s">
        <v>692</v>
      </c>
      <c r="E25" s="2064" t="s">
        <v>703</v>
      </c>
      <c r="F25" s="2064" t="s">
        <v>703</v>
      </c>
      <c r="H25" s="2029"/>
      <c r="I25" s="1675" t="s">
        <v>735</v>
      </c>
      <c r="J25" s="1535" t="s">
        <v>736</v>
      </c>
      <c r="K25" s="2026" t="s">
        <v>611</v>
      </c>
      <c r="L25" s="738"/>
      <c r="M25" s="568"/>
      <c r="N25" s="738"/>
      <c r="O25" s="738"/>
      <c r="P25" s="738"/>
      <c r="Q25" s="554"/>
      <c r="R25" s="1536"/>
      <c r="S25" s="554"/>
      <c r="AN25" s="1642">
        <v>23</v>
      </c>
    </row>
    <row customHeight="1" ht="24">
      <c r="A26" s="2062"/>
      <c r="B26" s="2061" t="s">
        <v>737</v>
      </c>
      <c r="C26" s="2061" t="s">
        <v>738</v>
      </c>
      <c r="D26" s="2060" t="s">
        <v>692</v>
      </c>
      <c r="E26" s="2064" t="s">
        <v>703</v>
      </c>
      <c r="F26" s="2064" t="s">
        <v>703</v>
      </c>
      <c r="H26" s="2029"/>
      <c r="I26" s="1675">
        <v>7</v>
      </c>
      <c r="J26" s="2030" t="s">
        <v>738</v>
      </c>
      <c r="K26" s="2026" t="s">
        <v>739</v>
      </c>
      <c r="L26" s="738"/>
      <c r="M26" s="568"/>
      <c r="N26" s="738"/>
      <c r="O26" s="738"/>
      <c r="P26" s="738"/>
      <c r="Q26" s="554"/>
      <c r="R26" s="1536"/>
      <c r="S26" s="554"/>
      <c r="AN26" s="1642">
        <v>23</v>
      </c>
    </row>
    <row customHeight="1" ht="24">
      <c r="A27" s="2062"/>
      <c r="B27" s="2061" t="s">
        <v>740</v>
      </c>
      <c r="C27" s="2061" t="s">
        <v>741</v>
      </c>
      <c r="D27" s="2060" t="s">
        <v>692</v>
      </c>
      <c r="E27" s="2064" t="s">
        <v>703</v>
      </c>
      <c r="F27" s="2064" t="s">
        <v>703</v>
      </c>
      <c r="H27" s="2029"/>
      <c r="I27" s="1675">
        <v>8</v>
      </c>
      <c r="J27" s="2030" t="s">
        <v>741</v>
      </c>
      <c r="K27" s="2026" t="s">
        <v>649</v>
      </c>
      <c r="L27" s="738"/>
      <c r="M27" s="568"/>
      <c r="N27" s="738"/>
      <c r="O27" s="738"/>
      <c r="P27" s="738"/>
      <c r="Q27" s="554"/>
      <c r="R27" s="1536"/>
      <c r="S27" s="554"/>
      <c r="AN27" s="1642">
        <v>23</v>
      </c>
    </row>
    <row customHeight="1" ht="35.699999999999996">
      <c r="A28" s="2062"/>
      <c r="B28" s="2061" t="s">
        <v>742</v>
      </c>
      <c r="C28" s="2061" t="s">
        <v>743</v>
      </c>
      <c r="D28" s="2060" t="s">
        <v>692</v>
      </c>
      <c r="E28" s="2064" t="s">
        <v>703</v>
      </c>
      <c r="F28" s="2064" t="s">
        <v>703</v>
      </c>
      <c r="H28" s="2029"/>
      <c r="I28" s="1685">
        <v>9</v>
      </c>
      <c r="J28" s="2030" t="s">
        <v>744</v>
      </c>
      <c r="K28" s="2026" t="s">
        <v>572</v>
      </c>
      <c r="L28" s="738"/>
      <c r="M28" s="568"/>
      <c r="N28" s="738"/>
      <c r="O28" s="738"/>
      <c r="P28" s="738"/>
      <c r="Q28" s="554"/>
      <c r="R28" s="1536"/>
      <c r="S28" s="554"/>
      <c r="AN28" s="1642">
        <v>34</v>
      </c>
    </row>
    <row customHeight="1" ht="35.699999999999996">
      <c r="A29" s="2062"/>
      <c r="B29" s="2061" t="s">
        <v>745</v>
      </c>
      <c r="C29" s="2061" t="s">
        <v>746</v>
      </c>
      <c r="D29" s="2060" t="s">
        <v>692</v>
      </c>
      <c r="E29" s="2064" t="s">
        <v>703</v>
      </c>
      <c r="F29" s="2064" t="s">
        <v>703</v>
      </c>
      <c r="H29" s="2029"/>
      <c r="I29" s="1685">
        <v>10</v>
      </c>
      <c r="J29" s="2030" t="s">
        <v>747</v>
      </c>
      <c r="K29" s="2026" t="s">
        <v>572</v>
      </c>
      <c r="L29" s="738"/>
      <c r="M29" s="568"/>
      <c r="N29" s="738"/>
      <c r="O29" s="738"/>
      <c r="P29" s="738"/>
      <c r="Q29" s="554"/>
      <c r="R29" s="1536"/>
      <c r="S29" s="554"/>
      <c r="AN29" s="1642">
        <v>34</v>
      </c>
    </row>
    <row customHeight="1" ht="24">
      <c r="A30" s="2062"/>
      <c r="B30" s="2061" t="s">
        <v>748</v>
      </c>
      <c r="C30" s="2061" t="s">
        <v>749</v>
      </c>
      <c r="D30" s="2060" t="s">
        <v>692</v>
      </c>
      <c r="E30" s="2064" t="s">
        <v>703</v>
      </c>
      <c r="F30" s="2064" t="s">
        <v>703</v>
      </c>
      <c r="H30" s="2029"/>
      <c r="I30" s="1685">
        <v>11</v>
      </c>
      <c r="J30" s="2030" t="s">
        <v>749</v>
      </c>
      <c r="K30" s="2026" t="s">
        <v>650</v>
      </c>
      <c r="L30" s="2077"/>
      <c r="M30" s="1632"/>
      <c r="N30" s="2077"/>
      <c r="O30" s="2077"/>
      <c r="P30" s="2077"/>
      <c r="Q30" s="554"/>
      <c r="R30" s="1536"/>
      <c r="S30" s="554"/>
      <c r="AN30" s="1642">
        <v>23</v>
      </c>
    </row>
    <row customHeight="1" ht="24">
      <c r="A31" s="2062"/>
      <c r="B31" s="2061" t="s">
        <v>750</v>
      </c>
      <c r="C31" s="2061" t="s">
        <v>751</v>
      </c>
      <c r="D31" s="2060" t="s">
        <v>692</v>
      </c>
      <c r="E31" s="2064" t="s">
        <v>703</v>
      </c>
      <c r="F31" s="2064" t="s">
        <v>703</v>
      </c>
      <c r="H31" s="2029"/>
      <c r="I31" s="1685">
        <v>12</v>
      </c>
      <c r="J31" s="2030" t="s">
        <v>751</v>
      </c>
      <c r="K31" s="2026" t="s">
        <v>650</v>
      </c>
      <c r="L31" s="2077"/>
      <c r="M31" s="1632"/>
      <c r="N31" s="2077"/>
      <c r="O31" s="2077"/>
      <c r="P31" s="2077"/>
      <c r="Q31" s="554"/>
      <c r="R31" s="1536"/>
      <c r="S31" s="554"/>
      <c r="AN31" s="1642">
        <v>23</v>
      </c>
    </row>
    <row customHeight="1" ht="48.29999999999999">
      <c r="A32" s="2062"/>
      <c r="B32" s="2061" t="s">
        <v>752</v>
      </c>
      <c r="C32" s="2061" t="s">
        <v>753</v>
      </c>
      <c r="D32" s="2060" t="s">
        <v>692</v>
      </c>
      <c r="E32" s="2064" t="s">
        <v>703</v>
      </c>
      <c r="F32" s="2064" t="s">
        <v>703</v>
      </c>
      <c r="H32" s="2029"/>
      <c r="I32" s="1685">
        <v>13</v>
      </c>
      <c r="J32" s="2030" t="s">
        <v>754</v>
      </c>
      <c r="K32" s="2026" t="s">
        <v>660</v>
      </c>
      <c r="L32" s="738"/>
      <c r="M32" s="568"/>
      <c r="N32" s="738"/>
      <c r="O32" s="738"/>
      <c r="P32" s="738"/>
      <c r="Q32" s="554"/>
      <c r="R32" s="1536" t="s">
        <v>714</v>
      </c>
      <c r="S32" s="554"/>
      <c r="AN32" s="1642">
        <v>46</v>
      </c>
    </row>
    <row s="1377" customFormat="1" customHeight="1" ht="48.29999999999999">
      <c r="A33" s="2062"/>
      <c r="B33" s="2061" t="s">
        <v>755</v>
      </c>
      <c r="C33" s="2061" t="s">
        <v>756</v>
      </c>
      <c r="D33" s="2060" t="s">
        <v>692</v>
      </c>
      <c r="E33" s="2064" t="s">
        <v>703</v>
      </c>
      <c r="F33" s="2064" t="s">
        <v>703</v>
      </c>
      <c r="G33" s="1647"/>
      <c r="H33" s="2029"/>
      <c r="I33" s="1685">
        <v>14</v>
      </c>
      <c r="J33" s="2042" t="s">
        <v>757</v>
      </c>
      <c r="K33" s="2031" t="s">
        <v>758</v>
      </c>
      <c r="L33" s="738"/>
      <c r="M33" s="568"/>
      <c r="N33" s="738"/>
      <c r="O33" s="738"/>
      <c r="P33" s="738"/>
      <c r="Q33" s="554"/>
      <c r="R33" s="1536" t="s">
        <v>714</v>
      </c>
      <c r="S33" s="554"/>
      <c r="T33" s="1647"/>
      <c r="U33" s="1647"/>
      <c r="Z33" s="1647"/>
      <c r="AC33" s="555"/>
      <c r="AI33" s="1643"/>
      <c r="AJ33" s="1643"/>
      <c r="AK33" s="1643"/>
      <c r="AL33" s="1643"/>
      <c r="AM33" s="1643"/>
      <c r="AN33" s="1377">
        <v>46</v>
      </c>
    </row>
    <row customHeight="1" ht="108">
      <c r="A34" s="2062"/>
      <c r="B34" s="2061" t="s">
        <v>759</v>
      </c>
      <c r="C34" s="2061" t="s">
        <v>760</v>
      </c>
      <c r="D34" s="2060" t="s">
        <v>702</v>
      </c>
      <c r="E34" s="2064" t="s">
        <v>703</v>
      </c>
      <c r="F34" s="2064" t="s">
        <v>703</v>
      </c>
      <c r="G34" s="1647" t="s">
        <v>606</v>
      </c>
      <c r="H34" s="2029"/>
      <c r="I34" s="2040">
        <v>15</v>
      </c>
      <c r="J34" s="2041" t="s">
        <v>761</v>
      </c>
      <c r="K34" s="2026" t="s">
        <v>320</v>
      </c>
      <c r="L34" s="396"/>
      <c r="M34" s="1175"/>
      <c r="N34" s="396"/>
      <c r="O34" s="396"/>
      <c r="P34" s="396"/>
      <c r="Q34" s="554"/>
      <c r="R34" s="1536" t="s">
        <v>706</v>
      </c>
      <c r="S34" s="554"/>
      <c r="AN34" s="1642">
        <v>103</v>
      </c>
    </row>
    <row s="1652" customFormat="1" customHeight="1" ht="11.549999999999999">
      <c r="A35" s="998"/>
      <c r="B35" s="998"/>
      <c r="C35" s="998"/>
      <c r="D35" s="998"/>
      <c r="E35" s="998"/>
      <c r="F35" s="1647"/>
      <c r="G35" s="1647"/>
      <c r="H35" s="362"/>
      <c r="N35" s="1652"/>
      <c r="O35" s="1652"/>
      <c r="P35" s="1652"/>
      <c r="Q35" s="1377"/>
      <c r="S35" s="1377"/>
      <c r="T35" s="1647"/>
      <c r="U35" s="1647"/>
      <c r="V35" s="1377"/>
      <c r="W35" s="1377"/>
      <c r="X35" s="1377"/>
      <c r="Y35" s="1377"/>
      <c r="Z35" s="1647"/>
      <c r="AA35" s="1377"/>
      <c r="AB35" s="1377"/>
      <c r="AC35" s="555"/>
      <c r="AD35" s="1377"/>
      <c r="AE35" s="1377"/>
      <c r="AF35" s="1377"/>
      <c r="AG35" s="1377"/>
      <c r="AH35" s="1377"/>
      <c r="AI35" s="1643"/>
      <c r="AJ35" s="633"/>
      <c r="AK35" s="633"/>
      <c r="AL35" s="633"/>
      <c r="AM35" s="633"/>
      <c r="AN35" s="1652">
        <v>11</v>
      </c>
    </row>
    <row s="1652" customFormat="1" customHeight="1" ht="11.549999999999999">
      <c r="A36" s="998"/>
      <c r="B36" s="998"/>
      <c r="C36" s="998"/>
      <c r="D36" s="998"/>
      <c r="E36" s="998"/>
      <c r="F36" s="1647"/>
      <c r="G36" s="1647"/>
      <c r="H36" s="362"/>
      <c r="N36" s="1652"/>
      <c r="O36" s="1652"/>
      <c r="P36" s="1652"/>
      <c r="Q36" s="1377"/>
      <c r="S36" s="1377"/>
      <c r="T36" s="1647"/>
      <c r="U36" s="1647"/>
      <c r="V36" s="1377"/>
      <c r="W36" s="1377"/>
      <c r="X36" s="1377"/>
      <c r="Y36" s="1377"/>
      <c r="Z36" s="1647"/>
      <c r="AA36" s="1377"/>
      <c r="AB36" s="1377"/>
      <c r="AC36" s="555"/>
      <c r="AD36" s="1377"/>
      <c r="AE36" s="1377"/>
      <c r="AF36" s="1377"/>
      <c r="AG36" s="1377"/>
      <c r="AH36" s="1377"/>
      <c r="AI36" s="1643"/>
      <c r="AJ36" s="633"/>
      <c r="AK36" s="633"/>
      <c r="AL36" s="633"/>
      <c r="AM36" s="633"/>
      <c r="AN36" s="1652">
        <v>11</v>
      </c>
    </row>
    <row s="1652" customFormat="1" customHeight="1" ht="11.549999999999999">
      <c r="A37" s="998"/>
      <c r="B37" s="998"/>
      <c r="C37" s="998"/>
      <c r="D37" s="998"/>
      <c r="E37" s="998"/>
      <c r="F37" s="1647"/>
      <c r="G37" s="1647"/>
      <c r="H37" s="362"/>
      <c r="L37" s="633"/>
      <c r="M37" s="633"/>
      <c r="N37" s="633"/>
      <c r="O37" s="633"/>
      <c r="P37" s="633"/>
      <c r="Q37" s="1377"/>
      <c r="S37" s="1377"/>
      <c r="T37" s="1647"/>
      <c r="U37" s="1647"/>
      <c r="V37" s="1377"/>
      <c r="W37" s="1377"/>
      <c r="X37" s="1377"/>
      <c r="Y37" s="1377"/>
      <c r="Z37" s="1647"/>
      <c r="AA37" s="1377"/>
      <c r="AB37" s="1377"/>
      <c r="AC37" s="555"/>
      <c r="AD37" s="1377"/>
      <c r="AE37" s="1377"/>
      <c r="AF37" s="1377"/>
      <c r="AG37" s="1377"/>
      <c r="AH37" s="1377"/>
      <c r="AI37" s="1643"/>
      <c r="AJ37" s="633"/>
      <c r="AK37" s="633"/>
      <c r="AL37" s="633"/>
      <c r="AM37" s="633"/>
      <c r="AN37" s="1652">
        <v>11</v>
      </c>
    </row>
    <row s="1652" customFormat="1" customHeight="1" ht="11.549999999999999">
      <c r="A38" s="998"/>
      <c r="B38" s="998"/>
      <c r="C38" s="998"/>
      <c r="D38" s="998"/>
      <c r="E38" s="998"/>
      <c r="F38" s="1647"/>
      <c r="G38" s="1647"/>
      <c r="H38" s="362"/>
      <c r="N38" s="1652"/>
      <c r="O38" s="1652"/>
      <c r="P38" s="1652"/>
      <c r="Q38" s="1377"/>
      <c r="S38" s="1377"/>
      <c r="T38" s="1647"/>
      <c r="U38" s="1647"/>
      <c r="V38" s="1377"/>
      <c r="W38" s="1377"/>
      <c r="X38" s="1377"/>
      <c r="Y38" s="1377"/>
      <c r="Z38" s="1647"/>
      <c r="AA38" s="1377"/>
      <c r="AB38" s="1377"/>
      <c r="AC38" s="555"/>
      <c r="AD38" s="1377"/>
      <c r="AE38" s="1377"/>
      <c r="AF38" s="1377"/>
      <c r="AG38" s="1377"/>
      <c r="AH38" s="1377"/>
      <c r="AI38" s="1643"/>
      <c r="AJ38" s="633"/>
      <c r="AK38" s="633"/>
      <c r="AL38" s="633"/>
      <c r="AM38" s="633"/>
      <c r="AN38" s="1652">
        <v>11</v>
      </c>
    </row>
    <row s="1652" customFormat="1" customHeight="1" ht="11.549999999999999">
      <c r="A39" s="998"/>
      <c r="B39" s="998"/>
      <c r="C39" s="998"/>
      <c r="D39" s="998"/>
      <c r="E39" s="998"/>
      <c r="F39" s="1647"/>
      <c r="G39" s="1647"/>
      <c r="H39" s="362"/>
      <c r="N39" s="1652"/>
      <c r="O39" s="1652"/>
      <c r="P39" s="1652"/>
      <c r="Q39" s="1377"/>
      <c r="S39" s="1377"/>
      <c r="T39" s="1647"/>
      <c r="U39" s="1647"/>
      <c r="V39" s="1377"/>
      <c r="W39" s="1377"/>
      <c r="X39" s="1377"/>
      <c r="Y39" s="1377"/>
      <c r="Z39" s="1647"/>
      <c r="AA39" s="1377"/>
      <c r="AB39" s="1377"/>
      <c r="AC39" s="555"/>
      <c r="AD39" s="1377"/>
      <c r="AE39" s="1377"/>
      <c r="AF39" s="1377"/>
      <c r="AG39" s="1377"/>
      <c r="AH39" s="1377"/>
      <c r="AI39" s="1643"/>
      <c r="AJ39" s="633"/>
      <c r="AK39" s="633"/>
      <c r="AL39" s="633"/>
      <c r="AM39" s="633"/>
      <c r="AN39" s="1652">
        <v>11</v>
      </c>
    </row>
    <row s="1652" customFormat="1" customHeight="1" ht="11.549999999999999">
      <c r="A40" s="998"/>
      <c r="B40" s="998"/>
      <c r="C40" s="998"/>
      <c r="D40" s="998"/>
      <c r="E40" s="998"/>
      <c r="F40" s="1647"/>
      <c r="G40" s="1647"/>
      <c r="H40" s="362"/>
      <c r="N40" s="1652"/>
      <c r="O40" s="1652"/>
      <c r="P40" s="1652"/>
      <c r="Q40" s="1377"/>
      <c r="S40" s="1377"/>
      <c r="T40" s="1647"/>
      <c r="U40" s="1647"/>
      <c r="V40" s="1377"/>
      <c r="W40" s="1377"/>
      <c r="X40" s="1377"/>
      <c r="Y40" s="1377"/>
      <c r="Z40" s="1647"/>
      <c r="AA40" s="1377"/>
      <c r="AB40" s="1377"/>
      <c r="AC40" s="555"/>
      <c r="AD40" s="1377"/>
      <c r="AE40" s="1377"/>
      <c r="AF40" s="1377"/>
      <c r="AG40" s="1377"/>
      <c r="AH40" s="1377"/>
      <c r="AI40" s="1643"/>
      <c r="AJ40" s="633"/>
      <c r="AK40" s="633"/>
      <c r="AL40" s="633"/>
      <c r="AM40" s="633"/>
      <c r="AN40" s="1652">
        <v>11</v>
      </c>
    </row>
    <row s="1652" customFormat="1" customHeight="1" ht="11.549999999999999">
      <c r="A41" s="998"/>
      <c r="B41" s="998"/>
      <c r="C41" s="998"/>
      <c r="D41" s="998"/>
      <c r="E41" s="998"/>
      <c r="F41" s="1647"/>
      <c r="G41" s="1647"/>
      <c r="H41" s="362"/>
      <c r="N41" s="1652"/>
      <c r="O41" s="1652"/>
      <c r="P41" s="1652"/>
      <c r="Q41" s="1377"/>
      <c r="S41" s="1377"/>
      <c r="T41" s="1647"/>
      <c r="U41" s="1647"/>
      <c r="V41" s="1377"/>
      <c r="W41" s="1377"/>
      <c r="X41" s="1377"/>
      <c r="Y41" s="1377"/>
      <c r="Z41" s="1647"/>
      <c r="AA41" s="1377"/>
      <c r="AB41" s="1377"/>
      <c r="AC41" s="555"/>
      <c r="AD41" s="1377"/>
      <c r="AE41" s="1377"/>
      <c r="AF41" s="1377"/>
      <c r="AG41" s="1377"/>
      <c r="AH41" s="1377"/>
      <c r="AI41" s="1643"/>
      <c r="AJ41" s="633"/>
      <c r="AK41" s="633"/>
      <c r="AL41" s="633"/>
      <c r="AM41" s="633"/>
      <c r="AN41" s="1652">
        <v>11</v>
      </c>
    </row>
    <row s="1652" customFormat="1" customHeight="1" ht="11.549999999999999">
      <c r="A42" s="998"/>
      <c r="B42" s="998"/>
      <c r="C42" s="998"/>
      <c r="D42" s="998"/>
      <c r="E42" s="998"/>
      <c r="F42" s="1647"/>
      <c r="G42" s="1647"/>
      <c r="H42" s="362"/>
      <c r="N42" s="1652"/>
      <c r="O42" s="1652"/>
      <c r="P42" s="1652"/>
      <c r="Q42" s="1377"/>
      <c r="S42" s="1377"/>
      <c r="T42" s="1647"/>
      <c r="U42" s="1647"/>
      <c r="V42" s="1377"/>
      <c r="W42" s="1377"/>
      <c r="X42" s="1377"/>
      <c r="Y42" s="1377"/>
      <c r="Z42" s="1647"/>
      <c r="AA42" s="1377"/>
      <c r="AB42" s="1377"/>
      <c r="AC42" s="555"/>
      <c r="AD42" s="1377"/>
      <c r="AE42" s="1377"/>
      <c r="AF42" s="1377"/>
      <c r="AG42" s="1377"/>
      <c r="AH42" s="1377"/>
      <c r="AI42" s="1643"/>
      <c r="AJ42" s="633"/>
      <c r="AK42" s="633"/>
      <c r="AL42" s="633"/>
      <c r="AM42" s="633"/>
      <c r="AN42" s="1652">
        <v>11</v>
      </c>
    </row>
    <row s="1652" customFormat="1" customHeight="1" ht="11.549999999999999">
      <c r="A43" s="998"/>
      <c r="B43" s="998"/>
      <c r="C43" s="998"/>
      <c r="D43" s="998"/>
      <c r="E43" s="998"/>
      <c r="F43" s="1647"/>
      <c r="G43" s="1647"/>
      <c r="H43" s="362"/>
      <c r="N43" s="1652"/>
      <c r="O43" s="1652"/>
      <c r="P43" s="1652"/>
      <c r="Q43" s="1377"/>
      <c r="S43" s="1377"/>
      <c r="T43" s="1647"/>
      <c r="U43" s="1647"/>
      <c r="V43" s="1377"/>
      <c r="W43" s="1377"/>
      <c r="X43" s="1377"/>
      <c r="Y43" s="1377"/>
      <c r="Z43" s="1647"/>
      <c r="AA43" s="1377"/>
      <c r="AB43" s="1377"/>
      <c r="AC43" s="555"/>
      <c r="AD43" s="1377"/>
      <c r="AE43" s="1377"/>
      <c r="AF43" s="1377"/>
      <c r="AG43" s="1377"/>
      <c r="AH43" s="1377"/>
      <c r="AI43" s="1643"/>
      <c r="AJ43" s="633"/>
      <c r="AK43" s="633"/>
      <c r="AL43" s="633"/>
      <c r="AM43" s="633"/>
      <c r="AN43" s="1652">
        <v>11</v>
      </c>
    </row>
    <row s="1652" customFormat="1" customHeight="1" ht="11.549999999999999">
      <c r="A44" s="998"/>
      <c r="B44" s="998"/>
      <c r="C44" s="998"/>
      <c r="D44" s="998"/>
      <c r="E44" s="998"/>
      <c r="F44" s="1647"/>
      <c r="G44" s="1647"/>
      <c r="H44" s="362"/>
      <c r="N44" s="1652"/>
      <c r="O44" s="1652"/>
      <c r="P44" s="1652"/>
      <c r="Q44" s="1377"/>
      <c r="S44" s="1377"/>
      <c r="T44" s="1647"/>
      <c r="U44" s="1647"/>
      <c r="V44" s="1377"/>
      <c r="W44" s="1377"/>
      <c r="X44" s="1377"/>
      <c r="Y44" s="1377"/>
      <c r="Z44" s="1647"/>
      <c r="AA44" s="1377"/>
      <c r="AB44" s="1377"/>
      <c r="AC44" s="555"/>
      <c r="AD44" s="1377"/>
      <c r="AE44" s="1377"/>
      <c r="AF44" s="1377"/>
      <c r="AG44" s="1377"/>
      <c r="AH44" s="1377"/>
      <c r="AI44" s="1643"/>
      <c r="AJ44" s="633"/>
      <c r="AK44" s="633"/>
      <c r="AL44" s="633"/>
      <c r="AM44" s="633"/>
      <c r="AN44" s="1652">
        <v>11</v>
      </c>
    </row>
    <row s="1652" customFormat="1" customHeight="1" ht="11.549999999999999">
      <c r="A45" s="998"/>
      <c r="B45" s="998"/>
      <c r="C45" s="998"/>
      <c r="D45" s="998"/>
      <c r="E45" s="998"/>
      <c r="F45" s="1647"/>
      <c r="G45" s="1647"/>
      <c r="H45" s="362"/>
      <c r="N45" s="1652"/>
      <c r="O45" s="1652"/>
      <c r="P45" s="1652"/>
      <c r="Q45" s="1377"/>
      <c r="S45" s="1377"/>
      <c r="T45" s="1647"/>
      <c r="U45" s="1647"/>
      <c r="V45" s="1377"/>
      <c r="W45" s="1377"/>
      <c r="X45" s="1377"/>
      <c r="Y45" s="1377"/>
      <c r="Z45" s="1647"/>
      <c r="AA45" s="1377"/>
      <c r="AB45" s="1377"/>
      <c r="AC45" s="555"/>
      <c r="AD45" s="1377"/>
      <c r="AE45" s="1377"/>
      <c r="AF45" s="1377"/>
      <c r="AG45" s="1377"/>
      <c r="AH45" s="1377"/>
      <c r="AI45" s="1643"/>
      <c r="AJ45" s="633"/>
      <c r="AK45" s="633"/>
      <c r="AL45" s="633"/>
      <c r="AM45" s="633"/>
      <c r="AN45" s="1652">
        <v>11</v>
      </c>
    </row>
    <row s="1652" customFormat="1" customHeight="1" ht="11.549999999999999">
      <c r="A46" s="998"/>
      <c r="B46" s="998"/>
      <c r="C46" s="998"/>
      <c r="D46" s="998"/>
      <c r="E46" s="998"/>
      <c r="F46" s="1647"/>
      <c r="G46" s="1647"/>
      <c r="H46" s="362"/>
      <c r="N46" s="1652"/>
      <c r="O46" s="1652"/>
      <c r="P46" s="1652"/>
      <c r="Q46" s="1377"/>
      <c r="S46" s="1377"/>
      <c r="T46" s="1647"/>
      <c r="U46" s="1647"/>
      <c r="V46" s="1377"/>
      <c r="W46" s="1377"/>
      <c r="X46" s="1377"/>
      <c r="Y46" s="1377"/>
      <c r="Z46" s="1647"/>
      <c r="AA46" s="1377"/>
      <c r="AB46" s="1377"/>
      <c r="AC46" s="555"/>
      <c r="AD46" s="1377"/>
      <c r="AE46" s="1377"/>
      <c r="AF46" s="1377"/>
      <c r="AG46" s="1377"/>
      <c r="AH46" s="1377"/>
      <c r="AI46" s="1643"/>
      <c r="AJ46" s="633"/>
      <c r="AK46" s="633"/>
      <c r="AL46" s="633"/>
      <c r="AM46" s="633"/>
      <c r="AN46" s="1652">
        <v>11</v>
      </c>
    </row>
    <row s="1652" customFormat="1" customHeight="1" ht="11.549999999999999">
      <c r="A47" s="998"/>
      <c r="B47" s="998"/>
      <c r="C47" s="998"/>
      <c r="D47" s="998"/>
      <c r="E47" s="998"/>
      <c r="F47" s="1647"/>
      <c r="G47" s="1647"/>
      <c r="H47" s="362"/>
      <c r="N47" s="1652"/>
      <c r="O47" s="1652"/>
      <c r="P47" s="1652"/>
      <c r="Q47" s="1377"/>
      <c r="S47" s="1377"/>
      <c r="T47" s="1647"/>
      <c r="U47" s="1647"/>
      <c r="V47" s="1377"/>
      <c r="W47" s="1377"/>
      <c r="X47" s="1377"/>
      <c r="Y47" s="1377"/>
      <c r="Z47" s="1647"/>
      <c r="AA47" s="1377"/>
      <c r="AB47" s="1377"/>
      <c r="AC47" s="555"/>
      <c r="AD47" s="1377"/>
      <c r="AE47" s="1377"/>
      <c r="AF47" s="1377"/>
      <c r="AG47" s="1377"/>
      <c r="AH47" s="1377"/>
      <c r="AI47" s="1643"/>
      <c r="AJ47" s="633"/>
      <c r="AK47" s="633"/>
      <c r="AL47" s="633"/>
      <c r="AM47" s="633"/>
      <c r="AN47" s="1652">
        <v>11</v>
      </c>
    </row>
    <row s="1652" customFormat="1" customHeight="1" ht="11.549999999999999">
      <c r="A48" s="998"/>
      <c r="B48" s="998"/>
      <c r="C48" s="998"/>
      <c r="D48" s="998"/>
      <c r="E48" s="998"/>
      <c r="F48" s="1647"/>
      <c r="G48" s="1647"/>
      <c r="H48" s="362"/>
      <c r="N48" s="1652"/>
      <c r="O48" s="1652"/>
      <c r="P48" s="1652"/>
      <c r="Q48" s="1377"/>
      <c r="S48" s="1377"/>
      <c r="T48" s="1647"/>
      <c r="U48" s="1647"/>
      <c r="V48" s="1377"/>
      <c r="W48" s="1377"/>
      <c r="X48" s="1377"/>
      <c r="Y48" s="1377"/>
      <c r="Z48" s="1647"/>
      <c r="AA48" s="1377"/>
      <c r="AB48" s="1377"/>
      <c r="AC48" s="555"/>
      <c r="AD48" s="1377"/>
      <c r="AE48" s="1377"/>
      <c r="AF48" s="1377"/>
      <c r="AG48" s="1377"/>
      <c r="AH48" s="1377"/>
      <c r="AI48" s="1643"/>
      <c r="AJ48" s="633"/>
      <c r="AK48" s="633"/>
      <c r="AL48" s="633"/>
      <c r="AM48" s="633"/>
      <c r="AN48" s="1652">
        <v>11</v>
      </c>
    </row>
    <row s="1652" customFormat="1" customHeight="1" ht="11.549999999999999">
      <c r="A49" s="998"/>
      <c r="B49" s="998"/>
      <c r="C49" s="998"/>
      <c r="D49" s="998"/>
      <c r="E49" s="998"/>
      <c r="F49" s="1647"/>
      <c r="G49" s="1647"/>
      <c r="H49" s="362"/>
      <c r="N49" s="1652"/>
      <c r="O49" s="1652"/>
      <c r="P49" s="1652"/>
      <c r="Q49" s="1377"/>
      <c r="S49" s="1377"/>
      <c r="T49" s="1647"/>
      <c r="U49" s="1647"/>
      <c r="V49" s="1377"/>
      <c r="W49" s="1377"/>
      <c r="X49" s="1377"/>
      <c r="Y49" s="1377"/>
      <c r="Z49" s="1647"/>
      <c r="AA49" s="1377"/>
      <c r="AB49" s="1377"/>
      <c r="AC49" s="555"/>
      <c r="AD49" s="1377"/>
      <c r="AE49" s="1377"/>
      <c r="AF49" s="1377"/>
      <c r="AG49" s="1377"/>
      <c r="AH49" s="1377"/>
      <c r="AI49" s="1643"/>
      <c r="AJ49" s="633"/>
      <c r="AK49" s="633"/>
      <c r="AL49" s="633"/>
      <c r="AM49" s="633"/>
      <c r="AN49" s="1652">
        <v>11</v>
      </c>
    </row>
    <row s="1652" customFormat="1" customHeight="1" ht="11.549999999999999">
      <c r="A50" s="998"/>
      <c r="B50" s="998"/>
      <c r="C50" s="998"/>
      <c r="D50" s="998"/>
      <c r="E50" s="998"/>
      <c r="F50" s="1647"/>
      <c r="G50" s="1647"/>
      <c r="H50" s="362"/>
      <c r="N50" s="1652"/>
      <c r="O50" s="1652"/>
      <c r="P50" s="1652"/>
      <c r="Q50" s="1377"/>
      <c r="S50" s="1377"/>
      <c r="T50" s="1647"/>
      <c r="U50" s="1647"/>
      <c r="V50" s="1377"/>
      <c r="W50" s="1377"/>
      <c r="X50" s="1377"/>
      <c r="Y50" s="1377"/>
      <c r="Z50" s="1647"/>
      <c r="AA50" s="1377"/>
      <c r="AB50" s="1377"/>
      <c r="AC50" s="555"/>
      <c r="AD50" s="1377"/>
      <c r="AE50" s="1377"/>
      <c r="AF50" s="1377"/>
      <c r="AG50" s="1377"/>
      <c r="AH50" s="1377"/>
      <c r="AI50" s="1643"/>
      <c r="AJ50" s="633"/>
      <c r="AK50" s="633"/>
      <c r="AL50" s="633"/>
      <c r="AM50" s="633"/>
      <c r="AN50" s="1652">
        <v>11</v>
      </c>
    </row>
    <row s="1652" customFormat="1" customHeight="1" ht="11.549999999999999">
      <c r="A51" s="998"/>
      <c r="B51" s="998"/>
      <c r="C51" s="998"/>
      <c r="D51" s="998"/>
      <c r="E51" s="998"/>
      <c r="F51" s="1647"/>
      <c r="G51" s="1647"/>
      <c r="H51" s="362"/>
      <c r="N51" s="1652"/>
      <c r="O51" s="1652"/>
      <c r="P51" s="1652"/>
      <c r="Q51" s="1377"/>
      <c r="S51" s="1377"/>
      <c r="T51" s="1647"/>
      <c r="U51" s="1647"/>
      <c r="V51" s="1377"/>
      <c r="W51" s="1377"/>
      <c r="X51" s="1377"/>
      <c r="Y51" s="1377"/>
      <c r="Z51" s="1647"/>
      <c r="AA51" s="1377"/>
      <c r="AB51" s="1377"/>
      <c r="AC51" s="555"/>
      <c r="AD51" s="1377"/>
      <c r="AE51" s="1377"/>
      <c r="AF51" s="1377"/>
      <c r="AG51" s="1377"/>
      <c r="AH51" s="1377"/>
      <c r="AI51" s="1643"/>
      <c r="AJ51" s="633"/>
      <c r="AK51" s="633"/>
      <c r="AL51" s="633"/>
      <c r="AM51" s="633"/>
      <c r="AN51" s="1652">
        <v>11</v>
      </c>
    </row>
    <row s="1652" customFormat="1" customHeight="1" ht="11.549999999999999">
      <c r="A52" s="998"/>
      <c r="B52" s="998"/>
      <c r="C52" s="998"/>
      <c r="D52" s="998"/>
      <c r="E52" s="998"/>
      <c r="F52" s="1647"/>
      <c r="G52" s="1647"/>
      <c r="H52" s="362"/>
      <c r="N52" s="1652"/>
      <c r="O52" s="1652"/>
      <c r="P52" s="1652"/>
      <c r="Q52" s="1377"/>
      <c r="S52" s="1377"/>
      <c r="T52" s="1647"/>
      <c r="U52" s="1647"/>
      <c r="V52" s="1377"/>
      <c r="W52" s="1377"/>
      <c r="X52" s="1377"/>
      <c r="Y52" s="1377"/>
      <c r="Z52" s="1647"/>
      <c r="AA52" s="1377"/>
      <c r="AB52" s="1377"/>
      <c r="AC52" s="555"/>
      <c r="AD52" s="1377"/>
      <c r="AE52" s="1377"/>
      <c r="AF52" s="1377"/>
      <c r="AG52" s="1377"/>
      <c r="AH52" s="1377"/>
      <c r="AI52" s="1643"/>
      <c r="AJ52" s="633"/>
      <c r="AK52" s="633"/>
      <c r="AL52" s="633"/>
      <c r="AM52" s="633"/>
      <c r="AN52" s="1652">
        <v>11</v>
      </c>
    </row>
    <row s="1652" customFormat="1" customHeight="1" ht="11.549999999999999">
      <c r="A53" s="998"/>
      <c r="B53" s="998"/>
      <c r="C53" s="998"/>
      <c r="D53" s="998"/>
      <c r="E53" s="998"/>
      <c r="F53" s="1647"/>
      <c r="G53" s="1647"/>
      <c r="H53" s="362"/>
      <c r="N53" s="1652"/>
      <c r="O53" s="1652"/>
      <c r="P53" s="1652"/>
      <c r="Q53" s="1377"/>
      <c r="S53" s="1377"/>
      <c r="T53" s="1647"/>
      <c r="U53" s="1647"/>
      <c r="V53" s="1377"/>
      <c r="W53" s="1377"/>
      <c r="X53" s="1377"/>
      <c r="Y53" s="1377"/>
      <c r="Z53" s="1647"/>
      <c r="AA53" s="1377"/>
      <c r="AB53" s="1377"/>
      <c r="AC53" s="555"/>
      <c r="AD53" s="1377"/>
      <c r="AE53" s="1377"/>
      <c r="AF53" s="1377"/>
      <c r="AG53" s="1377"/>
      <c r="AH53" s="1377"/>
      <c r="AI53" s="1643"/>
      <c r="AJ53" s="633"/>
      <c r="AK53" s="633"/>
      <c r="AL53" s="633"/>
      <c r="AM53" s="633"/>
      <c r="AN53" s="1652">
        <v>11</v>
      </c>
    </row>
    <row s="1652" customFormat="1" customHeight="1" ht="11.549999999999999">
      <c r="A54" s="998"/>
      <c r="B54" s="998"/>
      <c r="C54" s="998"/>
      <c r="D54" s="998"/>
      <c r="E54" s="998"/>
      <c r="F54" s="1647"/>
      <c r="G54" s="1647"/>
      <c r="H54" s="362"/>
      <c r="N54" s="1652"/>
      <c r="O54" s="1652"/>
      <c r="P54" s="1652"/>
      <c r="Q54" s="1377"/>
      <c r="S54" s="1377"/>
      <c r="T54" s="1647"/>
      <c r="U54" s="1647"/>
      <c r="V54" s="1377"/>
      <c r="W54" s="1377"/>
      <c r="X54" s="1377"/>
      <c r="Y54" s="1377"/>
      <c r="Z54" s="1647"/>
      <c r="AA54" s="1377"/>
      <c r="AB54" s="1377"/>
      <c r="AC54" s="555"/>
      <c r="AD54" s="1377"/>
      <c r="AE54" s="1377"/>
      <c r="AF54" s="1377"/>
      <c r="AG54" s="1377"/>
      <c r="AH54" s="1377"/>
      <c r="AI54" s="1643"/>
      <c r="AJ54" s="633"/>
      <c r="AK54" s="633"/>
      <c r="AL54" s="633"/>
      <c r="AM54" s="633"/>
      <c r="AN54" s="1652">
        <v>11</v>
      </c>
    </row>
    <row s="1652" customFormat="1" customHeight="1" ht="11.549999999999999">
      <c r="A55" s="998"/>
      <c r="B55" s="998"/>
      <c r="C55" s="998"/>
      <c r="D55" s="998"/>
      <c r="E55" s="998"/>
      <c r="F55" s="1647"/>
      <c r="G55" s="1647"/>
      <c r="H55" s="362"/>
      <c r="N55" s="1652"/>
      <c r="O55" s="1652"/>
      <c r="P55" s="1652"/>
      <c r="Q55" s="1377"/>
      <c r="S55" s="1377"/>
      <c r="T55" s="1647"/>
      <c r="U55" s="1647"/>
      <c r="V55" s="1377"/>
      <c r="W55" s="1377"/>
      <c r="X55" s="1377"/>
      <c r="Y55" s="1377"/>
      <c r="Z55" s="1647"/>
      <c r="AA55" s="1377"/>
      <c r="AB55" s="1377"/>
      <c r="AC55" s="555"/>
      <c r="AD55" s="1377"/>
      <c r="AE55" s="1377"/>
      <c r="AF55" s="1377"/>
      <c r="AG55" s="1377"/>
      <c r="AH55" s="1377"/>
      <c r="AI55" s="1643"/>
      <c r="AJ55" s="633"/>
      <c r="AK55" s="633"/>
      <c r="AL55" s="633"/>
      <c r="AM55" s="633"/>
      <c r="AN55" s="1652">
        <v>11</v>
      </c>
    </row>
    <row s="1652" customFormat="1" customHeight="1" ht="11.549999999999999">
      <c r="A56" s="998"/>
      <c r="B56" s="998"/>
      <c r="C56" s="998"/>
      <c r="D56" s="998"/>
      <c r="E56" s="998"/>
      <c r="F56" s="1647"/>
      <c r="G56" s="1647"/>
      <c r="H56" s="362"/>
      <c r="N56" s="1652"/>
      <c r="O56" s="1652"/>
      <c r="P56" s="1652"/>
      <c r="Q56" s="1377"/>
      <c r="S56" s="1377"/>
      <c r="T56" s="1647"/>
      <c r="U56" s="1647"/>
      <c r="V56" s="1377"/>
      <c r="W56" s="1377"/>
      <c r="X56" s="1377"/>
      <c r="Y56" s="1377"/>
      <c r="Z56" s="1647"/>
      <c r="AA56" s="1377"/>
      <c r="AB56" s="1377"/>
      <c r="AC56" s="555"/>
      <c r="AD56" s="1377"/>
      <c r="AE56" s="1377"/>
      <c r="AF56" s="1377"/>
      <c r="AG56" s="1377"/>
      <c r="AH56" s="1377"/>
      <c r="AI56" s="1643"/>
      <c r="AJ56" s="633"/>
      <c r="AK56" s="633"/>
      <c r="AL56" s="633"/>
      <c r="AM56" s="633"/>
      <c r="AN56" s="1652">
        <v>11</v>
      </c>
    </row>
    <row s="1652" customFormat="1" customHeight="1" ht="11.549999999999999">
      <c r="A57" s="998"/>
      <c r="B57" s="998"/>
      <c r="C57" s="998"/>
      <c r="D57" s="998"/>
      <c r="E57" s="998"/>
      <c r="F57" s="1647"/>
      <c r="G57" s="1647"/>
      <c r="H57" s="362"/>
      <c r="N57" s="1652"/>
      <c r="O57" s="1652"/>
      <c r="P57" s="1652"/>
      <c r="Q57" s="1377"/>
      <c r="S57" s="1377"/>
      <c r="T57" s="1647"/>
      <c r="U57" s="1647"/>
      <c r="V57" s="1377"/>
      <c r="W57" s="1377"/>
      <c r="X57" s="1377"/>
      <c r="Y57" s="1377"/>
      <c r="Z57" s="1647"/>
      <c r="AA57" s="1377"/>
      <c r="AB57" s="1377"/>
      <c r="AC57" s="555"/>
      <c r="AD57" s="1377"/>
      <c r="AE57" s="1377"/>
      <c r="AF57" s="1377"/>
      <c r="AG57" s="1377"/>
      <c r="AH57" s="1377"/>
      <c r="AI57" s="1643"/>
      <c r="AJ57" s="633"/>
      <c r="AK57" s="633"/>
      <c r="AL57" s="633"/>
      <c r="AM57" s="633"/>
      <c r="AN57" s="1652">
        <v>11</v>
      </c>
    </row>
    <row s="1652" customFormat="1" customHeight="1" ht="11.549999999999999">
      <c r="A58" s="998"/>
      <c r="B58" s="998"/>
      <c r="C58" s="998"/>
      <c r="D58" s="998"/>
      <c r="E58" s="998"/>
      <c r="F58" s="1647"/>
      <c r="G58" s="1647"/>
      <c r="H58" s="362"/>
      <c r="N58" s="1652"/>
      <c r="O58" s="1652"/>
      <c r="P58" s="1652"/>
      <c r="Q58" s="1377"/>
      <c r="S58" s="1377"/>
      <c r="T58" s="1647"/>
      <c r="U58" s="1647"/>
      <c r="V58" s="1377"/>
      <c r="W58" s="1377"/>
      <c r="X58" s="1377"/>
      <c r="Y58" s="1377"/>
      <c r="Z58" s="1647"/>
      <c r="AA58" s="1377"/>
      <c r="AB58" s="1377"/>
      <c r="AC58" s="555"/>
      <c r="AD58" s="1377"/>
      <c r="AE58" s="1377"/>
      <c r="AF58" s="1377"/>
      <c r="AG58" s="1377"/>
      <c r="AH58" s="1377"/>
      <c r="AI58" s="1643"/>
      <c r="AJ58" s="633"/>
      <c r="AK58" s="633"/>
      <c r="AL58" s="633"/>
      <c r="AM58" s="633"/>
      <c r="AN58" s="1652">
        <v>11</v>
      </c>
    </row>
    <row s="1652" customFormat="1" customHeight="1" ht="11.549999999999999">
      <c r="A59" s="998"/>
      <c r="B59" s="998"/>
      <c r="C59" s="998"/>
      <c r="D59" s="998"/>
      <c r="E59" s="998"/>
      <c r="F59" s="1647"/>
      <c r="G59" s="1647"/>
      <c r="H59" s="362"/>
      <c r="N59" s="1652"/>
      <c r="O59" s="1652"/>
      <c r="P59" s="1652"/>
      <c r="Q59" s="1377"/>
      <c r="S59" s="1377"/>
      <c r="T59" s="1647"/>
      <c r="U59" s="1647"/>
      <c r="V59" s="1377"/>
      <c r="W59" s="1377"/>
      <c r="X59" s="1377"/>
      <c r="Y59" s="1377"/>
      <c r="Z59" s="1647"/>
      <c r="AA59" s="1377"/>
      <c r="AB59" s="1377"/>
      <c r="AC59" s="555"/>
      <c r="AD59" s="1377"/>
      <c r="AE59" s="1377"/>
      <c r="AF59" s="1377"/>
      <c r="AG59" s="1377"/>
      <c r="AH59" s="1377"/>
      <c r="AI59" s="1643"/>
      <c r="AJ59" s="633"/>
      <c r="AK59" s="633"/>
      <c r="AL59" s="633"/>
      <c r="AM59" s="633"/>
      <c r="AN59" s="1652">
        <v>11</v>
      </c>
    </row>
    <row s="1652" customFormat="1" customHeight="1" ht="11.549999999999999">
      <c r="A60" s="998"/>
      <c r="B60" s="998"/>
      <c r="C60" s="998"/>
      <c r="D60" s="998"/>
      <c r="E60" s="998"/>
      <c r="F60" s="1647"/>
      <c r="G60" s="1647"/>
      <c r="H60" s="362"/>
      <c r="N60" s="1652"/>
      <c r="O60" s="1652"/>
      <c r="P60" s="1652"/>
      <c r="Q60" s="1377"/>
      <c r="S60" s="1377"/>
      <c r="T60" s="1647"/>
      <c r="U60" s="1647"/>
      <c r="V60" s="1377"/>
      <c r="W60" s="1377"/>
      <c r="X60" s="1377"/>
      <c r="Y60" s="1377"/>
      <c r="Z60" s="1647"/>
      <c r="AA60" s="1377"/>
      <c r="AB60" s="1377"/>
      <c r="AC60" s="555"/>
      <c r="AD60" s="1377"/>
      <c r="AE60" s="1377"/>
      <c r="AF60" s="1377"/>
      <c r="AG60" s="1377"/>
      <c r="AH60" s="1377"/>
      <c r="AI60" s="1643"/>
      <c r="AJ60" s="633"/>
      <c r="AK60" s="633"/>
      <c r="AL60" s="633"/>
      <c r="AM60" s="633"/>
      <c r="AN60" s="1652">
        <v>11</v>
      </c>
    </row>
    <row s="1652" customFormat="1" customHeight="1" ht="11.549999999999999">
      <c r="A61" s="998"/>
      <c r="B61" s="998"/>
      <c r="C61" s="998"/>
      <c r="D61" s="998"/>
      <c r="E61" s="998"/>
      <c r="F61" s="1647"/>
      <c r="G61" s="1647"/>
      <c r="H61" s="362"/>
      <c r="N61" s="1652"/>
      <c r="O61" s="1652"/>
      <c r="P61" s="1652"/>
      <c r="Q61" s="1377"/>
      <c r="S61" s="1377"/>
      <c r="T61" s="1647"/>
      <c r="U61" s="1647"/>
      <c r="V61" s="1377"/>
      <c r="W61" s="1377"/>
      <c r="X61" s="1377"/>
      <c r="Y61" s="1377"/>
      <c r="Z61" s="1647"/>
      <c r="AA61" s="1377"/>
      <c r="AB61" s="1377"/>
      <c r="AC61" s="555"/>
      <c r="AD61" s="1377"/>
      <c r="AE61" s="1377"/>
      <c r="AF61" s="1377"/>
      <c r="AG61" s="1377"/>
      <c r="AH61" s="1377"/>
      <c r="AI61" s="1643"/>
      <c r="AJ61" s="633"/>
      <c r="AK61" s="633"/>
      <c r="AL61" s="633"/>
      <c r="AM61" s="633"/>
      <c r="AN61" s="1652">
        <v>11</v>
      </c>
    </row>
    <row s="1652" customFormat="1" customHeight="1" ht="11.549999999999999">
      <c r="A62" s="998"/>
      <c r="B62" s="998"/>
      <c r="C62" s="998"/>
      <c r="D62" s="998"/>
      <c r="E62" s="998"/>
      <c r="F62" s="1647"/>
      <c r="G62" s="1647"/>
      <c r="H62" s="362"/>
      <c r="N62" s="1652"/>
      <c r="O62" s="1652"/>
      <c r="P62" s="1652"/>
      <c r="Q62" s="1377"/>
      <c r="S62" s="1377"/>
      <c r="T62" s="1647"/>
      <c r="U62" s="1647"/>
      <c r="V62" s="1377"/>
      <c r="W62" s="1377"/>
      <c r="X62" s="1377"/>
      <c r="Y62" s="1377"/>
      <c r="Z62" s="1647"/>
      <c r="AA62" s="1377"/>
      <c r="AB62" s="1377"/>
      <c r="AC62" s="555"/>
      <c r="AD62" s="1377"/>
      <c r="AE62" s="1377"/>
      <c r="AF62" s="1377"/>
      <c r="AG62" s="1377"/>
      <c r="AH62" s="1377"/>
      <c r="AI62" s="1643"/>
      <c r="AJ62" s="633"/>
      <c r="AK62" s="633"/>
      <c r="AL62" s="633"/>
      <c r="AM62" s="633"/>
      <c r="AN62" s="1652">
        <v>11</v>
      </c>
    </row>
    <row s="1652" customFormat="1" customHeight="1" ht="11.549999999999999">
      <c r="A63" s="998"/>
      <c r="B63" s="998"/>
      <c r="C63" s="998"/>
      <c r="D63" s="998"/>
      <c r="E63" s="998"/>
      <c r="F63" s="1647"/>
      <c r="G63" s="1647"/>
      <c r="H63" s="362"/>
      <c r="N63" s="1652"/>
      <c r="O63" s="1652"/>
      <c r="P63" s="1652"/>
      <c r="Q63" s="1377"/>
      <c r="S63" s="1377"/>
      <c r="T63" s="1647"/>
      <c r="U63" s="1647"/>
      <c r="V63" s="1377"/>
      <c r="W63" s="1377"/>
      <c r="X63" s="1377"/>
      <c r="Y63" s="1377"/>
      <c r="Z63" s="1647"/>
      <c r="AA63" s="1377"/>
      <c r="AB63" s="1377"/>
      <c r="AC63" s="555"/>
      <c r="AD63" s="1377"/>
      <c r="AE63" s="1377"/>
      <c r="AF63" s="1377"/>
      <c r="AG63" s="1377"/>
      <c r="AH63" s="1377"/>
      <c r="AI63" s="1643"/>
      <c r="AJ63" s="633"/>
      <c r="AK63" s="633"/>
      <c r="AL63" s="633"/>
      <c r="AM63" s="633"/>
      <c r="AN63" s="1652">
        <v>11</v>
      </c>
    </row>
    <row s="1652" customFormat="1" customHeight="1" ht="11.549999999999999">
      <c r="A64" s="998"/>
      <c r="B64" s="998"/>
      <c r="C64" s="998"/>
      <c r="D64" s="998"/>
      <c r="E64" s="998"/>
      <c r="F64" s="1647"/>
      <c r="G64" s="1647"/>
      <c r="H64" s="362"/>
      <c r="N64" s="1652"/>
      <c r="O64" s="1652"/>
      <c r="P64" s="1652"/>
      <c r="Q64" s="1377"/>
      <c r="S64" s="1377"/>
      <c r="T64" s="1647"/>
      <c r="U64" s="1647"/>
      <c r="V64" s="1377"/>
      <c r="W64" s="1377"/>
      <c r="X64" s="1377"/>
      <c r="Y64" s="1377"/>
      <c r="Z64" s="1647"/>
      <c r="AA64" s="1377"/>
      <c r="AB64" s="1377"/>
      <c r="AC64" s="555"/>
      <c r="AD64" s="1377"/>
      <c r="AE64" s="1377"/>
      <c r="AF64" s="1377"/>
      <c r="AG64" s="1377"/>
      <c r="AH64" s="1377"/>
      <c r="AI64" s="1643"/>
      <c r="AJ64" s="633"/>
      <c r="AK64" s="633"/>
      <c r="AL64" s="633"/>
      <c r="AM64" s="633"/>
      <c r="AN64" s="1652">
        <v>11</v>
      </c>
    </row>
    <row s="1652" customFormat="1" customHeight="1" ht="11.549999999999999">
      <c r="A65" s="998"/>
      <c r="B65" s="998"/>
      <c r="C65" s="998"/>
      <c r="D65" s="998"/>
      <c r="E65" s="998"/>
      <c r="F65" s="1647"/>
      <c r="G65" s="1647"/>
      <c r="H65" s="362"/>
      <c r="N65" s="1652"/>
      <c r="O65" s="1652"/>
      <c r="P65" s="1652"/>
      <c r="Q65" s="1377"/>
      <c r="S65" s="1377"/>
      <c r="T65" s="1647"/>
      <c r="U65" s="1647"/>
      <c r="V65" s="1377"/>
      <c r="W65" s="1377"/>
      <c r="X65" s="1377"/>
      <c r="Y65" s="1377"/>
      <c r="Z65" s="1647"/>
      <c r="AA65" s="1377"/>
      <c r="AB65" s="1377"/>
      <c r="AC65" s="555"/>
      <c r="AD65" s="1377"/>
      <c r="AE65" s="1377"/>
      <c r="AF65" s="1377"/>
      <c r="AG65" s="1377"/>
      <c r="AH65" s="1377"/>
      <c r="AI65" s="1643"/>
      <c r="AJ65" s="633"/>
      <c r="AK65" s="633"/>
      <c r="AL65" s="633"/>
      <c r="AM65" s="633"/>
      <c r="AN65" s="1652">
        <v>11</v>
      </c>
    </row>
    <row s="1652" customFormat="1" customHeight="1" ht="11.549999999999999">
      <c r="A66" s="998"/>
      <c r="B66" s="998"/>
      <c r="C66" s="998"/>
      <c r="D66" s="998"/>
      <c r="E66" s="998"/>
      <c r="F66" s="1647"/>
      <c r="G66" s="1647"/>
      <c r="H66" s="362"/>
      <c r="N66" s="1652"/>
      <c r="O66" s="1652"/>
      <c r="P66" s="1652"/>
      <c r="Q66" s="1377"/>
      <c r="S66" s="1377"/>
      <c r="T66" s="1647"/>
      <c r="U66" s="1647"/>
      <c r="V66" s="1377"/>
      <c r="W66" s="1377"/>
      <c r="X66" s="1377"/>
      <c r="Y66" s="1377"/>
      <c r="Z66" s="1647"/>
      <c r="AA66" s="1377"/>
      <c r="AB66" s="1377"/>
      <c r="AC66" s="555"/>
      <c r="AD66" s="1377"/>
      <c r="AE66" s="1377"/>
      <c r="AF66" s="1377"/>
      <c r="AG66" s="1377"/>
      <c r="AH66" s="1377"/>
      <c r="AI66" s="1643"/>
      <c r="AJ66" s="633"/>
      <c r="AK66" s="633"/>
      <c r="AL66" s="633"/>
      <c r="AM66" s="633"/>
      <c r="AN66" s="1652">
        <v>11</v>
      </c>
    </row>
    <row s="1652" customFormat="1" customHeight="1" ht="11.549999999999999">
      <c r="A67" s="998"/>
      <c r="B67" s="998"/>
      <c r="C67" s="998"/>
      <c r="D67" s="998"/>
      <c r="E67" s="998"/>
      <c r="F67" s="1647"/>
      <c r="G67" s="1647"/>
      <c r="H67" s="362"/>
      <c r="N67" s="1652"/>
      <c r="O67" s="1652"/>
      <c r="P67" s="1652"/>
      <c r="Q67" s="1377"/>
      <c r="S67" s="1377"/>
      <c r="T67" s="1647"/>
      <c r="U67" s="1647"/>
      <c r="V67" s="1377"/>
      <c r="W67" s="1377"/>
      <c r="X67" s="1377"/>
      <c r="Y67" s="1377"/>
      <c r="Z67" s="1647"/>
      <c r="AA67" s="1377"/>
      <c r="AB67" s="1377"/>
      <c r="AC67" s="555"/>
      <c r="AD67" s="1377"/>
      <c r="AE67" s="1377"/>
      <c r="AF67" s="1377"/>
      <c r="AG67" s="1377"/>
      <c r="AH67" s="1377"/>
      <c r="AI67" s="1643"/>
      <c r="AJ67" s="633"/>
      <c r="AK67" s="633"/>
      <c r="AL67" s="633"/>
      <c r="AM67" s="633"/>
      <c r="AN67" s="1652">
        <v>11</v>
      </c>
    </row>
    <row s="1652" customFormat="1" customHeight="1" ht="11.549999999999999">
      <c r="A68" s="998"/>
      <c r="B68" s="998"/>
      <c r="C68" s="998"/>
      <c r="D68" s="998"/>
      <c r="E68" s="998"/>
      <c r="F68" s="1647"/>
      <c r="G68" s="1647"/>
      <c r="H68" s="362"/>
      <c r="N68" s="1652"/>
      <c r="O68" s="1652"/>
      <c r="P68" s="1652"/>
      <c r="Q68" s="1377"/>
      <c r="S68" s="1377"/>
      <c r="T68" s="1647"/>
      <c r="U68" s="1647"/>
      <c r="V68" s="1377"/>
      <c r="W68" s="1377"/>
      <c r="X68" s="1377"/>
      <c r="Y68" s="1377"/>
      <c r="Z68" s="1647"/>
      <c r="AA68" s="1377"/>
      <c r="AB68" s="1377"/>
      <c r="AC68" s="555"/>
      <c r="AD68" s="1377"/>
      <c r="AE68" s="1377"/>
      <c r="AF68" s="1377"/>
      <c r="AG68" s="1377"/>
      <c r="AH68" s="1377"/>
      <c r="AI68" s="1643"/>
      <c r="AJ68" s="633"/>
      <c r="AK68" s="633"/>
      <c r="AL68" s="633"/>
      <c r="AM68" s="633"/>
      <c r="AN68" s="1652">
        <v>11</v>
      </c>
    </row>
    <row s="1652" customFormat="1" customHeight="1" ht="11.549999999999999">
      <c r="A69" s="998"/>
      <c r="B69" s="998"/>
      <c r="C69" s="998"/>
      <c r="D69" s="998"/>
      <c r="E69" s="998"/>
      <c r="F69" s="1647"/>
      <c r="G69" s="1647"/>
      <c r="H69" s="362"/>
      <c r="N69" s="1652"/>
      <c r="O69" s="1652"/>
      <c r="P69" s="1652"/>
      <c r="Q69" s="1377"/>
      <c r="S69" s="1377"/>
      <c r="T69" s="1647"/>
      <c r="U69" s="1647"/>
      <c r="V69" s="1377"/>
      <c r="W69" s="1377"/>
      <c r="X69" s="1377"/>
      <c r="Y69" s="1377"/>
      <c r="Z69" s="1647"/>
      <c r="AA69" s="1377"/>
      <c r="AB69" s="1377"/>
      <c r="AC69" s="555"/>
      <c r="AD69" s="1377"/>
      <c r="AE69" s="1377"/>
      <c r="AF69" s="1377"/>
      <c r="AG69" s="1377"/>
      <c r="AH69" s="1377"/>
      <c r="AI69" s="1643"/>
      <c r="AJ69" s="633"/>
      <c r="AK69" s="633"/>
      <c r="AL69" s="633"/>
      <c r="AM69" s="633"/>
      <c r="AN69" s="1652">
        <v>11</v>
      </c>
    </row>
    <row s="1652" customFormat="1" customHeight="1" ht="11.549999999999999">
      <c r="A70" s="998"/>
      <c r="B70" s="998"/>
      <c r="C70" s="998"/>
      <c r="D70" s="998"/>
      <c r="E70" s="998"/>
      <c r="F70" s="1647"/>
      <c r="G70" s="1647"/>
      <c r="H70" s="362"/>
      <c r="N70" s="1652"/>
      <c r="O70" s="1652"/>
      <c r="P70" s="1652"/>
      <c r="Q70" s="1377"/>
      <c r="S70" s="1377"/>
      <c r="T70" s="1647"/>
      <c r="U70" s="1647"/>
      <c r="V70" s="1377"/>
      <c r="W70" s="1377"/>
      <c r="X70" s="1377"/>
      <c r="Y70" s="1377"/>
      <c r="Z70" s="1647"/>
      <c r="AA70" s="1377"/>
      <c r="AB70" s="1377"/>
      <c r="AC70" s="555"/>
      <c r="AD70" s="1377"/>
      <c r="AE70" s="1377"/>
      <c r="AF70" s="1377"/>
      <c r="AG70" s="1377"/>
      <c r="AH70" s="1377"/>
      <c r="AI70" s="1643"/>
      <c r="AJ70" s="633"/>
      <c r="AK70" s="633"/>
      <c r="AL70" s="633"/>
      <c r="AM70" s="633"/>
      <c r="AN70" s="1652">
        <v>11</v>
      </c>
    </row>
    <row s="1652" customFormat="1" customHeight="1" ht="11.549999999999999">
      <c r="A71" s="998"/>
      <c r="B71" s="998"/>
      <c r="C71" s="998"/>
      <c r="D71" s="998"/>
      <c r="E71" s="998"/>
      <c r="F71" s="1647"/>
      <c r="G71" s="1647"/>
      <c r="H71" s="362"/>
      <c r="N71" s="1652"/>
      <c r="O71" s="1652"/>
      <c r="P71" s="1652"/>
      <c r="Q71" s="1377"/>
      <c r="S71" s="1377"/>
      <c r="T71" s="1647"/>
      <c r="U71" s="1647"/>
      <c r="V71" s="1377"/>
      <c r="W71" s="1377"/>
      <c r="X71" s="1377"/>
      <c r="Y71" s="1377"/>
      <c r="Z71" s="1647"/>
      <c r="AA71" s="1377"/>
      <c r="AB71" s="1377"/>
      <c r="AC71" s="555"/>
      <c r="AD71" s="1377"/>
      <c r="AE71" s="1377"/>
      <c r="AF71" s="1377"/>
      <c r="AG71" s="1377"/>
      <c r="AH71" s="1377"/>
      <c r="AI71" s="1643"/>
      <c r="AJ71" s="633"/>
      <c r="AK71" s="633"/>
      <c r="AL71" s="633"/>
      <c r="AM71" s="633"/>
      <c r="AN71" s="1652">
        <v>11</v>
      </c>
    </row>
    <row s="1652" customFormat="1" customHeight="1" ht="11.549999999999999">
      <c r="A72" s="998"/>
      <c r="B72" s="998"/>
      <c r="C72" s="998"/>
      <c r="D72" s="998"/>
      <c r="E72" s="998"/>
      <c r="F72" s="1647"/>
      <c r="G72" s="1647"/>
      <c r="H72" s="362"/>
      <c r="N72" s="1652"/>
      <c r="O72" s="1652"/>
      <c r="P72" s="1652"/>
      <c r="Q72" s="1377"/>
      <c r="S72" s="1377"/>
      <c r="T72" s="1647"/>
      <c r="U72" s="1647"/>
      <c r="V72" s="1377"/>
      <c r="W72" s="1377"/>
      <c r="X72" s="1377"/>
      <c r="Y72" s="1377"/>
      <c r="Z72" s="1647"/>
      <c r="AA72" s="1377"/>
      <c r="AB72" s="1377"/>
      <c r="AC72" s="555"/>
      <c r="AD72" s="1377"/>
      <c r="AE72" s="1377"/>
      <c r="AF72" s="1377"/>
      <c r="AG72" s="1377"/>
      <c r="AH72" s="1377"/>
      <c r="AI72" s="1643"/>
      <c r="AJ72" s="633"/>
      <c r="AK72" s="633"/>
      <c r="AL72" s="633"/>
      <c r="AM72" s="633"/>
      <c r="AN72" s="1652">
        <v>11</v>
      </c>
    </row>
    <row s="1652" customFormat="1" customHeight="1" ht="11.549999999999999">
      <c r="A73" s="998"/>
      <c r="B73" s="998"/>
      <c r="C73" s="998"/>
      <c r="D73" s="998"/>
      <c r="E73" s="998"/>
      <c r="F73" s="1647"/>
      <c r="G73" s="1647"/>
      <c r="H73" s="362"/>
      <c r="N73" s="1652"/>
      <c r="O73" s="1652"/>
      <c r="P73" s="1652"/>
      <c r="Q73" s="1377"/>
      <c r="S73" s="1377"/>
      <c r="T73" s="1647"/>
      <c r="U73" s="1647"/>
      <c r="V73" s="1377"/>
      <c r="W73" s="1377"/>
      <c r="X73" s="1377"/>
      <c r="Y73" s="1377"/>
      <c r="Z73" s="1647"/>
      <c r="AA73" s="1377"/>
      <c r="AB73" s="1377"/>
      <c r="AC73" s="555"/>
      <c r="AD73" s="1377"/>
      <c r="AE73" s="1377"/>
      <c r="AF73" s="1377"/>
      <c r="AG73" s="1377"/>
      <c r="AH73" s="1377"/>
      <c r="AI73" s="1643"/>
      <c r="AJ73" s="633"/>
      <c r="AK73" s="633"/>
      <c r="AL73" s="633"/>
      <c r="AM73" s="633"/>
      <c r="AN73" s="1652">
        <v>11</v>
      </c>
    </row>
    <row s="1652" customFormat="1" customHeight="1" ht="11.549999999999999">
      <c r="A74" s="998"/>
      <c r="B74" s="998"/>
      <c r="C74" s="998"/>
      <c r="D74" s="998"/>
      <c r="E74" s="998"/>
      <c r="F74" s="1647"/>
      <c r="G74" s="1647"/>
      <c r="H74" s="362"/>
      <c r="N74" s="1652"/>
      <c r="O74" s="1652"/>
      <c r="P74" s="1652"/>
      <c r="Q74" s="1377"/>
      <c r="S74" s="1377"/>
      <c r="T74" s="1647"/>
      <c r="U74" s="1647"/>
      <c r="V74" s="1377"/>
      <c r="W74" s="1377"/>
      <c r="X74" s="1377"/>
      <c r="Y74" s="1377"/>
      <c r="Z74" s="1647"/>
      <c r="AA74" s="1377"/>
      <c r="AB74" s="1377"/>
      <c r="AC74" s="555"/>
      <c r="AD74" s="1377"/>
      <c r="AE74" s="1377"/>
      <c r="AF74" s="1377"/>
      <c r="AG74" s="1377"/>
      <c r="AH74" s="1377"/>
      <c r="AI74" s="1643"/>
      <c r="AJ74" s="633"/>
      <c r="AK74" s="633"/>
      <c r="AL74" s="633"/>
      <c r="AM74" s="633"/>
      <c r="AN74" s="1652">
        <v>11</v>
      </c>
    </row>
    <row s="1652" customFormat="1" customHeight="1" ht="11.549999999999999">
      <c r="A75" s="998"/>
      <c r="B75" s="998"/>
      <c r="C75" s="998"/>
      <c r="D75" s="998"/>
      <c r="E75" s="998"/>
      <c r="F75" s="1647"/>
      <c r="G75" s="1647"/>
      <c r="H75" s="362"/>
      <c r="N75" s="1652"/>
      <c r="O75" s="1652"/>
      <c r="P75" s="1652"/>
      <c r="Q75" s="1377"/>
      <c r="S75" s="1377"/>
      <c r="T75" s="1647"/>
      <c r="U75" s="1647"/>
      <c r="V75" s="1377"/>
      <c r="W75" s="1377"/>
      <c r="X75" s="1377"/>
      <c r="Y75" s="1377"/>
      <c r="Z75" s="1647"/>
      <c r="AA75" s="1377"/>
      <c r="AB75" s="1377"/>
      <c r="AC75" s="555"/>
      <c r="AD75" s="1377"/>
      <c r="AE75" s="1377"/>
      <c r="AF75" s="1377"/>
      <c r="AG75" s="1377"/>
      <c r="AH75" s="1377"/>
      <c r="AI75" s="1643"/>
      <c r="AJ75" s="633"/>
      <c r="AK75" s="633"/>
      <c r="AL75" s="633"/>
      <c r="AM75" s="633"/>
      <c r="AN75" s="1652">
        <v>11</v>
      </c>
    </row>
    <row s="1652" customFormat="1" customHeight="1" ht="11.549999999999999">
      <c r="A76" s="998"/>
      <c r="B76" s="998"/>
      <c r="C76" s="998"/>
      <c r="D76" s="998"/>
      <c r="E76" s="998"/>
      <c r="F76" s="1647"/>
      <c r="G76" s="1647"/>
      <c r="H76" s="362"/>
      <c r="N76" s="1652"/>
      <c r="O76" s="1652"/>
      <c r="P76" s="1652"/>
      <c r="Q76" s="1377"/>
      <c r="S76" s="1377"/>
      <c r="T76" s="1647"/>
      <c r="U76" s="1647"/>
      <c r="V76" s="1377"/>
      <c r="W76" s="1377"/>
      <c r="X76" s="1377"/>
      <c r="Y76" s="1377"/>
      <c r="Z76" s="1647"/>
      <c r="AA76" s="1377"/>
      <c r="AB76" s="1377"/>
      <c r="AC76" s="555"/>
      <c r="AD76" s="1377"/>
      <c r="AE76" s="1377"/>
      <c r="AF76" s="1377"/>
      <c r="AG76" s="1377"/>
      <c r="AH76" s="1377"/>
      <c r="AI76" s="1643"/>
      <c r="AJ76" s="633"/>
      <c r="AK76" s="633"/>
      <c r="AL76" s="633"/>
      <c r="AM76" s="633"/>
      <c r="AN76" s="1652">
        <v>11</v>
      </c>
    </row>
    <row s="1652" customFormat="1" customHeight="1" ht="11.549999999999999">
      <c r="A77" s="998"/>
      <c r="B77" s="998"/>
      <c r="C77" s="998"/>
      <c r="D77" s="998"/>
      <c r="E77" s="998"/>
      <c r="F77" s="1647"/>
      <c r="G77" s="1647"/>
      <c r="H77" s="362"/>
      <c r="N77" s="1652"/>
      <c r="O77" s="1652"/>
      <c r="P77" s="1652"/>
      <c r="Q77" s="1377"/>
      <c r="S77" s="1377"/>
      <c r="T77" s="1647"/>
      <c r="U77" s="1647"/>
      <c r="V77" s="1377"/>
      <c r="W77" s="1377"/>
      <c r="X77" s="1377"/>
      <c r="Y77" s="1377"/>
      <c r="Z77" s="1647"/>
      <c r="AA77" s="1377"/>
      <c r="AB77" s="1377"/>
      <c r="AC77" s="555"/>
      <c r="AD77" s="1377"/>
      <c r="AE77" s="1377"/>
      <c r="AF77" s="1377"/>
      <c r="AG77" s="1377"/>
      <c r="AH77" s="1377"/>
      <c r="AI77" s="1643"/>
      <c r="AJ77" s="633"/>
      <c r="AK77" s="633"/>
      <c r="AL77" s="633"/>
      <c r="AM77" s="633"/>
      <c r="AN77" s="1652">
        <v>11</v>
      </c>
    </row>
    <row s="1652" customFormat="1" customHeight="1" ht="11.549999999999999">
      <c r="A78" s="998"/>
      <c r="B78" s="998"/>
      <c r="C78" s="998"/>
      <c r="D78" s="998"/>
      <c r="E78" s="998"/>
      <c r="F78" s="1647"/>
      <c r="G78" s="1647"/>
      <c r="H78" s="362"/>
      <c r="N78" s="1652"/>
      <c r="O78" s="1652"/>
      <c r="P78" s="1652"/>
      <c r="Q78" s="1377"/>
      <c r="S78" s="1377"/>
      <c r="T78" s="1647"/>
      <c r="U78" s="1647"/>
      <c r="V78" s="1377"/>
      <c r="W78" s="1377"/>
      <c r="X78" s="1377"/>
      <c r="Y78" s="1377"/>
      <c r="Z78" s="1647"/>
      <c r="AA78" s="1377"/>
      <c r="AB78" s="1377"/>
      <c r="AC78" s="555"/>
      <c r="AD78" s="1377"/>
      <c r="AE78" s="1377"/>
      <c r="AF78" s="1377"/>
      <c r="AG78" s="1377"/>
      <c r="AH78" s="1377"/>
      <c r="AI78" s="1643"/>
      <c r="AJ78" s="633"/>
      <c r="AK78" s="633"/>
      <c r="AL78" s="633"/>
      <c r="AM78" s="633"/>
      <c r="AN78" s="1652">
        <v>11</v>
      </c>
    </row>
    <row s="1652" customFormat="1" customHeight="1" ht="11.549999999999999">
      <c r="A79" s="998"/>
      <c r="B79" s="998"/>
      <c r="C79" s="998"/>
      <c r="D79" s="998"/>
      <c r="E79" s="998"/>
      <c r="F79" s="1647"/>
      <c r="G79" s="1647"/>
      <c r="H79" s="362"/>
      <c r="N79" s="1652"/>
      <c r="O79" s="1652"/>
      <c r="P79" s="1652"/>
      <c r="Q79" s="1377"/>
      <c r="S79" s="1377"/>
      <c r="T79" s="1647"/>
      <c r="U79" s="1647"/>
      <c r="V79" s="1377"/>
      <c r="W79" s="1377"/>
      <c r="X79" s="1377"/>
      <c r="Y79" s="1377"/>
      <c r="Z79" s="1647"/>
      <c r="AA79" s="1377"/>
      <c r="AB79" s="1377"/>
      <c r="AC79" s="555"/>
      <c r="AD79" s="1377"/>
      <c r="AE79" s="1377"/>
      <c r="AF79" s="1377"/>
      <c r="AG79" s="1377"/>
      <c r="AH79" s="1377"/>
      <c r="AI79" s="1643"/>
      <c r="AJ79" s="633"/>
      <c r="AK79" s="633"/>
      <c r="AL79" s="633"/>
      <c r="AM79" s="633"/>
      <c r="AN79" s="1652">
        <v>11</v>
      </c>
    </row>
    <row s="1652" customFormat="1" customHeight="1" ht="11.549999999999999">
      <c r="A80" s="998"/>
      <c r="B80" s="998"/>
      <c r="C80" s="998"/>
      <c r="D80" s="998"/>
      <c r="E80" s="998"/>
      <c r="F80" s="1647"/>
      <c r="G80" s="1647"/>
      <c r="H80" s="362"/>
      <c r="N80" s="1652"/>
      <c r="O80" s="1652"/>
      <c r="P80" s="1652"/>
      <c r="Q80" s="1377"/>
      <c r="S80" s="1377"/>
      <c r="T80" s="1647"/>
      <c r="U80" s="1647"/>
      <c r="V80" s="1377"/>
      <c r="W80" s="1377"/>
      <c r="X80" s="1377"/>
      <c r="Y80" s="1377"/>
      <c r="Z80" s="1647"/>
      <c r="AA80" s="1377"/>
      <c r="AB80" s="1377"/>
      <c r="AC80" s="555"/>
      <c r="AD80" s="1377"/>
      <c r="AE80" s="1377"/>
      <c r="AF80" s="1377"/>
      <c r="AG80" s="1377"/>
      <c r="AH80" s="1377"/>
      <c r="AI80" s="1643"/>
      <c r="AJ80" s="633"/>
      <c r="AK80" s="633"/>
      <c r="AL80" s="633"/>
      <c r="AM80" s="633"/>
      <c r="AN80" s="1652">
        <v>11</v>
      </c>
    </row>
    <row s="1652" customFormat="1" customHeight="1" ht="11.549999999999999">
      <c r="A81" s="998"/>
      <c r="B81" s="998"/>
      <c r="C81" s="998"/>
      <c r="D81" s="998"/>
      <c r="E81" s="998"/>
      <c r="F81" s="1647"/>
      <c r="G81" s="1647"/>
      <c r="H81" s="362"/>
      <c r="N81" s="1652"/>
      <c r="O81" s="1652"/>
      <c r="P81" s="1652"/>
      <c r="Q81" s="1377"/>
      <c r="S81" s="1377"/>
      <c r="T81" s="1647"/>
      <c r="U81" s="1647"/>
      <c r="V81" s="1377"/>
      <c r="W81" s="1377"/>
      <c r="X81" s="1377"/>
      <c r="Y81" s="1377"/>
      <c r="Z81" s="1647"/>
      <c r="AA81" s="1377"/>
      <c r="AB81" s="1377"/>
      <c r="AC81" s="555"/>
      <c r="AD81" s="1377"/>
      <c r="AE81" s="1377"/>
      <c r="AF81" s="1377"/>
      <c r="AG81" s="1377"/>
      <c r="AH81" s="1377"/>
      <c r="AI81" s="1643"/>
      <c r="AJ81" s="633"/>
      <c r="AK81" s="633"/>
      <c r="AL81" s="633"/>
      <c r="AM81" s="633"/>
      <c r="AN81" s="1652">
        <v>11</v>
      </c>
    </row>
    <row s="1652" customFormat="1" customHeight="1" ht="11.549999999999999">
      <c r="A82" s="998"/>
      <c r="B82" s="998"/>
      <c r="C82" s="998"/>
      <c r="D82" s="998"/>
      <c r="E82" s="998"/>
      <c r="F82" s="1647"/>
      <c r="G82" s="1647"/>
      <c r="H82" s="362"/>
      <c r="N82" s="1652"/>
      <c r="O82" s="1652"/>
      <c r="P82" s="1652"/>
      <c r="Q82" s="1377"/>
      <c r="S82" s="1377"/>
      <c r="T82" s="1647"/>
      <c r="U82" s="1647"/>
      <c r="V82" s="1377"/>
      <c r="W82" s="1377"/>
      <c r="X82" s="1377"/>
      <c r="Y82" s="1377"/>
      <c r="Z82" s="1647"/>
      <c r="AA82" s="1377"/>
      <c r="AB82" s="1377"/>
      <c r="AC82" s="555"/>
      <c r="AD82" s="1377"/>
      <c r="AE82" s="1377"/>
      <c r="AF82" s="1377"/>
      <c r="AG82" s="1377"/>
      <c r="AH82" s="1377"/>
      <c r="AI82" s="1643"/>
      <c r="AJ82" s="633"/>
      <c r="AK82" s="633"/>
      <c r="AL82" s="633"/>
      <c r="AM82" s="633"/>
      <c r="AN82" s="1652">
        <v>11</v>
      </c>
    </row>
    <row s="1652" customFormat="1" customHeight="1" ht="11.549999999999999">
      <c r="A83" s="998"/>
      <c r="B83" s="998"/>
      <c r="C83" s="998"/>
      <c r="D83" s="998"/>
      <c r="E83" s="998"/>
      <c r="F83" s="1647"/>
      <c r="G83" s="1647"/>
      <c r="H83" s="362"/>
      <c r="N83" s="1652"/>
      <c r="O83" s="1652"/>
      <c r="P83" s="1652"/>
      <c r="Q83" s="1377"/>
      <c r="S83" s="1377"/>
      <c r="T83" s="1647"/>
      <c r="U83" s="1647"/>
      <c r="V83" s="1377"/>
      <c r="W83" s="1377"/>
      <c r="X83" s="1377"/>
      <c r="Y83" s="1377"/>
      <c r="Z83" s="1647"/>
      <c r="AA83" s="1377"/>
      <c r="AB83" s="1377"/>
      <c r="AC83" s="555"/>
      <c r="AD83" s="1377"/>
      <c r="AE83" s="1377"/>
      <c r="AF83" s="1377"/>
      <c r="AG83" s="1377"/>
      <c r="AH83" s="1377"/>
      <c r="AI83" s="1643"/>
      <c r="AJ83" s="633"/>
      <c r="AK83" s="633"/>
      <c r="AL83" s="633"/>
      <c r="AM83" s="633"/>
      <c r="AN83" s="1652">
        <v>11</v>
      </c>
    </row>
    <row s="1652" customFormat="1" customHeight="1" ht="11.549999999999999">
      <c r="A84" s="998"/>
      <c r="B84" s="998"/>
      <c r="C84" s="998"/>
      <c r="D84" s="998"/>
      <c r="E84" s="998"/>
      <c r="F84" s="1647"/>
      <c r="G84" s="1647"/>
      <c r="H84" s="362"/>
      <c r="N84" s="1652"/>
      <c r="O84" s="1652"/>
      <c r="P84" s="1652"/>
      <c r="Q84" s="1377"/>
      <c r="S84" s="1377"/>
      <c r="T84" s="1647"/>
      <c r="U84" s="1647"/>
      <c r="V84" s="1377"/>
      <c r="W84" s="1377"/>
      <c r="X84" s="1377"/>
      <c r="Y84" s="1377"/>
      <c r="Z84" s="1647"/>
      <c r="AA84" s="1377"/>
      <c r="AB84" s="1377"/>
      <c r="AC84" s="555"/>
      <c r="AD84" s="1377"/>
      <c r="AE84" s="1377"/>
      <c r="AF84" s="1377"/>
      <c r="AG84" s="1377"/>
      <c r="AH84" s="1377"/>
      <c r="AI84" s="1643"/>
      <c r="AJ84" s="633"/>
      <c r="AK84" s="633"/>
      <c r="AL84" s="633"/>
      <c r="AM84" s="633"/>
      <c r="AN84" s="1652">
        <v>11</v>
      </c>
    </row>
    <row s="1652" customFormat="1" customHeight="1" ht="11.549999999999999">
      <c r="A85" s="998"/>
      <c r="B85" s="998"/>
      <c r="C85" s="998"/>
      <c r="D85" s="998"/>
      <c r="E85" s="998"/>
      <c r="F85" s="1647"/>
      <c r="G85" s="1647"/>
      <c r="H85" s="362"/>
      <c r="N85" s="1652"/>
      <c r="O85" s="1652"/>
      <c r="P85" s="1652"/>
      <c r="Q85" s="1377"/>
      <c r="S85" s="1377"/>
      <c r="T85" s="1647"/>
      <c r="U85" s="1647"/>
      <c r="V85" s="1377"/>
      <c r="W85" s="1377"/>
      <c r="X85" s="1377"/>
      <c r="Y85" s="1377"/>
      <c r="Z85" s="1647"/>
      <c r="AA85" s="1377"/>
      <c r="AB85" s="1377"/>
      <c r="AC85" s="555"/>
      <c r="AD85" s="1377"/>
      <c r="AE85" s="1377"/>
      <c r="AF85" s="1377"/>
      <c r="AG85" s="1377"/>
      <c r="AH85" s="1377"/>
      <c r="AI85" s="1643"/>
      <c r="AJ85" s="633"/>
      <c r="AK85" s="633"/>
      <c r="AL85" s="633"/>
      <c r="AM85" s="633"/>
      <c r="AN85" s="1652">
        <v>11</v>
      </c>
    </row>
    <row s="1652" customFormat="1" customHeight="1" ht="11.549999999999999">
      <c r="A86" s="998"/>
      <c r="B86" s="998"/>
      <c r="C86" s="998"/>
      <c r="D86" s="998"/>
      <c r="E86" s="998"/>
      <c r="F86" s="1647"/>
      <c r="G86" s="1647"/>
      <c r="H86" s="362"/>
      <c r="N86" s="1652"/>
      <c r="O86" s="1652"/>
      <c r="P86" s="1652"/>
      <c r="Q86" s="1377"/>
      <c r="S86" s="1377"/>
      <c r="T86" s="1647"/>
      <c r="U86" s="1647"/>
      <c r="V86" s="1377"/>
      <c r="W86" s="1377"/>
      <c r="X86" s="1377"/>
      <c r="Y86" s="1377"/>
      <c r="Z86" s="1647"/>
      <c r="AA86" s="1377"/>
      <c r="AB86" s="1377"/>
      <c r="AC86" s="555"/>
      <c r="AD86" s="1377"/>
      <c r="AE86" s="1377"/>
      <c r="AF86" s="1377"/>
      <c r="AG86" s="1377"/>
      <c r="AH86" s="1377"/>
      <c r="AI86" s="1643"/>
      <c r="AJ86" s="633"/>
      <c r="AK86" s="633"/>
      <c r="AL86" s="633"/>
      <c r="AM86" s="633"/>
      <c r="AN86" s="1652">
        <v>11</v>
      </c>
    </row>
    <row s="1652" customFormat="1" customHeight="1" ht="11.549999999999999">
      <c r="A87" s="998"/>
      <c r="B87" s="998"/>
      <c r="C87" s="998"/>
      <c r="D87" s="998"/>
      <c r="E87" s="998"/>
      <c r="F87" s="1647"/>
      <c r="G87" s="1647"/>
      <c r="H87" s="362"/>
      <c r="N87" s="1652"/>
      <c r="O87" s="1652"/>
      <c r="P87" s="1652"/>
      <c r="Q87" s="1377"/>
      <c r="S87" s="1377"/>
      <c r="T87" s="1647"/>
      <c r="U87" s="1647"/>
      <c r="V87" s="1377"/>
      <c r="W87" s="1377"/>
      <c r="X87" s="1377"/>
      <c r="Y87" s="1377"/>
      <c r="Z87" s="1647"/>
      <c r="AA87" s="1377"/>
      <c r="AB87" s="1377"/>
      <c r="AC87" s="555"/>
      <c r="AD87" s="1377"/>
      <c r="AE87" s="1377"/>
      <c r="AF87" s="1377"/>
      <c r="AG87" s="1377"/>
      <c r="AH87" s="1377"/>
      <c r="AI87" s="1643"/>
      <c r="AJ87" s="633"/>
      <c r="AK87" s="633"/>
      <c r="AL87" s="633"/>
      <c r="AM87" s="633"/>
      <c r="AN87" s="1652">
        <v>11</v>
      </c>
    </row>
    <row s="1652" customFormat="1" customHeight="1" ht="11.549999999999999">
      <c r="A88" s="998"/>
      <c r="B88" s="998"/>
      <c r="C88" s="998"/>
      <c r="D88" s="998"/>
      <c r="E88" s="998"/>
      <c r="F88" s="1647"/>
      <c r="G88" s="1647"/>
      <c r="H88" s="362"/>
      <c r="N88" s="1652"/>
      <c r="O88" s="1652"/>
      <c r="P88" s="1652"/>
      <c r="Q88" s="1377"/>
      <c r="S88" s="1377"/>
      <c r="T88" s="1647"/>
      <c r="U88" s="1647"/>
      <c r="V88" s="1377"/>
      <c r="W88" s="1377"/>
      <c r="X88" s="1377"/>
      <c r="Y88" s="1377"/>
      <c r="Z88" s="1647"/>
      <c r="AA88" s="1377"/>
      <c r="AB88" s="1377"/>
      <c r="AC88" s="555"/>
      <c r="AD88" s="1377"/>
      <c r="AE88" s="1377"/>
      <c r="AF88" s="1377"/>
      <c r="AG88" s="1377"/>
      <c r="AH88" s="1377"/>
      <c r="AI88" s="1643"/>
      <c r="AJ88" s="633"/>
      <c r="AK88" s="633"/>
      <c r="AL88" s="633"/>
      <c r="AM88" s="633"/>
      <c r="AN88" s="1652">
        <v>11</v>
      </c>
    </row>
    <row s="1652" customFormat="1" customHeight="1" ht="11.549999999999999">
      <c r="A89" s="998"/>
      <c r="B89" s="998"/>
      <c r="C89" s="998"/>
      <c r="D89" s="998"/>
      <c r="E89" s="998"/>
      <c r="F89" s="1647"/>
      <c r="G89" s="1647"/>
      <c r="H89" s="362"/>
      <c r="N89" s="1652"/>
      <c r="O89" s="1652"/>
      <c r="P89" s="1652"/>
      <c r="Q89" s="1377"/>
      <c r="S89" s="1377"/>
      <c r="T89" s="1647"/>
      <c r="U89" s="1647"/>
      <c r="V89" s="1377"/>
      <c r="W89" s="1377"/>
      <c r="X89" s="1377"/>
      <c r="Y89" s="1377"/>
      <c r="Z89" s="1647"/>
      <c r="AA89" s="1377"/>
      <c r="AB89" s="1377"/>
      <c r="AC89" s="555"/>
      <c r="AD89" s="1377"/>
      <c r="AE89" s="1377"/>
      <c r="AF89" s="1377"/>
      <c r="AG89" s="1377"/>
      <c r="AH89" s="1377"/>
      <c r="AI89" s="1643"/>
      <c r="AJ89" s="633"/>
      <c r="AK89" s="633"/>
      <c r="AL89" s="633"/>
      <c r="AM89" s="633"/>
      <c r="AN89" s="1652">
        <v>11</v>
      </c>
    </row>
    <row s="1652" customFormat="1" customHeight="1" ht="11.549999999999999">
      <c r="A90" s="998"/>
      <c r="B90" s="998"/>
      <c r="C90" s="998"/>
      <c r="D90" s="998"/>
      <c r="E90" s="998"/>
      <c r="F90" s="1647"/>
      <c r="G90" s="1647"/>
      <c r="H90" s="362"/>
      <c r="N90" s="1652"/>
      <c r="O90" s="1652"/>
      <c r="P90" s="1652"/>
      <c r="Q90" s="1377"/>
      <c r="S90" s="1377"/>
      <c r="T90" s="1647"/>
      <c r="U90" s="1647"/>
      <c r="V90" s="1377"/>
      <c r="W90" s="1377"/>
      <c r="X90" s="1377"/>
      <c r="Y90" s="1377"/>
      <c r="Z90" s="1647"/>
      <c r="AA90" s="1377"/>
      <c r="AB90" s="1377"/>
      <c r="AC90" s="555"/>
      <c r="AD90" s="1377"/>
      <c r="AE90" s="1377"/>
      <c r="AF90" s="1377"/>
      <c r="AG90" s="1377"/>
      <c r="AH90" s="1377"/>
      <c r="AI90" s="1643"/>
      <c r="AJ90" s="633"/>
      <c r="AK90" s="633"/>
      <c r="AL90" s="633"/>
      <c r="AM90" s="633"/>
      <c r="AN90" s="1652">
        <v>11</v>
      </c>
    </row>
    <row s="1652" customFormat="1" customHeight="1" ht="11.549999999999999">
      <c r="A91" s="998"/>
      <c r="B91" s="998"/>
      <c r="C91" s="998"/>
      <c r="D91" s="998"/>
      <c r="E91" s="998"/>
      <c r="F91" s="1647"/>
      <c r="G91" s="1647"/>
      <c r="H91" s="362"/>
      <c r="N91" s="1652"/>
      <c r="O91" s="1652"/>
      <c r="P91" s="1652"/>
      <c r="Q91" s="1377"/>
      <c r="S91" s="1377"/>
      <c r="T91" s="1647"/>
      <c r="U91" s="1647"/>
      <c r="V91" s="1377"/>
      <c r="W91" s="1377"/>
      <c r="X91" s="1377"/>
      <c r="Y91" s="1377"/>
      <c r="Z91" s="1647"/>
      <c r="AA91" s="1377"/>
      <c r="AB91" s="1377"/>
      <c r="AC91" s="555"/>
      <c r="AD91" s="1377"/>
      <c r="AE91" s="1377"/>
      <c r="AF91" s="1377"/>
      <c r="AG91" s="1377"/>
      <c r="AH91" s="1377"/>
      <c r="AI91" s="1643"/>
      <c r="AJ91" s="633"/>
      <c r="AK91" s="633"/>
      <c r="AL91" s="633"/>
      <c r="AM91" s="633"/>
      <c r="AN91" s="1652">
        <v>11</v>
      </c>
    </row>
    <row s="1652" customFormat="1" customHeight="1" ht="11.549999999999999">
      <c r="A92" s="998"/>
      <c r="B92" s="998"/>
      <c r="C92" s="998"/>
      <c r="D92" s="998"/>
      <c r="E92" s="998"/>
      <c r="F92" s="1647"/>
      <c r="G92" s="1647"/>
      <c r="H92" s="362"/>
      <c r="N92" s="1652"/>
      <c r="O92" s="1652"/>
      <c r="P92" s="1652"/>
      <c r="Q92" s="1377"/>
      <c r="S92" s="1377"/>
      <c r="T92" s="1647"/>
      <c r="U92" s="1647"/>
      <c r="V92" s="1377"/>
      <c r="W92" s="1377"/>
      <c r="X92" s="1377"/>
      <c r="Y92" s="1377"/>
      <c r="Z92" s="1647"/>
      <c r="AA92" s="1377"/>
      <c r="AB92" s="1377"/>
      <c r="AC92" s="555"/>
      <c r="AD92" s="1377"/>
      <c r="AE92" s="1377"/>
      <c r="AF92" s="1377"/>
      <c r="AG92" s="1377"/>
      <c r="AH92" s="1377"/>
      <c r="AI92" s="1643"/>
      <c r="AJ92" s="633"/>
      <c r="AK92" s="633"/>
      <c r="AL92" s="633"/>
      <c r="AM92" s="633"/>
      <c r="AN92" s="1652">
        <v>11</v>
      </c>
    </row>
    <row s="1652" customFormat="1" customHeight="1" ht="11.549999999999999">
      <c r="A93" s="998"/>
      <c r="B93" s="998"/>
      <c r="C93" s="998"/>
      <c r="D93" s="998"/>
      <c r="E93" s="998"/>
      <c r="F93" s="1647"/>
      <c r="G93" s="1647"/>
      <c r="H93" s="362"/>
      <c r="N93" s="1652"/>
      <c r="O93" s="1652"/>
      <c r="P93" s="1652"/>
      <c r="Q93" s="1377"/>
      <c r="S93" s="1377"/>
      <c r="T93" s="1647"/>
      <c r="U93" s="1647"/>
      <c r="V93" s="1377"/>
      <c r="W93" s="1377"/>
      <c r="X93" s="1377"/>
      <c r="Y93" s="1377"/>
      <c r="Z93" s="1647"/>
      <c r="AA93" s="1377"/>
      <c r="AB93" s="1377"/>
      <c r="AC93" s="555"/>
      <c r="AD93" s="1377"/>
      <c r="AE93" s="1377"/>
      <c r="AF93" s="1377"/>
      <c r="AG93" s="1377"/>
      <c r="AH93" s="1377"/>
      <c r="AI93" s="1643"/>
      <c r="AJ93" s="633"/>
      <c r="AK93" s="633"/>
      <c r="AL93" s="633"/>
      <c r="AM93" s="633"/>
      <c r="AN93" s="1652">
        <v>11</v>
      </c>
    </row>
    <row s="1652" customFormat="1" customHeight="1" ht="11.549999999999999">
      <c r="A94" s="998"/>
      <c r="B94" s="998"/>
      <c r="C94" s="998"/>
      <c r="D94" s="998"/>
      <c r="E94" s="998"/>
      <c r="F94" s="1647"/>
      <c r="G94" s="1647"/>
      <c r="H94" s="362"/>
      <c r="N94" s="1652"/>
      <c r="O94" s="1652"/>
      <c r="P94" s="1652"/>
      <c r="Q94" s="1377"/>
      <c r="S94" s="1377"/>
      <c r="T94" s="1647"/>
      <c r="U94" s="1647"/>
      <c r="V94" s="1377"/>
      <c r="W94" s="1377"/>
      <c r="X94" s="1377"/>
      <c r="Y94" s="1377"/>
      <c r="Z94" s="1647"/>
      <c r="AA94" s="1377"/>
      <c r="AB94" s="1377"/>
      <c r="AC94" s="555"/>
      <c r="AD94" s="1377"/>
      <c r="AE94" s="1377"/>
      <c r="AF94" s="1377"/>
      <c r="AG94" s="1377"/>
      <c r="AH94" s="1377"/>
      <c r="AI94" s="1643"/>
      <c r="AJ94" s="633"/>
      <c r="AK94" s="633"/>
      <c r="AL94" s="633"/>
      <c r="AM94" s="633"/>
      <c r="AN94" s="1652">
        <v>11</v>
      </c>
    </row>
    <row s="1652" customFormat="1" customHeight="1" ht="11.549999999999999">
      <c r="A95" s="998"/>
      <c r="B95" s="998"/>
      <c r="C95" s="998"/>
      <c r="D95" s="998"/>
      <c r="E95" s="998"/>
      <c r="F95" s="1647"/>
      <c r="G95" s="1647"/>
      <c r="H95" s="362"/>
      <c r="N95" s="1652"/>
      <c r="O95" s="1652"/>
      <c r="P95" s="1652"/>
      <c r="Q95" s="1377"/>
      <c r="S95" s="1377"/>
      <c r="T95" s="1647"/>
      <c r="U95" s="1647"/>
      <c r="V95" s="1377"/>
      <c r="W95" s="1377"/>
      <c r="X95" s="1377"/>
      <c r="Y95" s="1377"/>
      <c r="Z95" s="1647"/>
      <c r="AA95" s="1377"/>
      <c r="AB95" s="1377"/>
      <c r="AC95" s="555"/>
      <c r="AD95" s="1377"/>
      <c r="AE95" s="1377"/>
      <c r="AF95" s="1377"/>
      <c r="AG95" s="1377"/>
      <c r="AH95" s="1377"/>
      <c r="AI95" s="1643"/>
      <c r="AJ95" s="633"/>
      <c r="AK95" s="633"/>
      <c r="AL95" s="633"/>
      <c r="AM95" s="633"/>
      <c r="AN95" s="1652">
        <v>11</v>
      </c>
    </row>
    <row s="1652" customFormat="1" customHeight="1" ht="11.549999999999999">
      <c r="A96" s="998"/>
      <c r="B96" s="998"/>
      <c r="C96" s="998"/>
      <c r="D96" s="998"/>
      <c r="E96" s="998"/>
      <c r="F96" s="1647"/>
      <c r="G96" s="1647"/>
      <c r="H96" s="362"/>
      <c r="N96" s="1652"/>
      <c r="O96" s="1652"/>
      <c r="P96" s="1652"/>
      <c r="Q96" s="1377"/>
      <c r="S96" s="1377"/>
      <c r="T96" s="1647"/>
      <c r="U96" s="1647"/>
      <c r="V96" s="1377"/>
      <c r="W96" s="1377"/>
      <c r="X96" s="1377"/>
      <c r="Y96" s="1377"/>
      <c r="Z96" s="1647"/>
      <c r="AA96" s="1377"/>
      <c r="AB96" s="1377"/>
      <c r="AC96" s="555"/>
      <c r="AD96" s="1377"/>
      <c r="AE96" s="1377"/>
      <c r="AF96" s="1377"/>
      <c r="AG96" s="1377"/>
      <c r="AH96" s="1377"/>
      <c r="AI96" s="1643"/>
      <c r="AJ96" s="633"/>
      <c r="AK96" s="633"/>
      <c r="AL96" s="633"/>
      <c r="AM96" s="633"/>
      <c r="AN96" s="1652">
        <v>11</v>
      </c>
    </row>
    <row s="1652" customFormat="1" customHeight="1" ht="11.549999999999999">
      <c r="A97" s="998"/>
      <c r="B97" s="998"/>
      <c r="C97" s="998"/>
      <c r="D97" s="998"/>
      <c r="E97" s="998"/>
      <c r="F97" s="1647"/>
      <c r="G97" s="1647"/>
      <c r="H97" s="362"/>
      <c r="N97" s="1652"/>
      <c r="O97" s="1652"/>
      <c r="P97" s="1652"/>
      <c r="Q97" s="1377"/>
      <c r="S97" s="1377"/>
      <c r="T97" s="1647"/>
      <c r="U97" s="1647"/>
      <c r="V97" s="1377"/>
      <c r="W97" s="1377"/>
      <c r="X97" s="1377"/>
      <c r="Y97" s="1377"/>
      <c r="Z97" s="1647"/>
      <c r="AA97" s="1377"/>
      <c r="AB97" s="1377"/>
      <c r="AC97" s="555"/>
      <c r="AD97" s="1377"/>
      <c r="AE97" s="1377"/>
      <c r="AF97" s="1377"/>
      <c r="AG97" s="1377"/>
      <c r="AH97" s="1377"/>
      <c r="AI97" s="1643"/>
      <c r="AJ97" s="633"/>
      <c r="AK97" s="633"/>
      <c r="AL97" s="633"/>
      <c r="AM97" s="633"/>
      <c r="AN97" s="1652">
        <v>11</v>
      </c>
    </row>
    <row s="1652" customFormat="1" customHeight="1" ht="11.549999999999999">
      <c r="A98" s="998"/>
      <c r="B98" s="998"/>
      <c r="C98" s="998"/>
      <c r="D98" s="998"/>
      <c r="E98" s="998"/>
      <c r="F98" s="1647"/>
      <c r="G98" s="1647"/>
      <c r="H98" s="362"/>
      <c r="N98" s="1652"/>
      <c r="O98" s="1652"/>
      <c r="P98" s="1652"/>
      <c r="Q98" s="1377"/>
      <c r="S98" s="1377"/>
      <c r="T98" s="1647"/>
      <c r="U98" s="1647"/>
      <c r="V98" s="1377"/>
      <c r="W98" s="1377"/>
      <c r="X98" s="1377"/>
      <c r="Y98" s="1377"/>
      <c r="Z98" s="1647"/>
      <c r="AA98" s="1377"/>
      <c r="AB98" s="1377"/>
      <c r="AC98" s="555"/>
      <c r="AD98" s="1377"/>
      <c r="AE98" s="1377"/>
      <c r="AF98" s="1377"/>
      <c r="AG98" s="1377"/>
      <c r="AH98" s="1377"/>
      <c r="AI98" s="1643"/>
      <c r="AJ98" s="633"/>
      <c r="AK98" s="633"/>
      <c r="AL98" s="633"/>
      <c r="AM98" s="633"/>
      <c r="AN98" s="1652">
        <v>11</v>
      </c>
    </row>
    <row s="1652" customFormat="1" customHeight="1" ht="11.549999999999999">
      <c r="A99" s="998"/>
      <c r="B99" s="998"/>
      <c r="C99" s="998"/>
      <c r="D99" s="998"/>
      <c r="E99" s="998"/>
      <c r="F99" s="1647"/>
      <c r="G99" s="1647"/>
      <c r="H99" s="362"/>
      <c r="N99" s="1652"/>
      <c r="O99" s="1652"/>
      <c r="P99" s="1652"/>
      <c r="Q99" s="1377"/>
      <c r="S99" s="1377"/>
      <c r="T99" s="1647"/>
      <c r="U99" s="1647"/>
      <c r="V99" s="1377"/>
      <c r="W99" s="1377"/>
      <c r="X99" s="1377"/>
      <c r="Y99" s="1377"/>
      <c r="Z99" s="1647"/>
      <c r="AA99" s="1377"/>
      <c r="AB99" s="1377"/>
      <c r="AC99" s="555"/>
      <c r="AD99" s="1377"/>
      <c r="AE99" s="1377"/>
      <c r="AF99" s="1377"/>
      <c r="AG99" s="1377"/>
      <c r="AH99" s="1377"/>
      <c r="AI99" s="1643"/>
      <c r="AJ99" s="633"/>
      <c r="AK99" s="633"/>
      <c r="AL99" s="633"/>
      <c r="AM99" s="633"/>
      <c r="AN99" s="1652">
        <v>11</v>
      </c>
    </row>
    <row s="1652" customFormat="1" customHeight="1" ht="11.549999999999999">
      <c r="A100" s="998"/>
      <c r="B100" s="998"/>
      <c r="C100" s="998"/>
      <c r="D100" s="998"/>
      <c r="E100" s="998"/>
      <c r="F100" s="1647"/>
      <c r="G100" s="1647"/>
      <c r="H100" s="362"/>
      <c r="N100" s="1652"/>
      <c r="O100" s="1652"/>
      <c r="P100" s="1652"/>
      <c r="Q100" s="1377"/>
      <c r="S100" s="1377"/>
      <c r="T100" s="1647"/>
      <c r="U100" s="1647"/>
      <c r="V100" s="1377"/>
      <c r="W100" s="1377"/>
      <c r="X100" s="1377"/>
      <c r="Y100" s="1377"/>
      <c r="Z100" s="1647"/>
      <c r="AA100" s="1377"/>
      <c r="AB100" s="1377"/>
      <c r="AC100" s="555"/>
      <c r="AD100" s="1377"/>
      <c r="AE100" s="1377"/>
      <c r="AF100" s="1377"/>
      <c r="AG100" s="1377"/>
      <c r="AH100" s="1377"/>
      <c r="AI100" s="1643"/>
      <c r="AJ100" s="633"/>
      <c r="AK100" s="633"/>
      <c r="AL100" s="633"/>
      <c r="AM100" s="633"/>
      <c r="AN100" s="1652">
        <v>11</v>
      </c>
    </row>
    <row s="1652" customFormat="1" customHeight="1" ht="11.549999999999999">
      <c r="A101" s="998"/>
      <c r="B101" s="998"/>
      <c r="C101" s="998"/>
      <c r="D101" s="998"/>
      <c r="E101" s="998"/>
      <c r="F101" s="1647"/>
      <c r="G101" s="1647"/>
      <c r="H101" s="362"/>
      <c r="N101" s="1652"/>
      <c r="O101" s="1652"/>
      <c r="P101" s="1652"/>
      <c r="Q101" s="1377"/>
      <c r="S101" s="1377"/>
      <c r="T101" s="1647"/>
      <c r="U101" s="1647"/>
      <c r="V101" s="1377"/>
      <c r="W101" s="1377"/>
      <c r="X101" s="1377"/>
      <c r="Y101" s="1377"/>
      <c r="Z101" s="1647"/>
      <c r="AA101" s="1377"/>
      <c r="AB101" s="1377"/>
      <c r="AC101" s="555"/>
      <c r="AD101" s="1377"/>
      <c r="AE101" s="1377"/>
      <c r="AF101" s="1377"/>
      <c r="AG101" s="1377"/>
      <c r="AH101" s="1377"/>
      <c r="AI101" s="1643"/>
      <c r="AJ101" s="633"/>
      <c r="AK101" s="633"/>
      <c r="AL101" s="633"/>
      <c r="AM101" s="633"/>
      <c r="AN101" s="1652">
        <v>11</v>
      </c>
    </row>
    <row s="1652" customFormat="1" customHeight="1" ht="11.549999999999999">
      <c r="A102" s="998"/>
      <c r="B102" s="998"/>
      <c r="C102" s="998"/>
      <c r="D102" s="998"/>
      <c r="E102" s="998"/>
      <c r="F102" s="1647"/>
      <c r="G102" s="1647"/>
      <c r="H102" s="362"/>
      <c r="N102" s="1652"/>
      <c r="O102" s="1652"/>
      <c r="P102" s="1652"/>
      <c r="Q102" s="1377"/>
      <c r="S102" s="1377"/>
      <c r="T102" s="1647"/>
      <c r="U102" s="1647"/>
      <c r="V102" s="1377"/>
      <c r="W102" s="1377"/>
      <c r="X102" s="1377"/>
      <c r="Y102" s="1377"/>
      <c r="Z102" s="1647"/>
      <c r="AA102" s="1377"/>
      <c r="AB102" s="1377"/>
      <c r="AC102" s="555"/>
      <c r="AD102" s="1377"/>
      <c r="AE102" s="1377"/>
      <c r="AF102" s="1377"/>
      <c r="AG102" s="1377"/>
      <c r="AH102" s="1377"/>
      <c r="AI102" s="1643"/>
      <c r="AJ102" s="633"/>
      <c r="AK102" s="633"/>
      <c r="AL102" s="633"/>
      <c r="AM102" s="633"/>
      <c r="AN102" s="1652">
        <v>11</v>
      </c>
    </row>
    <row s="1652" customFormat="1" customHeight="1" ht="11.549999999999999">
      <c r="A103" s="998"/>
      <c r="B103" s="998"/>
      <c r="C103" s="998"/>
      <c r="D103" s="998"/>
      <c r="E103" s="998"/>
      <c r="F103" s="1647"/>
      <c r="G103" s="1647"/>
      <c r="H103" s="362"/>
      <c r="N103" s="1652"/>
      <c r="O103" s="1652"/>
      <c r="P103" s="1652"/>
      <c r="Q103" s="1377"/>
      <c r="S103" s="1377"/>
      <c r="T103" s="1647"/>
      <c r="U103" s="1647"/>
      <c r="V103" s="1377"/>
      <c r="W103" s="1377"/>
      <c r="X103" s="1377"/>
      <c r="Y103" s="1377"/>
      <c r="Z103" s="1647"/>
      <c r="AA103" s="1377"/>
      <c r="AB103" s="1377"/>
      <c r="AC103" s="555"/>
      <c r="AD103" s="1377"/>
      <c r="AE103" s="1377"/>
      <c r="AF103" s="1377"/>
      <c r="AG103" s="1377"/>
      <c r="AH103" s="1377"/>
      <c r="AI103" s="1643"/>
      <c r="AJ103" s="633"/>
      <c r="AK103" s="633"/>
      <c r="AL103" s="633"/>
      <c r="AM103" s="633"/>
      <c r="AN103" s="1652">
        <v>11</v>
      </c>
    </row>
    <row s="1652" customFormat="1" customHeight="1" ht="11.549999999999999">
      <c r="A104" s="998"/>
      <c r="B104" s="998"/>
      <c r="C104" s="998"/>
      <c r="D104" s="998"/>
      <c r="E104" s="998"/>
      <c r="F104" s="1647"/>
      <c r="G104" s="1647"/>
      <c r="H104" s="362"/>
      <c r="N104" s="1652"/>
      <c r="O104" s="1652"/>
      <c r="P104" s="1652"/>
      <c r="Q104" s="1377"/>
      <c r="S104" s="1377"/>
      <c r="T104" s="1647"/>
      <c r="U104" s="1647"/>
      <c r="V104" s="1377"/>
      <c r="W104" s="1377"/>
      <c r="X104" s="1377"/>
      <c r="Y104" s="1377"/>
      <c r="Z104" s="1647"/>
      <c r="AA104" s="1377"/>
      <c r="AB104" s="1377"/>
      <c r="AC104" s="555"/>
      <c r="AD104" s="1377"/>
      <c r="AE104" s="1377"/>
      <c r="AF104" s="1377"/>
      <c r="AG104" s="1377"/>
      <c r="AH104" s="1377"/>
      <c r="AI104" s="1643"/>
      <c r="AJ104" s="633"/>
      <c r="AK104" s="633"/>
      <c r="AL104" s="633"/>
      <c r="AM104" s="633"/>
      <c r="AN104" s="1652">
        <v>11</v>
      </c>
    </row>
    <row s="1652" customFormat="1" customHeight="1" ht="11.549999999999999">
      <c r="A105" s="998"/>
      <c r="B105" s="998"/>
      <c r="C105" s="998"/>
      <c r="D105" s="998"/>
      <c r="E105" s="998"/>
      <c r="F105" s="1647"/>
      <c r="G105" s="1647"/>
      <c r="H105" s="362"/>
      <c r="N105" s="1652"/>
      <c r="O105" s="1652"/>
      <c r="P105" s="1652"/>
      <c r="Q105" s="1377"/>
      <c r="S105" s="1377"/>
      <c r="T105" s="1647"/>
      <c r="U105" s="1647"/>
      <c r="V105" s="1377"/>
      <c r="W105" s="1377"/>
      <c r="X105" s="1377"/>
      <c r="Y105" s="1377"/>
      <c r="Z105" s="1647"/>
      <c r="AA105" s="1377"/>
      <c r="AB105" s="1377"/>
      <c r="AC105" s="555"/>
      <c r="AD105" s="1377"/>
      <c r="AE105" s="1377"/>
      <c r="AF105" s="1377"/>
      <c r="AG105" s="1377"/>
      <c r="AH105" s="1377"/>
      <c r="AI105" s="1643"/>
      <c r="AJ105" s="633"/>
      <c r="AK105" s="633"/>
      <c r="AL105" s="633"/>
      <c r="AM105" s="633"/>
      <c r="AN105" s="1652">
        <v>11</v>
      </c>
    </row>
    <row s="1652" customFormat="1" customHeight="1" ht="11.549999999999999">
      <c r="A106" s="998"/>
      <c r="B106" s="998"/>
      <c r="C106" s="998"/>
      <c r="D106" s="998"/>
      <c r="E106" s="998"/>
      <c r="F106" s="1647"/>
      <c r="G106" s="1647"/>
      <c r="H106" s="362"/>
      <c r="N106" s="1652"/>
      <c r="O106" s="1652"/>
      <c r="P106" s="1652"/>
      <c r="Q106" s="1377"/>
      <c r="S106" s="1377"/>
      <c r="T106" s="1647"/>
      <c r="U106" s="1647"/>
      <c r="V106" s="1377"/>
      <c r="W106" s="1377"/>
      <c r="X106" s="1377"/>
      <c r="Y106" s="1377"/>
      <c r="Z106" s="1647"/>
      <c r="AA106" s="1377"/>
      <c r="AB106" s="1377"/>
      <c r="AC106" s="555"/>
      <c r="AD106" s="1377"/>
      <c r="AE106" s="1377"/>
      <c r="AF106" s="1377"/>
      <c r="AG106" s="1377"/>
      <c r="AH106" s="1377"/>
      <c r="AI106" s="1643"/>
      <c r="AJ106" s="633"/>
      <c r="AK106" s="633"/>
      <c r="AL106" s="633"/>
      <c r="AM106" s="633"/>
      <c r="AN106" s="1652">
        <v>11</v>
      </c>
    </row>
    <row s="1652" customFormat="1" customHeight="1" ht="11.549999999999999">
      <c r="A107" s="998"/>
      <c r="B107" s="998"/>
      <c r="C107" s="998"/>
      <c r="D107" s="998"/>
      <c r="E107" s="998"/>
      <c r="F107" s="1647"/>
      <c r="G107" s="1647"/>
      <c r="H107" s="362"/>
      <c r="N107" s="1652"/>
      <c r="O107" s="1652"/>
      <c r="P107" s="1652"/>
      <c r="Q107" s="1377"/>
      <c r="S107" s="1377"/>
      <c r="T107" s="1647"/>
      <c r="U107" s="1647"/>
      <c r="V107" s="1377"/>
      <c r="W107" s="1377"/>
      <c r="X107" s="1377"/>
      <c r="Y107" s="1377"/>
      <c r="Z107" s="1647"/>
      <c r="AA107" s="1377"/>
      <c r="AB107" s="1377"/>
      <c r="AC107" s="555"/>
      <c r="AD107" s="1377"/>
      <c r="AE107" s="1377"/>
      <c r="AF107" s="1377"/>
      <c r="AG107" s="1377"/>
      <c r="AH107" s="1377"/>
      <c r="AI107" s="1643"/>
      <c r="AJ107" s="633"/>
      <c r="AK107" s="633"/>
      <c r="AL107" s="633"/>
      <c r="AM107" s="633"/>
      <c r="AN107" s="1652">
        <v>11</v>
      </c>
    </row>
    <row s="1652" customFormat="1" customHeight="1" ht="11.549999999999999">
      <c r="A108" s="998"/>
      <c r="B108" s="998"/>
      <c r="C108" s="998"/>
      <c r="D108" s="998"/>
      <c r="E108" s="998"/>
      <c r="F108" s="1647"/>
      <c r="G108" s="1647"/>
      <c r="H108" s="362"/>
      <c r="N108" s="1652"/>
      <c r="O108" s="1652"/>
      <c r="P108" s="1652"/>
      <c r="Q108" s="1377"/>
      <c r="S108" s="1377"/>
      <c r="T108" s="1647"/>
      <c r="U108" s="1647"/>
      <c r="V108" s="1377"/>
      <c r="W108" s="1377"/>
      <c r="X108" s="1377"/>
      <c r="Y108" s="1377"/>
      <c r="Z108" s="1647"/>
      <c r="AA108" s="1377"/>
      <c r="AB108" s="1377"/>
      <c r="AC108" s="555"/>
      <c r="AD108" s="1377"/>
      <c r="AE108" s="1377"/>
      <c r="AF108" s="1377"/>
      <c r="AG108" s="1377"/>
      <c r="AH108" s="1377"/>
      <c r="AI108" s="1643"/>
      <c r="AJ108" s="633"/>
      <c r="AK108" s="633"/>
      <c r="AL108" s="633"/>
      <c r="AM108" s="633"/>
      <c r="AN108" s="1652">
        <v>11</v>
      </c>
    </row>
    <row s="1652" customFormat="1" customHeight="1" ht="11.549999999999999">
      <c r="A109" s="998"/>
      <c r="B109" s="998"/>
      <c r="C109" s="998"/>
      <c r="D109" s="998"/>
      <c r="E109" s="998"/>
      <c r="F109" s="1647"/>
      <c r="G109" s="1647"/>
      <c r="H109" s="362"/>
      <c r="N109" s="1652"/>
      <c r="O109" s="1652"/>
      <c r="P109" s="1652"/>
      <c r="Q109" s="1377"/>
      <c r="S109" s="1377"/>
      <c r="T109" s="1647"/>
      <c r="U109" s="1647"/>
      <c r="V109" s="1377"/>
      <c r="W109" s="1377"/>
      <c r="X109" s="1377"/>
      <c r="Y109" s="1377"/>
      <c r="Z109" s="1647"/>
      <c r="AA109" s="1377"/>
      <c r="AB109" s="1377"/>
      <c r="AC109" s="555"/>
      <c r="AD109" s="1377"/>
      <c r="AE109" s="1377"/>
      <c r="AF109" s="1377"/>
      <c r="AG109" s="1377"/>
      <c r="AH109" s="1377"/>
      <c r="AI109" s="1643"/>
      <c r="AJ109" s="633"/>
      <c r="AK109" s="633"/>
      <c r="AL109" s="633"/>
      <c r="AM109" s="633"/>
      <c r="AN109" s="1652">
        <v>11</v>
      </c>
    </row>
    <row s="1652" customFormat="1" customHeight="1" ht="11.549999999999999">
      <c r="A110" s="998"/>
      <c r="B110" s="998"/>
      <c r="C110" s="998"/>
      <c r="D110" s="998"/>
      <c r="E110" s="998"/>
      <c r="F110" s="1647"/>
      <c r="G110" s="1647"/>
      <c r="H110" s="362"/>
      <c r="N110" s="1652"/>
      <c r="O110" s="1652"/>
      <c r="P110" s="1652"/>
      <c r="Q110" s="1377"/>
      <c r="S110" s="1377"/>
      <c r="T110" s="1647"/>
      <c r="U110" s="1647"/>
      <c r="V110" s="1377"/>
      <c r="W110" s="1377"/>
      <c r="X110" s="1377"/>
      <c r="Y110" s="1377"/>
      <c r="Z110" s="1647"/>
      <c r="AA110" s="1377"/>
      <c r="AB110" s="1377"/>
      <c r="AC110" s="555"/>
      <c r="AD110" s="1377"/>
      <c r="AE110" s="1377"/>
      <c r="AF110" s="1377"/>
      <c r="AG110" s="1377"/>
      <c r="AH110" s="1377"/>
      <c r="AI110" s="1643"/>
      <c r="AJ110" s="633"/>
      <c r="AK110" s="633"/>
      <c r="AL110" s="633"/>
      <c r="AM110" s="633"/>
      <c r="AN110" s="1652">
        <v>11</v>
      </c>
    </row>
    <row s="1652" customFormat="1" customHeight="1" ht="11.549999999999999">
      <c r="A111" s="998"/>
      <c r="B111" s="998"/>
      <c r="C111" s="998"/>
      <c r="D111" s="998"/>
      <c r="E111" s="998"/>
      <c r="F111" s="1647"/>
      <c r="G111" s="1647"/>
      <c r="H111" s="362"/>
      <c r="N111" s="1652"/>
      <c r="O111" s="1652"/>
      <c r="P111" s="1652"/>
      <c r="Q111" s="1377"/>
      <c r="S111" s="1377"/>
      <c r="T111" s="1647"/>
      <c r="U111" s="1647"/>
      <c r="V111" s="1377"/>
      <c r="W111" s="1377"/>
      <c r="X111" s="1377"/>
      <c r="Y111" s="1377"/>
      <c r="Z111" s="1647"/>
      <c r="AA111" s="1377"/>
      <c r="AB111" s="1377"/>
      <c r="AC111" s="555"/>
      <c r="AD111" s="1377"/>
      <c r="AE111" s="1377"/>
      <c r="AF111" s="1377"/>
      <c r="AG111" s="1377"/>
      <c r="AH111" s="1377"/>
      <c r="AI111" s="1643"/>
      <c r="AJ111" s="633"/>
      <c r="AK111" s="633"/>
      <c r="AL111" s="633"/>
      <c r="AM111" s="633"/>
      <c r="AN111" s="1652">
        <v>11</v>
      </c>
    </row>
    <row s="1652" customFormat="1" customHeight="1" ht="11.549999999999999">
      <c r="A112" s="998"/>
      <c r="B112" s="998"/>
      <c r="C112" s="998"/>
      <c r="D112" s="998"/>
      <c r="E112" s="998"/>
      <c r="F112" s="1647"/>
      <c r="G112" s="1647"/>
      <c r="H112" s="362"/>
      <c r="N112" s="1652"/>
      <c r="O112" s="1652"/>
      <c r="P112" s="1652"/>
      <c r="Q112" s="1377"/>
      <c r="S112" s="1377"/>
      <c r="T112" s="1647"/>
      <c r="U112" s="1647"/>
      <c r="V112" s="1377"/>
      <c r="W112" s="1377"/>
      <c r="X112" s="1377"/>
      <c r="Y112" s="1377"/>
      <c r="Z112" s="1647"/>
      <c r="AA112" s="1377"/>
      <c r="AB112" s="1377"/>
      <c r="AC112" s="555"/>
      <c r="AD112" s="1377"/>
      <c r="AE112" s="1377"/>
      <c r="AF112" s="1377"/>
      <c r="AG112" s="1377"/>
      <c r="AH112" s="1377"/>
      <c r="AI112" s="1643"/>
      <c r="AJ112" s="633"/>
      <c r="AK112" s="633"/>
      <c r="AL112" s="633"/>
      <c r="AM112" s="633"/>
      <c r="AN112" s="1652">
        <v>11</v>
      </c>
    </row>
    <row s="1652" customFormat="1" customHeight="1" ht="11.549999999999999">
      <c r="A113" s="998"/>
      <c r="B113" s="998"/>
      <c r="C113" s="998"/>
      <c r="D113" s="998"/>
      <c r="E113" s="998"/>
      <c r="F113" s="1647"/>
      <c r="G113" s="1647"/>
      <c r="H113" s="362"/>
      <c r="N113" s="1652"/>
      <c r="O113" s="1652"/>
      <c r="P113" s="1652"/>
      <c r="Q113" s="1377"/>
      <c r="S113" s="1377"/>
      <c r="T113" s="1647"/>
      <c r="U113" s="1647"/>
      <c r="V113" s="1377"/>
      <c r="W113" s="1377"/>
      <c r="X113" s="1377"/>
      <c r="Y113" s="1377"/>
      <c r="Z113" s="1647"/>
      <c r="AA113" s="1377"/>
      <c r="AB113" s="1377"/>
      <c r="AC113" s="555"/>
      <c r="AD113" s="1377"/>
      <c r="AE113" s="1377"/>
      <c r="AF113" s="1377"/>
      <c r="AG113" s="1377"/>
      <c r="AH113" s="1377"/>
      <c r="AI113" s="1643"/>
      <c r="AJ113" s="633"/>
      <c r="AK113" s="633"/>
      <c r="AL113" s="633"/>
      <c r="AM113" s="633"/>
      <c r="AN113" s="1652">
        <v>11</v>
      </c>
    </row>
    <row s="1652" customFormat="1" customHeight="1" ht="11.549999999999999">
      <c r="A114" s="998"/>
      <c r="B114" s="998"/>
      <c r="C114" s="998"/>
      <c r="D114" s="998"/>
      <c r="E114" s="998"/>
      <c r="F114" s="1647"/>
      <c r="G114" s="1647"/>
      <c r="H114" s="362"/>
      <c r="N114" s="1652"/>
      <c r="O114" s="1652"/>
      <c r="P114" s="1652"/>
      <c r="Q114" s="1377"/>
      <c r="S114" s="1377"/>
      <c r="T114" s="1647"/>
      <c r="U114" s="1647"/>
      <c r="V114" s="1377"/>
      <c r="W114" s="1377"/>
      <c r="X114" s="1377"/>
      <c r="Y114" s="1377"/>
      <c r="Z114" s="1647"/>
      <c r="AA114" s="1377"/>
      <c r="AB114" s="1377"/>
      <c r="AC114" s="555"/>
      <c r="AD114" s="1377"/>
      <c r="AE114" s="1377"/>
      <c r="AF114" s="1377"/>
      <c r="AG114" s="1377"/>
      <c r="AH114" s="1377"/>
      <c r="AI114" s="1643"/>
      <c r="AJ114" s="633"/>
      <c r="AK114" s="633"/>
      <c r="AL114" s="633"/>
      <c r="AM114" s="633"/>
      <c r="AN114" s="1652">
        <v>11</v>
      </c>
    </row>
    <row s="1652" customFormat="1" customHeight="1" ht="11.549999999999999">
      <c r="A115" s="998"/>
      <c r="B115" s="998"/>
      <c r="C115" s="998"/>
      <c r="D115" s="998"/>
      <c r="E115" s="998"/>
      <c r="F115" s="1647"/>
      <c r="G115" s="1647"/>
      <c r="H115" s="362"/>
      <c r="N115" s="1652"/>
      <c r="O115" s="1652"/>
      <c r="P115" s="1652"/>
      <c r="Q115" s="1377"/>
      <c r="S115" s="1377"/>
      <c r="T115" s="1647"/>
      <c r="U115" s="1647"/>
      <c r="V115" s="1377"/>
      <c r="W115" s="1377"/>
      <c r="X115" s="1377"/>
      <c r="Y115" s="1377"/>
      <c r="Z115" s="1647"/>
      <c r="AA115" s="1377"/>
      <c r="AB115" s="1377"/>
      <c r="AC115" s="555"/>
      <c r="AD115" s="1377"/>
      <c r="AE115" s="1377"/>
      <c r="AF115" s="1377"/>
      <c r="AG115" s="1377"/>
      <c r="AH115" s="1377"/>
      <c r="AI115" s="1643"/>
      <c r="AJ115" s="633"/>
      <c r="AK115" s="633"/>
      <c r="AL115" s="633"/>
      <c r="AM115" s="633"/>
      <c r="AN115" s="1652">
        <v>11</v>
      </c>
    </row>
    <row s="1652" customFormat="1" customHeight="1" ht="11.549999999999999">
      <c r="A116" s="998"/>
      <c r="B116" s="998"/>
      <c r="C116" s="998"/>
      <c r="D116" s="998"/>
      <c r="E116" s="998"/>
      <c r="F116" s="1647"/>
      <c r="G116" s="1647"/>
      <c r="H116" s="362"/>
      <c r="N116" s="1652"/>
      <c r="O116" s="1652"/>
      <c r="P116" s="1652"/>
      <c r="Q116" s="1377"/>
      <c r="S116" s="1377"/>
      <c r="T116" s="1647"/>
      <c r="U116" s="1647"/>
      <c r="V116" s="1377"/>
      <c r="W116" s="1377"/>
      <c r="X116" s="1377"/>
      <c r="Y116" s="1377"/>
      <c r="Z116" s="1647"/>
      <c r="AA116" s="1377"/>
      <c r="AB116" s="1377"/>
      <c r="AC116" s="555"/>
      <c r="AD116" s="1377"/>
      <c r="AE116" s="1377"/>
      <c r="AF116" s="1377"/>
      <c r="AG116" s="1377"/>
      <c r="AH116" s="1377"/>
      <c r="AI116" s="1643"/>
      <c r="AJ116" s="633"/>
      <c r="AK116" s="633"/>
      <c r="AL116" s="633"/>
      <c r="AM116" s="633"/>
      <c r="AN116" s="1652">
        <v>11</v>
      </c>
    </row>
    <row s="1652" customFormat="1" customHeight="1" ht="11.549999999999999">
      <c r="A117" s="998"/>
      <c r="B117" s="998"/>
      <c r="C117" s="998"/>
      <c r="D117" s="998"/>
      <c r="E117" s="998"/>
      <c r="F117" s="1647"/>
      <c r="G117" s="1647"/>
      <c r="H117" s="362"/>
      <c r="N117" s="1652"/>
      <c r="O117" s="1652"/>
      <c r="P117" s="1652"/>
      <c r="Q117" s="1377"/>
      <c r="S117" s="1377"/>
      <c r="T117" s="1647"/>
      <c r="U117" s="1647"/>
      <c r="V117" s="1377"/>
      <c r="W117" s="1377"/>
      <c r="X117" s="1377"/>
      <c r="Y117" s="1377"/>
      <c r="Z117" s="1647"/>
      <c r="AA117" s="1377"/>
      <c r="AB117" s="1377"/>
      <c r="AC117" s="555"/>
      <c r="AD117" s="1377"/>
      <c r="AE117" s="1377"/>
      <c r="AF117" s="1377"/>
      <c r="AG117" s="1377"/>
      <c r="AH117" s="1377"/>
      <c r="AI117" s="1643"/>
      <c r="AJ117" s="633"/>
      <c r="AK117" s="633"/>
      <c r="AL117" s="633"/>
      <c r="AM117" s="633"/>
      <c r="AN117" s="1652">
        <v>11</v>
      </c>
    </row>
    <row s="1652" customFormat="1" customHeight="1" ht="11.549999999999999">
      <c r="A118" s="998"/>
      <c r="B118" s="998"/>
      <c r="C118" s="998"/>
      <c r="D118" s="998"/>
      <c r="E118" s="998"/>
      <c r="F118" s="1647"/>
      <c r="G118" s="1647"/>
      <c r="H118" s="362"/>
      <c r="N118" s="1652"/>
      <c r="O118" s="1652"/>
      <c r="P118" s="1652"/>
      <c r="Q118" s="1377"/>
      <c r="S118" s="1377"/>
      <c r="T118" s="1647"/>
      <c r="U118" s="1647"/>
      <c r="V118" s="1377"/>
      <c r="W118" s="1377"/>
      <c r="X118" s="1377"/>
      <c r="Y118" s="1377"/>
      <c r="Z118" s="1647"/>
      <c r="AA118" s="1377"/>
      <c r="AB118" s="1377"/>
      <c r="AC118" s="555"/>
      <c r="AD118" s="1377"/>
      <c r="AE118" s="1377"/>
      <c r="AF118" s="1377"/>
      <c r="AG118" s="1377"/>
      <c r="AH118" s="1377"/>
      <c r="AI118" s="1643"/>
      <c r="AJ118" s="633"/>
      <c r="AK118" s="633"/>
      <c r="AL118" s="633"/>
      <c r="AM118" s="633"/>
      <c r="AN118" s="1652">
        <v>11</v>
      </c>
    </row>
    <row s="1652" customFormat="1" customHeight="1" ht="11.549999999999999">
      <c r="A119" s="998"/>
      <c r="B119" s="998"/>
      <c r="C119" s="998"/>
      <c r="D119" s="998"/>
      <c r="E119" s="998"/>
      <c r="F119" s="1647"/>
      <c r="G119" s="1647"/>
      <c r="H119" s="362"/>
      <c r="N119" s="1652"/>
      <c r="O119" s="1652"/>
      <c r="P119" s="1652"/>
      <c r="Q119" s="1377"/>
      <c r="S119" s="1377"/>
      <c r="T119" s="1647"/>
      <c r="U119" s="1647"/>
      <c r="V119" s="1377"/>
      <c r="W119" s="1377"/>
      <c r="X119" s="1377"/>
      <c r="Y119" s="1377"/>
      <c r="Z119" s="1647"/>
      <c r="AA119" s="1377"/>
      <c r="AB119" s="1377"/>
      <c r="AC119" s="555"/>
      <c r="AD119" s="1377"/>
      <c r="AE119" s="1377"/>
      <c r="AF119" s="1377"/>
      <c r="AG119" s="1377"/>
      <c r="AH119" s="1377"/>
      <c r="AI119" s="1643"/>
      <c r="AJ119" s="633"/>
      <c r="AK119" s="633"/>
      <c r="AL119" s="633"/>
      <c r="AM119" s="633"/>
      <c r="AN119" s="1652">
        <v>11</v>
      </c>
    </row>
    <row s="1652" customFormat="1" customHeight="1" ht="11.549999999999999">
      <c r="A120" s="998"/>
      <c r="B120" s="998"/>
      <c r="C120" s="998"/>
      <c r="D120" s="998"/>
      <c r="E120" s="998"/>
      <c r="F120" s="1647"/>
      <c r="G120" s="1647"/>
      <c r="H120" s="362"/>
      <c r="N120" s="1652"/>
      <c r="O120" s="1652"/>
      <c r="P120" s="1652"/>
      <c r="Q120" s="1377"/>
      <c r="S120" s="1377"/>
      <c r="T120" s="1647"/>
      <c r="U120" s="1647"/>
      <c r="V120" s="1377"/>
      <c r="W120" s="1377"/>
      <c r="X120" s="1377"/>
      <c r="Y120" s="1377"/>
      <c r="Z120" s="1647"/>
      <c r="AA120" s="1377"/>
      <c r="AB120" s="1377"/>
      <c r="AC120" s="555"/>
      <c r="AD120" s="1377"/>
      <c r="AE120" s="1377"/>
      <c r="AF120" s="1377"/>
      <c r="AG120" s="1377"/>
      <c r="AH120" s="1377"/>
      <c r="AI120" s="1643"/>
      <c r="AJ120" s="633"/>
      <c r="AK120" s="633"/>
      <c r="AL120" s="633"/>
      <c r="AM120" s="633"/>
      <c r="AN120" s="1652">
        <v>11</v>
      </c>
    </row>
    <row s="1652" customFormat="1" customHeight="1" ht="11.549999999999999">
      <c r="A121" s="998"/>
      <c r="B121" s="998"/>
      <c r="C121" s="998"/>
      <c r="D121" s="998"/>
      <c r="E121" s="998"/>
      <c r="F121" s="1647"/>
      <c r="G121" s="1647"/>
      <c r="H121" s="362"/>
      <c r="N121" s="1652"/>
      <c r="O121" s="1652"/>
      <c r="P121" s="1652"/>
      <c r="Q121" s="1377"/>
      <c r="S121" s="1377"/>
      <c r="T121" s="1647"/>
      <c r="U121" s="1647"/>
      <c r="V121" s="1377"/>
      <c r="W121" s="1377"/>
      <c r="X121" s="1377"/>
      <c r="Y121" s="1377"/>
      <c r="Z121" s="1647"/>
      <c r="AA121" s="1377"/>
      <c r="AB121" s="1377"/>
      <c r="AC121" s="555"/>
      <c r="AD121" s="1377"/>
      <c r="AE121" s="1377"/>
      <c r="AF121" s="1377"/>
      <c r="AG121" s="1377"/>
      <c r="AH121" s="1377"/>
      <c r="AI121" s="1643"/>
      <c r="AJ121" s="633"/>
      <c r="AK121" s="633"/>
      <c r="AL121" s="633"/>
      <c r="AM121" s="633"/>
      <c r="AN121" s="1652">
        <v>11</v>
      </c>
    </row>
    <row s="1652" customFormat="1" customHeight="1" ht="11.549999999999999">
      <c r="A122" s="998"/>
      <c r="B122" s="998"/>
      <c r="C122" s="998"/>
      <c r="D122" s="998"/>
      <c r="E122" s="998"/>
      <c r="F122" s="1647"/>
      <c r="G122" s="1647"/>
      <c r="H122" s="362"/>
      <c r="N122" s="1652"/>
      <c r="O122" s="1652"/>
      <c r="P122" s="1652"/>
      <c r="Q122" s="1377"/>
      <c r="S122" s="1377"/>
      <c r="T122" s="1647"/>
      <c r="U122" s="1647"/>
      <c r="V122" s="1377"/>
      <c r="W122" s="1377"/>
      <c r="X122" s="1377"/>
      <c r="Y122" s="1377"/>
      <c r="Z122" s="1647"/>
      <c r="AA122" s="1377"/>
      <c r="AB122" s="1377"/>
      <c r="AC122" s="555"/>
      <c r="AD122" s="1377"/>
      <c r="AE122" s="1377"/>
      <c r="AF122" s="1377"/>
      <c r="AG122" s="1377"/>
      <c r="AH122" s="1377"/>
      <c r="AI122" s="1643"/>
      <c r="AJ122" s="633"/>
      <c r="AK122" s="633"/>
      <c r="AL122" s="633"/>
      <c r="AM122" s="633"/>
      <c r="AN122" s="1652">
        <v>11</v>
      </c>
    </row>
    <row s="1652" customFormat="1" customHeight="1" ht="11.549999999999999">
      <c r="A123" s="998"/>
      <c r="B123" s="998"/>
      <c r="C123" s="998"/>
      <c r="D123" s="998"/>
      <c r="E123" s="998"/>
      <c r="F123" s="1647"/>
      <c r="G123" s="1647"/>
      <c r="H123" s="362"/>
      <c r="N123" s="1652"/>
      <c r="O123" s="1652"/>
      <c r="P123" s="1652"/>
      <c r="Q123" s="1377"/>
      <c r="S123" s="1377"/>
      <c r="T123" s="1647"/>
      <c r="U123" s="1647"/>
      <c r="V123" s="1377"/>
      <c r="W123" s="1377"/>
      <c r="X123" s="1377"/>
      <c r="Y123" s="1377"/>
      <c r="Z123" s="1647"/>
      <c r="AA123" s="1377"/>
      <c r="AB123" s="1377"/>
      <c r="AC123" s="555"/>
      <c r="AD123" s="1377"/>
      <c r="AE123" s="1377"/>
      <c r="AF123" s="1377"/>
      <c r="AG123" s="1377"/>
      <c r="AH123" s="1377"/>
      <c r="AI123" s="1643"/>
      <c r="AJ123" s="633"/>
      <c r="AK123" s="633"/>
      <c r="AL123" s="633"/>
      <c r="AM123" s="633"/>
      <c r="AN123" s="1652">
        <v>11</v>
      </c>
    </row>
    <row s="1652" customFormat="1" customHeight="1" ht="11.549999999999999">
      <c r="A124" s="998"/>
      <c r="B124" s="998"/>
      <c r="C124" s="998"/>
      <c r="D124" s="998"/>
      <c r="E124" s="998"/>
      <c r="F124" s="1647"/>
      <c r="G124" s="1647"/>
      <c r="H124" s="362"/>
      <c r="N124" s="1652"/>
      <c r="O124" s="1652"/>
      <c r="P124" s="1652"/>
      <c r="Q124" s="1377"/>
      <c r="S124" s="1377"/>
      <c r="T124" s="1647"/>
      <c r="U124" s="1647"/>
      <c r="V124" s="1377"/>
      <c r="W124" s="1377"/>
      <c r="X124" s="1377"/>
      <c r="Y124" s="1377"/>
      <c r="Z124" s="1647"/>
      <c r="AA124" s="1377"/>
      <c r="AB124" s="1377"/>
      <c r="AC124" s="555"/>
      <c r="AD124" s="1377"/>
      <c r="AE124" s="1377"/>
      <c r="AF124" s="1377"/>
      <c r="AG124" s="1377"/>
      <c r="AH124" s="1377"/>
      <c r="AI124" s="1643"/>
      <c r="AJ124" s="633"/>
      <c r="AK124" s="633"/>
      <c r="AL124" s="633"/>
      <c r="AM124" s="633"/>
      <c r="AN124" s="1652">
        <v>11</v>
      </c>
    </row>
    <row s="1652" customFormat="1" customHeight="1" ht="11.549999999999999">
      <c r="A125" s="998"/>
      <c r="B125" s="998"/>
      <c r="C125" s="998"/>
      <c r="D125" s="998"/>
      <c r="E125" s="998"/>
      <c r="F125" s="1647"/>
      <c r="G125" s="1647"/>
      <c r="H125" s="362"/>
      <c r="N125" s="1652"/>
      <c r="O125" s="1652"/>
      <c r="P125" s="1652"/>
      <c r="Q125" s="1377"/>
      <c r="S125" s="1377"/>
      <c r="T125" s="1647"/>
      <c r="U125" s="1647"/>
      <c r="V125" s="1377"/>
      <c r="W125" s="1377"/>
      <c r="X125" s="1377"/>
      <c r="Y125" s="1377"/>
      <c r="Z125" s="1647"/>
      <c r="AA125" s="1377"/>
      <c r="AB125" s="1377"/>
      <c r="AC125" s="555"/>
      <c r="AD125" s="1377"/>
      <c r="AE125" s="1377"/>
      <c r="AF125" s="1377"/>
      <c r="AG125" s="1377"/>
      <c r="AH125" s="1377"/>
      <c r="AI125" s="1643"/>
      <c r="AJ125" s="633"/>
      <c r="AK125" s="633"/>
      <c r="AL125" s="633"/>
      <c r="AM125" s="633"/>
      <c r="AN125" s="1652">
        <v>11</v>
      </c>
    </row>
    <row s="1652" customFormat="1" customHeight="1" ht="11.549999999999999">
      <c r="A126" s="998"/>
      <c r="B126" s="998"/>
      <c r="C126" s="998"/>
      <c r="D126" s="998"/>
      <c r="E126" s="998"/>
      <c r="F126" s="1647"/>
      <c r="G126" s="1647"/>
      <c r="H126" s="362"/>
      <c r="N126" s="1652"/>
      <c r="O126" s="1652"/>
      <c r="P126" s="1652"/>
      <c r="Q126" s="1377"/>
      <c r="S126" s="1377"/>
      <c r="T126" s="1647"/>
      <c r="U126" s="1647"/>
      <c r="V126" s="1377"/>
      <c r="W126" s="1377"/>
      <c r="X126" s="1377"/>
      <c r="Y126" s="1377"/>
      <c r="Z126" s="1647"/>
      <c r="AA126" s="1377"/>
      <c r="AB126" s="1377"/>
      <c r="AC126" s="555"/>
      <c r="AD126" s="1377"/>
      <c r="AE126" s="1377"/>
      <c r="AF126" s="1377"/>
      <c r="AG126" s="1377"/>
      <c r="AH126" s="1377"/>
      <c r="AI126" s="1643"/>
      <c r="AJ126" s="633"/>
      <c r="AK126" s="633"/>
      <c r="AL126" s="633"/>
      <c r="AM126" s="633"/>
      <c r="AN126" s="1652">
        <v>11</v>
      </c>
    </row>
    <row s="1652" customFormat="1" customHeight="1" ht="11.549999999999999">
      <c r="A127" s="998"/>
      <c r="B127" s="998"/>
      <c r="C127" s="998"/>
      <c r="D127" s="998"/>
      <c r="E127" s="998"/>
      <c r="F127" s="1647"/>
      <c r="G127" s="1647"/>
      <c r="H127" s="362"/>
      <c r="N127" s="1652"/>
      <c r="O127" s="1652"/>
      <c r="P127" s="1652"/>
      <c r="Q127" s="1377"/>
      <c r="S127" s="1377"/>
      <c r="T127" s="1647"/>
      <c r="U127" s="1647"/>
      <c r="V127" s="1377"/>
      <c r="W127" s="1377"/>
      <c r="X127" s="1377"/>
      <c r="Y127" s="1377"/>
      <c r="Z127" s="1647"/>
      <c r="AA127" s="1377"/>
      <c r="AB127" s="1377"/>
      <c r="AC127" s="555"/>
      <c r="AD127" s="1377"/>
      <c r="AE127" s="1377"/>
      <c r="AF127" s="1377"/>
      <c r="AG127" s="1377"/>
      <c r="AH127" s="1377"/>
      <c r="AI127" s="1643"/>
      <c r="AJ127" s="633"/>
      <c r="AK127" s="633"/>
      <c r="AL127" s="633"/>
      <c r="AM127" s="633"/>
      <c r="AN127" s="1652">
        <v>11</v>
      </c>
    </row>
    <row s="1652" customFormat="1" customHeight="1" ht="11.549999999999999">
      <c r="A128" s="998"/>
      <c r="B128" s="998"/>
      <c r="C128" s="998"/>
      <c r="D128" s="998"/>
      <c r="E128" s="998"/>
      <c r="F128" s="1647"/>
      <c r="G128" s="1647"/>
      <c r="H128" s="362"/>
      <c r="N128" s="1652"/>
      <c r="O128" s="1652"/>
      <c r="P128" s="1652"/>
      <c r="Q128" s="1377"/>
      <c r="S128" s="1377"/>
      <c r="T128" s="1647"/>
      <c r="U128" s="1647"/>
      <c r="V128" s="1377"/>
      <c r="W128" s="1377"/>
      <c r="X128" s="1377"/>
      <c r="Y128" s="1377"/>
      <c r="Z128" s="1647"/>
      <c r="AA128" s="1377"/>
      <c r="AB128" s="1377"/>
      <c r="AC128" s="555"/>
      <c r="AD128" s="1377"/>
      <c r="AE128" s="1377"/>
      <c r="AF128" s="1377"/>
      <c r="AG128" s="1377"/>
      <c r="AH128" s="1377"/>
      <c r="AI128" s="1643"/>
      <c r="AJ128" s="633"/>
      <c r="AK128" s="633"/>
      <c r="AL128" s="633"/>
      <c r="AM128" s="633"/>
      <c r="AN128" s="1652">
        <v>11</v>
      </c>
    </row>
    <row s="1652" customFormat="1" customHeight="1" ht="11.549999999999999">
      <c r="A129" s="998"/>
      <c r="B129" s="998"/>
      <c r="C129" s="998"/>
      <c r="D129" s="998"/>
      <c r="E129" s="998"/>
      <c r="F129" s="1647"/>
      <c r="G129" s="1647"/>
      <c r="H129" s="362"/>
      <c r="N129" s="1652"/>
      <c r="O129" s="1652"/>
      <c r="P129" s="1652"/>
      <c r="Q129" s="1377"/>
      <c r="S129" s="1377"/>
      <c r="T129" s="1647"/>
      <c r="U129" s="1647"/>
      <c r="V129" s="1377"/>
      <c r="W129" s="1377"/>
      <c r="X129" s="1377"/>
      <c r="Y129" s="1377"/>
      <c r="Z129" s="1647"/>
      <c r="AA129" s="1377"/>
      <c r="AB129" s="1377"/>
      <c r="AC129" s="555"/>
      <c r="AD129" s="1377"/>
      <c r="AE129" s="1377"/>
      <c r="AF129" s="1377"/>
      <c r="AG129" s="1377"/>
      <c r="AH129" s="1377"/>
      <c r="AI129" s="1643"/>
      <c r="AJ129" s="633"/>
      <c r="AK129" s="633"/>
      <c r="AL129" s="633"/>
      <c r="AM129" s="633"/>
      <c r="AN129" s="1652">
        <v>11</v>
      </c>
    </row>
    <row s="1652" customFormat="1" customHeight="1" ht="11.549999999999999">
      <c r="A130" s="998"/>
      <c r="B130" s="998"/>
      <c r="C130" s="998"/>
      <c r="D130" s="998"/>
      <c r="E130" s="998"/>
      <c r="F130" s="1647"/>
      <c r="G130" s="1647"/>
      <c r="H130" s="362"/>
      <c r="N130" s="1652"/>
      <c r="O130" s="1652"/>
      <c r="P130" s="1652"/>
      <c r="Q130" s="1377"/>
      <c r="S130" s="1377"/>
      <c r="T130" s="1647"/>
      <c r="U130" s="1647"/>
      <c r="V130" s="1377"/>
      <c r="W130" s="1377"/>
      <c r="X130" s="1377"/>
      <c r="Y130" s="1377"/>
      <c r="Z130" s="1647"/>
      <c r="AA130" s="1377"/>
      <c r="AB130" s="1377"/>
      <c r="AC130" s="555"/>
      <c r="AD130" s="1377"/>
      <c r="AE130" s="1377"/>
      <c r="AF130" s="1377"/>
      <c r="AG130" s="1377"/>
      <c r="AH130" s="1377"/>
      <c r="AI130" s="1643"/>
      <c r="AJ130" s="633"/>
      <c r="AK130" s="633"/>
      <c r="AL130" s="633"/>
      <c r="AM130" s="633"/>
      <c r="AN130" s="1652">
        <v>11</v>
      </c>
    </row>
    <row s="1652" customFormat="1" customHeight="1" ht="11.549999999999999">
      <c r="A131" s="998"/>
      <c r="B131" s="998"/>
      <c r="C131" s="998"/>
      <c r="D131" s="998"/>
      <c r="E131" s="998"/>
      <c r="F131" s="1647"/>
      <c r="G131" s="1647"/>
      <c r="H131" s="362"/>
      <c r="N131" s="1652"/>
      <c r="O131" s="1652"/>
      <c r="P131" s="1652"/>
      <c r="Q131" s="1377"/>
      <c r="S131" s="1377"/>
      <c r="T131" s="1647"/>
      <c r="U131" s="1647"/>
      <c r="V131" s="1377"/>
      <c r="W131" s="1377"/>
      <c r="X131" s="1377"/>
      <c r="Y131" s="1377"/>
      <c r="Z131" s="1647"/>
      <c r="AA131" s="1377"/>
      <c r="AB131" s="1377"/>
      <c r="AC131" s="555"/>
      <c r="AD131" s="1377"/>
      <c r="AE131" s="1377"/>
      <c r="AF131" s="1377"/>
      <c r="AG131" s="1377"/>
      <c r="AH131" s="1377"/>
      <c r="AI131" s="1643"/>
      <c r="AJ131" s="633"/>
      <c r="AK131" s="633"/>
      <c r="AL131" s="633"/>
      <c r="AM131" s="633"/>
      <c r="AN131" s="1652">
        <v>11</v>
      </c>
    </row>
    <row s="1652" customFormat="1" customHeight="1" ht="11.549999999999999">
      <c r="A132" s="998"/>
      <c r="B132" s="998"/>
      <c r="C132" s="998"/>
      <c r="D132" s="998"/>
      <c r="E132" s="998"/>
      <c r="F132" s="1647"/>
      <c r="G132" s="1647"/>
      <c r="H132" s="362"/>
      <c r="N132" s="1652"/>
      <c r="O132" s="1652"/>
      <c r="P132" s="1652"/>
      <c r="Q132" s="1377"/>
      <c r="S132" s="1377"/>
      <c r="T132" s="1647"/>
      <c r="U132" s="1647"/>
      <c r="V132" s="1377"/>
      <c r="W132" s="1377"/>
      <c r="X132" s="1377"/>
      <c r="Y132" s="1377"/>
      <c r="Z132" s="1647"/>
      <c r="AA132" s="1377"/>
      <c r="AB132" s="1377"/>
      <c r="AC132" s="555"/>
      <c r="AD132" s="1377"/>
      <c r="AE132" s="1377"/>
      <c r="AF132" s="1377"/>
      <c r="AG132" s="1377"/>
      <c r="AH132" s="1377"/>
      <c r="AI132" s="1643"/>
      <c r="AJ132" s="633"/>
      <c r="AK132" s="633"/>
      <c r="AL132" s="633"/>
      <c r="AM132" s="633"/>
      <c r="AN132" s="1652">
        <v>11</v>
      </c>
    </row>
    <row s="1652" customFormat="1" customHeight="1" ht="11.549999999999999">
      <c r="A133" s="998"/>
      <c r="B133" s="998"/>
      <c r="C133" s="998"/>
      <c r="D133" s="998"/>
      <c r="E133" s="998"/>
      <c r="F133" s="1647"/>
      <c r="G133" s="1647"/>
      <c r="H133" s="362"/>
      <c r="N133" s="1652"/>
      <c r="O133" s="1652"/>
      <c r="P133" s="1652"/>
      <c r="Q133" s="1377"/>
      <c r="S133" s="1377"/>
      <c r="T133" s="1647"/>
      <c r="U133" s="1647"/>
      <c r="V133" s="1377"/>
      <c r="W133" s="1377"/>
      <c r="X133" s="1377"/>
      <c r="Y133" s="1377"/>
      <c r="Z133" s="1647"/>
      <c r="AA133" s="1377"/>
      <c r="AB133" s="1377"/>
      <c r="AC133" s="555"/>
      <c r="AD133" s="1377"/>
      <c r="AE133" s="1377"/>
      <c r="AF133" s="1377"/>
      <c r="AG133" s="1377"/>
      <c r="AH133" s="1377"/>
      <c r="AI133" s="1643"/>
      <c r="AJ133" s="633"/>
      <c r="AK133" s="633"/>
      <c r="AL133" s="633"/>
      <c r="AM133" s="633"/>
      <c r="AN133" s="1652">
        <v>11</v>
      </c>
    </row>
    <row s="1652" customFormat="1" customHeight="1" ht="11.549999999999999">
      <c r="A134" s="998"/>
      <c r="B134" s="998"/>
      <c r="C134" s="998"/>
      <c r="D134" s="998"/>
      <c r="E134" s="998"/>
      <c r="F134" s="1647"/>
      <c r="G134" s="1647"/>
      <c r="H134" s="362"/>
      <c r="N134" s="1652"/>
      <c r="O134" s="1652"/>
      <c r="P134" s="1652"/>
      <c r="Q134" s="1377"/>
      <c r="S134" s="1377"/>
      <c r="T134" s="1647"/>
      <c r="U134" s="1647"/>
      <c r="V134" s="1377"/>
      <c r="W134" s="1377"/>
      <c r="X134" s="1377"/>
      <c r="Y134" s="1377"/>
      <c r="Z134" s="1647"/>
      <c r="AA134" s="1377"/>
      <c r="AB134" s="1377"/>
      <c r="AC134" s="555"/>
      <c r="AD134" s="1377"/>
      <c r="AE134" s="1377"/>
      <c r="AF134" s="1377"/>
      <c r="AG134" s="1377"/>
      <c r="AH134" s="1377"/>
      <c r="AI134" s="1643"/>
      <c r="AJ134" s="633"/>
      <c r="AK134" s="633"/>
      <c r="AL134" s="633"/>
      <c r="AM134" s="633"/>
      <c r="AN134" s="1652">
        <v>11</v>
      </c>
    </row>
    <row s="1652" customFormat="1" customHeight="1" ht="11.549999999999999">
      <c r="A135" s="998"/>
      <c r="B135" s="998"/>
      <c r="C135" s="998"/>
      <c r="D135" s="998"/>
      <c r="E135" s="998"/>
      <c r="F135" s="1647"/>
      <c r="G135" s="1647"/>
      <c r="H135" s="362"/>
      <c r="N135" s="1652"/>
      <c r="O135" s="1652"/>
      <c r="P135" s="1652"/>
      <c r="Q135" s="1377"/>
      <c r="S135" s="1377"/>
      <c r="T135" s="1647"/>
      <c r="U135" s="1647"/>
      <c r="V135" s="1377"/>
      <c r="W135" s="1377"/>
      <c r="X135" s="1377"/>
      <c r="Y135" s="1377"/>
      <c r="Z135" s="1647"/>
      <c r="AA135" s="1377"/>
      <c r="AB135" s="1377"/>
      <c r="AC135" s="555"/>
      <c r="AD135" s="1377"/>
      <c r="AE135" s="1377"/>
      <c r="AF135" s="1377"/>
      <c r="AG135" s="1377"/>
      <c r="AH135" s="1377"/>
      <c r="AI135" s="1643"/>
      <c r="AJ135" s="633"/>
      <c r="AK135" s="633"/>
      <c r="AL135" s="633"/>
      <c r="AM135" s="633"/>
      <c r="AN135" s="1652">
        <v>11</v>
      </c>
    </row>
    <row s="1652" customFormat="1" customHeight="1" ht="11.549999999999999">
      <c r="A136" s="998"/>
      <c r="B136" s="998"/>
      <c r="C136" s="998"/>
      <c r="D136" s="998"/>
      <c r="E136" s="998"/>
      <c r="F136" s="1647"/>
      <c r="G136" s="1647"/>
      <c r="H136" s="362"/>
      <c r="N136" s="1652"/>
      <c r="O136" s="1652"/>
      <c r="P136" s="1652"/>
      <c r="Q136" s="1377"/>
      <c r="S136" s="1377"/>
      <c r="T136" s="1647"/>
      <c r="U136" s="1647"/>
      <c r="V136" s="1377"/>
      <c r="W136" s="1377"/>
      <c r="X136" s="1377"/>
      <c r="Y136" s="1377"/>
      <c r="Z136" s="1647"/>
      <c r="AA136" s="1377"/>
      <c r="AB136" s="1377"/>
      <c r="AC136" s="555"/>
      <c r="AD136" s="1377"/>
      <c r="AE136" s="1377"/>
      <c r="AF136" s="1377"/>
      <c r="AG136" s="1377"/>
      <c r="AH136" s="1377"/>
      <c r="AI136" s="1643"/>
      <c r="AJ136" s="633"/>
      <c r="AK136" s="633"/>
      <c r="AL136" s="633"/>
      <c r="AM136" s="633"/>
      <c r="AN136" s="1652">
        <v>11</v>
      </c>
    </row>
    <row s="1652" customFormat="1" customHeight="1" ht="11.549999999999999">
      <c r="A137" s="998"/>
      <c r="B137" s="998"/>
      <c r="C137" s="998"/>
      <c r="D137" s="998"/>
      <c r="E137" s="998"/>
      <c r="F137" s="1647"/>
      <c r="G137" s="1647"/>
      <c r="H137" s="362"/>
      <c r="N137" s="1652"/>
      <c r="O137" s="1652"/>
      <c r="P137" s="1652"/>
      <c r="Q137" s="1377"/>
      <c r="S137" s="1377"/>
      <c r="T137" s="1647"/>
      <c r="U137" s="1647"/>
      <c r="V137" s="1377"/>
      <c r="W137" s="1377"/>
      <c r="X137" s="1377"/>
      <c r="Y137" s="1377"/>
      <c r="Z137" s="1647"/>
      <c r="AA137" s="1377"/>
      <c r="AB137" s="1377"/>
      <c r="AC137" s="555"/>
      <c r="AD137" s="1377"/>
      <c r="AE137" s="1377"/>
      <c r="AF137" s="1377"/>
      <c r="AG137" s="1377"/>
      <c r="AH137" s="1377"/>
      <c r="AI137" s="1643"/>
      <c r="AJ137" s="633"/>
      <c r="AK137" s="633"/>
      <c r="AL137" s="633"/>
      <c r="AM137" s="633"/>
      <c r="AN137" s="1652">
        <v>11</v>
      </c>
    </row>
    <row s="1652" customFormat="1" customHeight="1" ht="11.549999999999999">
      <c r="A138" s="998"/>
      <c r="B138" s="998"/>
      <c r="C138" s="998"/>
      <c r="D138" s="998"/>
      <c r="E138" s="998"/>
      <c r="F138" s="1647"/>
      <c r="G138" s="1647"/>
      <c r="H138" s="362"/>
      <c r="N138" s="1652"/>
      <c r="O138" s="1652"/>
      <c r="P138" s="1652"/>
      <c r="Q138" s="1377"/>
      <c r="S138" s="1377"/>
      <c r="T138" s="1647"/>
      <c r="U138" s="1647"/>
      <c r="V138" s="1377"/>
      <c r="W138" s="1377"/>
      <c r="X138" s="1377"/>
      <c r="Y138" s="1377"/>
      <c r="Z138" s="1647"/>
      <c r="AA138" s="1377"/>
      <c r="AB138" s="1377"/>
      <c r="AC138" s="555"/>
      <c r="AD138" s="1377"/>
      <c r="AE138" s="1377"/>
      <c r="AF138" s="1377"/>
      <c r="AG138" s="1377"/>
      <c r="AH138" s="1377"/>
      <c r="AI138" s="1643"/>
      <c r="AJ138" s="633"/>
      <c r="AK138" s="633"/>
      <c r="AL138" s="633"/>
      <c r="AM138" s="633"/>
      <c r="AN138" s="1652">
        <v>11</v>
      </c>
    </row>
    <row s="1652" customFormat="1" customHeight="1" ht="11.549999999999999">
      <c r="A139" s="998"/>
      <c r="B139" s="998"/>
      <c r="C139" s="998"/>
      <c r="D139" s="998"/>
      <c r="E139" s="998"/>
      <c r="F139" s="1647"/>
      <c r="G139" s="1647"/>
      <c r="H139" s="362"/>
      <c r="N139" s="1652"/>
      <c r="O139" s="1652"/>
      <c r="P139" s="1652"/>
      <c r="Q139" s="1377"/>
      <c r="S139" s="1377"/>
      <c r="T139" s="1647"/>
      <c r="U139" s="1647"/>
      <c r="V139" s="1377"/>
      <c r="W139" s="1377"/>
      <c r="X139" s="1377"/>
      <c r="Y139" s="1377"/>
      <c r="Z139" s="1647"/>
      <c r="AA139" s="1377"/>
      <c r="AB139" s="1377"/>
      <c r="AC139" s="555"/>
      <c r="AD139" s="1377"/>
      <c r="AE139" s="1377"/>
      <c r="AF139" s="1377"/>
      <c r="AG139" s="1377"/>
      <c r="AH139" s="1377"/>
      <c r="AI139" s="1643"/>
      <c r="AJ139" s="633"/>
      <c r="AK139" s="633"/>
      <c r="AL139" s="633"/>
      <c r="AM139" s="633"/>
      <c r="AN139" s="1652">
        <v>11</v>
      </c>
    </row>
    <row s="1652" customFormat="1" customHeight="1" ht="11.549999999999999">
      <c r="A140" s="998"/>
      <c r="B140" s="998"/>
      <c r="C140" s="998"/>
      <c r="D140" s="998"/>
      <c r="E140" s="998"/>
      <c r="F140" s="1647"/>
      <c r="G140" s="1647"/>
      <c r="H140" s="362"/>
      <c r="N140" s="1652"/>
      <c r="O140" s="1652"/>
      <c r="P140" s="1652"/>
      <c r="Q140" s="1377"/>
      <c r="S140" s="1377"/>
      <c r="T140" s="1647"/>
      <c r="U140" s="1647"/>
      <c r="V140" s="1377"/>
      <c r="W140" s="1377"/>
      <c r="X140" s="1377"/>
      <c r="Y140" s="1377"/>
      <c r="Z140" s="1647"/>
      <c r="AA140" s="1377"/>
      <c r="AB140" s="1377"/>
      <c r="AC140" s="555"/>
      <c r="AD140" s="1377"/>
      <c r="AE140" s="1377"/>
      <c r="AF140" s="1377"/>
      <c r="AG140" s="1377"/>
      <c r="AH140" s="1377"/>
      <c r="AI140" s="1643"/>
      <c r="AJ140" s="633"/>
      <c r="AK140" s="633"/>
      <c r="AL140" s="633"/>
      <c r="AM140" s="633"/>
      <c r="AN140" s="1652">
        <v>11</v>
      </c>
    </row>
    <row s="1652" customFormat="1" customHeight="1" ht="11.549999999999999">
      <c r="A141" s="998"/>
      <c r="B141" s="998"/>
      <c r="C141" s="998"/>
      <c r="D141" s="998"/>
      <c r="E141" s="998"/>
      <c r="F141" s="1647"/>
      <c r="G141" s="1647"/>
      <c r="H141" s="362"/>
      <c r="N141" s="1652"/>
      <c r="O141" s="1652"/>
      <c r="P141" s="1652"/>
      <c r="Q141" s="1377"/>
      <c r="S141" s="1377"/>
      <c r="T141" s="1647"/>
      <c r="U141" s="1647"/>
      <c r="V141" s="1377"/>
      <c r="W141" s="1377"/>
      <c r="X141" s="1377"/>
      <c r="Y141" s="1377"/>
      <c r="Z141" s="1647"/>
      <c r="AA141" s="1377"/>
      <c r="AB141" s="1377"/>
      <c r="AC141" s="555"/>
      <c r="AD141" s="1377"/>
      <c r="AE141" s="1377"/>
      <c r="AF141" s="1377"/>
      <c r="AG141" s="1377"/>
      <c r="AH141" s="1377"/>
      <c r="AI141" s="1643"/>
      <c r="AJ141" s="633"/>
      <c r="AK141" s="633"/>
      <c r="AL141" s="633"/>
      <c r="AM141" s="633"/>
      <c r="AN141" s="1652">
        <v>11</v>
      </c>
    </row>
    <row s="1652" customFormat="1" customHeight="1" ht="11.549999999999999">
      <c r="A142" s="998"/>
      <c r="B142" s="998"/>
      <c r="C142" s="998"/>
      <c r="D142" s="998"/>
      <c r="E142" s="998"/>
      <c r="F142" s="1647"/>
      <c r="G142" s="1647"/>
      <c r="H142" s="362"/>
      <c r="N142" s="1652"/>
      <c r="O142" s="1652"/>
      <c r="P142" s="1652"/>
      <c r="Q142" s="1377"/>
      <c r="S142" s="1377"/>
      <c r="T142" s="1647"/>
      <c r="U142" s="1647"/>
      <c r="V142" s="1377"/>
      <c r="W142" s="1377"/>
      <c r="X142" s="1377"/>
      <c r="Y142" s="1377"/>
      <c r="Z142" s="1647"/>
      <c r="AA142" s="1377"/>
      <c r="AB142" s="1377"/>
      <c r="AC142" s="555"/>
      <c r="AD142" s="1377"/>
      <c r="AE142" s="1377"/>
      <c r="AF142" s="1377"/>
      <c r="AG142" s="1377"/>
      <c r="AH142" s="1377"/>
      <c r="AI142" s="1643"/>
      <c r="AJ142" s="633"/>
      <c r="AK142" s="633"/>
      <c r="AL142" s="633"/>
      <c r="AM142" s="633"/>
      <c r="AN142" s="1652">
        <v>11</v>
      </c>
    </row>
    <row s="1652" customFormat="1" customHeight="1" ht="11.549999999999999">
      <c r="A143" s="998"/>
      <c r="B143" s="998"/>
      <c r="C143" s="998"/>
      <c r="D143" s="998"/>
      <c r="E143" s="998"/>
      <c r="F143" s="1647"/>
      <c r="G143" s="1647"/>
      <c r="H143" s="362"/>
      <c r="N143" s="1652"/>
      <c r="O143" s="1652"/>
      <c r="P143" s="1652"/>
      <c r="Q143" s="1377"/>
      <c r="S143" s="1377"/>
      <c r="T143" s="1647"/>
      <c r="U143" s="1647"/>
      <c r="V143" s="1377"/>
      <c r="W143" s="1377"/>
      <c r="X143" s="1377"/>
      <c r="Y143" s="1377"/>
      <c r="Z143" s="1647"/>
      <c r="AA143" s="1377"/>
      <c r="AB143" s="1377"/>
      <c r="AC143" s="555"/>
      <c r="AD143" s="1377"/>
      <c r="AE143" s="1377"/>
      <c r="AF143" s="1377"/>
      <c r="AG143" s="1377"/>
      <c r="AH143" s="1377"/>
      <c r="AI143" s="1643"/>
      <c r="AJ143" s="633"/>
      <c r="AK143" s="633"/>
      <c r="AL143" s="633"/>
      <c r="AM143" s="633"/>
      <c r="AN143" s="1652">
        <v>11</v>
      </c>
    </row>
    <row s="1652" customFormat="1" customHeight="1" ht="11.549999999999999">
      <c r="A144" s="998"/>
      <c r="B144" s="998"/>
      <c r="C144" s="998"/>
      <c r="D144" s="998"/>
      <c r="E144" s="998"/>
      <c r="F144" s="1647"/>
      <c r="G144" s="1647"/>
      <c r="H144" s="362"/>
      <c r="N144" s="1652"/>
      <c r="O144" s="1652"/>
      <c r="P144" s="1652"/>
      <c r="Q144" s="1377"/>
      <c r="S144" s="1377"/>
      <c r="T144" s="1647"/>
      <c r="U144" s="1647"/>
      <c r="V144" s="1377"/>
      <c r="W144" s="1377"/>
      <c r="X144" s="1377"/>
      <c r="Y144" s="1377"/>
      <c r="Z144" s="1647"/>
      <c r="AA144" s="1377"/>
      <c r="AB144" s="1377"/>
      <c r="AC144" s="555"/>
      <c r="AD144" s="1377"/>
      <c r="AE144" s="1377"/>
      <c r="AF144" s="1377"/>
      <c r="AG144" s="1377"/>
      <c r="AH144" s="1377"/>
      <c r="AI144" s="1643"/>
      <c r="AJ144" s="633"/>
      <c r="AK144" s="633"/>
      <c r="AL144" s="633"/>
      <c r="AM144" s="633"/>
      <c r="AN144" s="1652">
        <v>11</v>
      </c>
    </row>
    <row s="1652" customFormat="1" customHeight="1" ht="11.549999999999999">
      <c r="A145" s="998"/>
      <c r="B145" s="998"/>
      <c r="C145" s="998"/>
      <c r="D145" s="998"/>
      <c r="E145" s="998"/>
      <c r="F145" s="1647"/>
      <c r="G145" s="1647"/>
      <c r="H145" s="362"/>
      <c r="N145" s="1652"/>
      <c r="O145" s="1652"/>
      <c r="P145" s="1652"/>
      <c r="Q145" s="1377"/>
      <c r="S145" s="1377"/>
      <c r="T145" s="1647"/>
      <c r="U145" s="1647"/>
      <c r="V145" s="1377"/>
      <c r="W145" s="1377"/>
      <c r="X145" s="1377"/>
      <c r="Y145" s="1377"/>
      <c r="Z145" s="1647"/>
      <c r="AA145" s="1377"/>
      <c r="AB145" s="1377"/>
      <c r="AC145" s="555"/>
      <c r="AD145" s="1377"/>
      <c r="AE145" s="1377"/>
      <c r="AF145" s="1377"/>
      <c r="AG145" s="1377"/>
      <c r="AH145" s="1377"/>
      <c r="AI145" s="1643"/>
      <c r="AJ145" s="633"/>
      <c r="AK145" s="633"/>
      <c r="AL145" s="633"/>
      <c r="AM145" s="633"/>
      <c r="AN145" s="1652">
        <v>11</v>
      </c>
    </row>
    <row s="1652" customFormat="1" customHeight="1" ht="11.549999999999999">
      <c r="A146" s="998"/>
      <c r="B146" s="998"/>
      <c r="C146" s="998"/>
      <c r="D146" s="998"/>
      <c r="E146" s="998"/>
      <c r="F146" s="1647"/>
      <c r="G146" s="1647"/>
      <c r="H146" s="362"/>
      <c r="N146" s="1652"/>
      <c r="O146" s="1652"/>
      <c r="P146" s="1652"/>
      <c r="Q146" s="1377"/>
      <c r="S146" s="1377"/>
      <c r="T146" s="1647"/>
      <c r="U146" s="1647"/>
      <c r="V146" s="1377"/>
      <c r="W146" s="1377"/>
      <c r="X146" s="1377"/>
      <c r="Y146" s="1377"/>
      <c r="Z146" s="1647"/>
      <c r="AA146" s="1377"/>
      <c r="AB146" s="1377"/>
      <c r="AC146" s="555"/>
      <c r="AD146" s="1377"/>
      <c r="AE146" s="1377"/>
      <c r="AF146" s="1377"/>
      <c r="AG146" s="1377"/>
      <c r="AH146" s="1377"/>
      <c r="AI146" s="1643"/>
      <c r="AJ146" s="633"/>
      <c r="AK146" s="633"/>
      <c r="AL146" s="633"/>
      <c r="AM146" s="633"/>
      <c r="AN146" s="1652">
        <v>11</v>
      </c>
    </row>
    <row s="1652" customFormat="1" customHeight="1" ht="11.549999999999999">
      <c r="A147" s="998"/>
      <c r="B147" s="998"/>
      <c r="C147" s="998"/>
      <c r="D147" s="998"/>
      <c r="E147" s="998"/>
      <c r="F147" s="1647"/>
      <c r="G147" s="1647"/>
      <c r="H147" s="362"/>
      <c r="N147" s="1652"/>
      <c r="O147" s="1652"/>
      <c r="P147" s="1652"/>
      <c r="Q147" s="1377"/>
      <c r="S147" s="1377"/>
      <c r="T147" s="1647"/>
      <c r="U147" s="1647"/>
      <c r="V147" s="1377"/>
      <c r="W147" s="1377"/>
      <c r="X147" s="1377"/>
      <c r="Y147" s="1377"/>
      <c r="Z147" s="1647"/>
      <c r="AA147" s="1377"/>
      <c r="AB147" s="1377"/>
      <c r="AC147" s="555"/>
      <c r="AD147" s="1377"/>
      <c r="AE147" s="1377"/>
      <c r="AF147" s="1377"/>
      <c r="AG147" s="1377"/>
      <c r="AH147" s="1377"/>
      <c r="AI147" s="1643"/>
      <c r="AJ147" s="633"/>
      <c r="AK147" s="633"/>
      <c r="AL147" s="633"/>
      <c r="AM147" s="633"/>
      <c r="AN147" s="1652">
        <v>11</v>
      </c>
    </row>
    <row s="1652" customFormat="1" customHeight="1" ht="11.549999999999999">
      <c r="A148" s="998"/>
      <c r="B148" s="998"/>
      <c r="C148" s="998"/>
      <c r="D148" s="998"/>
      <c r="E148" s="998"/>
      <c r="F148" s="1647"/>
      <c r="G148" s="1647"/>
      <c r="H148" s="362"/>
      <c r="N148" s="1652"/>
      <c r="O148" s="1652"/>
      <c r="P148" s="1652"/>
      <c r="Q148" s="1377"/>
      <c r="S148" s="1377"/>
      <c r="T148" s="1647"/>
      <c r="U148" s="1647"/>
      <c r="V148" s="1377"/>
      <c r="W148" s="1377"/>
      <c r="X148" s="1377"/>
      <c r="Y148" s="1377"/>
      <c r="Z148" s="1647"/>
      <c r="AA148" s="1377"/>
      <c r="AB148" s="1377"/>
      <c r="AC148" s="555"/>
      <c r="AD148" s="1377"/>
      <c r="AE148" s="1377"/>
      <c r="AF148" s="1377"/>
      <c r="AG148" s="1377"/>
      <c r="AH148" s="1377"/>
      <c r="AI148" s="1643"/>
      <c r="AJ148" s="633"/>
      <c r="AK148" s="633"/>
      <c r="AL148" s="633"/>
      <c r="AM148" s="633"/>
      <c r="AN148" s="1652">
        <v>11</v>
      </c>
    </row>
    <row s="1652" customFormat="1" customHeight="1" ht="11.549999999999999">
      <c r="A149" s="998"/>
      <c r="B149" s="998"/>
      <c r="C149" s="998"/>
      <c r="D149" s="998"/>
      <c r="E149" s="998"/>
      <c r="F149" s="1647"/>
      <c r="G149" s="1647"/>
      <c r="H149" s="362"/>
      <c r="N149" s="1652"/>
      <c r="O149" s="1652"/>
      <c r="P149" s="1652"/>
      <c r="Q149" s="1377"/>
      <c r="S149" s="1377"/>
      <c r="T149" s="1647"/>
      <c r="U149" s="1647"/>
      <c r="V149" s="1377"/>
      <c r="W149" s="1377"/>
      <c r="X149" s="1377"/>
      <c r="Y149" s="1377"/>
      <c r="Z149" s="1647"/>
      <c r="AA149" s="1377"/>
      <c r="AB149" s="1377"/>
      <c r="AC149" s="555"/>
      <c r="AD149" s="1377"/>
      <c r="AE149" s="1377"/>
      <c r="AF149" s="1377"/>
      <c r="AG149" s="1377"/>
      <c r="AH149" s="1377"/>
      <c r="AI149" s="1643"/>
      <c r="AJ149" s="633"/>
      <c r="AK149" s="633"/>
      <c r="AL149" s="633"/>
      <c r="AM149" s="633"/>
      <c r="AN149" s="1652">
        <v>11</v>
      </c>
    </row>
    <row s="1652" customFormat="1" customHeight="1" ht="11.549999999999999">
      <c r="A150" s="998"/>
      <c r="B150" s="998"/>
      <c r="C150" s="998"/>
      <c r="D150" s="998"/>
      <c r="E150" s="998"/>
      <c r="F150" s="1647"/>
      <c r="G150" s="1647"/>
      <c r="H150" s="362"/>
      <c r="N150" s="1652"/>
      <c r="O150" s="1652"/>
      <c r="P150" s="1652"/>
      <c r="Q150" s="1377"/>
      <c r="S150" s="1377"/>
      <c r="T150" s="1647"/>
      <c r="U150" s="1647"/>
      <c r="V150" s="1377"/>
      <c r="W150" s="1377"/>
      <c r="X150" s="1377"/>
      <c r="Y150" s="1377"/>
      <c r="Z150" s="1647"/>
      <c r="AA150" s="1377"/>
      <c r="AB150" s="1377"/>
      <c r="AC150" s="555"/>
      <c r="AD150" s="1377"/>
      <c r="AE150" s="1377"/>
      <c r="AF150" s="1377"/>
      <c r="AG150" s="1377"/>
      <c r="AH150" s="1377"/>
      <c r="AI150" s="1643"/>
      <c r="AJ150" s="633"/>
      <c r="AK150" s="633"/>
      <c r="AL150" s="633"/>
      <c r="AM150" s="633"/>
      <c r="AN150" s="1652">
        <v>11</v>
      </c>
    </row>
    <row s="1652" customFormat="1" customHeight="1" ht="11.549999999999999">
      <c r="A151" s="998"/>
      <c r="B151" s="998"/>
      <c r="C151" s="998"/>
      <c r="D151" s="998"/>
      <c r="E151" s="998"/>
      <c r="F151" s="1647"/>
      <c r="G151" s="1647"/>
      <c r="H151" s="362"/>
      <c r="N151" s="1652"/>
      <c r="O151" s="1652"/>
      <c r="P151" s="1652"/>
      <c r="Q151" s="1377"/>
      <c r="S151" s="1377"/>
      <c r="T151" s="1647"/>
      <c r="U151" s="1647"/>
      <c r="V151" s="1377"/>
      <c r="W151" s="1377"/>
      <c r="X151" s="1377"/>
      <c r="Y151" s="1377"/>
      <c r="Z151" s="1647"/>
      <c r="AA151" s="1377"/>
      <c r="AB151" s="1377"/>
      <c r="AC151" s="555"/>
      <c r="AD151" s="1377"/>
      <c r="AE151" s="1377"/>
      <c r="AF151" s="1377"/>
      <c r="AG151" s="1377"/>
      <c r="AH151" s="1377"/>
      <c r="AI151" s="1643"/>
      <c r="AJ151" s="633"/>
      <c r="AK151" s="633"/>
      <c r="AL151" s="633"/>
      <c r="AM151" s="633"/>
      <c r="AN151" s="1652">
        <v>11</v>
      </c>
    </row>
    <row s="1652" customFormat="1" customHeight="1" ht="11.549999999999999">
      <c r="A152" s="998"/>
      <c r="B152" s="998"/>
      <c r="C152" s="998"/>
      <c r="D152" s="998"/>
      <c r="E152" s="998"/>
      <c r="F152" s="1647"/>
      <c r="G152" s="1647"/>
      <c r="H152" s="362"/>
      <c r="N152" s="1652"/>
      <c r="O152" s="1652"/>
      <c r="P152" s="1652"/>
      <c r="Q152" s="1377"/>
      <c r="S152" s="1377"/>
      <c r="T152" s="1647"/>
      <c r="U152" s="1647"/>
      <c r="V152" s="1377"/>
      <c r="W152" s="1377"/>
      <c r="X152" s="1377"/>
      <c r="Y152" s="1377"/>
      <c r="Z152" s="1647"/>
      <c r="AA152" s="1377"/>
      <c r="AB152" s="1377"/>
      <c r="AC152" s="555"/>
      <c r="AD152" s="1377"/>
      <c r="AE152" s="1377"/>
      <c r="AF152" s="1377"/>
      <c r="AG152" s="1377"/>
      <c r="AH152" s="1377"/>
      <c r="AI152" s="1643"/>
      <c r="AJ152" s="633"/>
      <c r="AK152" s="633"/>
      <c r="AL152" s="633"/>
      <c r="AM152" s="633"/>
      <c r="AN152" s="1652">
        <v>11</v>
      </c>
    </row>
    <row s="1652" customFormat="1" customHeight="1" ht="11.549999999999999">
      <c r="A153" s="998"/>
      <c r="B153" s="998"/>
      <c r="C153" s="998"/>
      <c r="D153" s="998"/>
      <c r="E153" s="998"/>
      <c r="F153" s="1647"/>
      <c r="G153" s="1647"/>
      <c r="H153" s="362"/>
      <c r="N153" s="1652"/>
      <c r="O153" s="1652"/>
      <c r="P153" s="1652"/>
      <c r="Q153" s="1377"/>
      <c r="S153" s="1377"/>
      <c r="T153" s="1647"/>
      <c r="U153" s="1647"/>
      <c r="V153" s="1377"/>
      <c r="W153" s="1377"/>
      <c r="X153" s="1377"/>
      <c r="Y153" s="1377"/>
      <c r="Z153" s="1647"/>
      <c r="AA153" s="1377"/>
      <c r="AB153" s="1377"/>
      <c r="AC153" s="555"/>
      <c r="AD153" s="1377"/>
      <c r="AE153" s="1377"/>
      <c r="AF153" s="1377"/>
      <c r="AG153" s="1377"/>
      <c r="AH153" s="1377"/>
      <c r="AI153" s="1643"/>
      <c r="AJ153" s="633"/>
      <c r="AK153" s="633"/>
      <c r="AL153" s="633"/>
      <c r="AM153" s="633"/>
      <c r="AN153" s="1652">
        <v>11</v>
      </c>
    </row>
    <row s="1652" customFormat="1" customHeight="1" ht="11.549999999999999">
      <c r="A154" s="998"/>
      <c r="B154" s="998"/>
      <c r="C154" s="998"/>
      <c r="D154" s="998"/>
      <c r="E154" s="998"/>
      <c r="F154" s="1647"/>
      <c r="G154" s="1647"/>
      <c r="H154" s="362"/>
      <c r="N154" s="1652"/>
      <c r="O154" s="1652"/>
      <c r="P154" s="1652"/>
      <c r="Q154" s="1377"/>
      <c r="S154" s="1377"/>
      <c r="T154" s="1647"/>
      <c r="U154" s="1647"/>
      <c r="V154" s="1377"/>
      <c r="W154" s="1377"/>
      <c r="X154" s="1377"/>
      <c r="Y154" s="1377"/>
      <c r="Z154" s="1647"/>
      <c r="AA154" s="1377"/>
      <c r="AB154" s="1377"/>
      <c r="AC154" s="555"/>
      <c r="AD154" s="1377"/>
      <c r="AE154" s="1377"/>
      <c r="AF154" s="1377"/>
      <c r="AG154" s="1377"/>
      <c r="AH154" s="1377"/>
      <c r="AI154" s="1643"/>
      <c r="AJ154" s="633"/>
      <c r="AK154" s="633"/>
      <c r="AL154" s="633"/>
      <c r="AM154" s="633"/>
      <c r="AN154" s="1652">
        <v>11</v>
      </c>
    </row>
    <row s="1652" customFormat="1" customHeight="1" ht="11.549999999999999">
      <c r="A155" s="998"/>
      <c r="B155" s="998"/>
      <c r="C155" s="998"/>
      <c r="D155" s="998"/>
      <c r="E155" s="998"/>
      <c r="F155" s="1647"/>
      <c r="G155" s="1647"/>
      <c r="H155" s="362"/>
      <c r="N155" s="1652"/>
      <c r="O155" s="1652"/>
      <c r="P155" s="1652"/>
      <c r="Q155" s="1377"/>
      <c r="S155" s="1377"/>
      <c r="T155" s="1647"/>
      <c r="U155" s="1647"/>
      <c r="V155" s="1377"/>
      <c r="W155" s="1377"/>
      <c r="X155" s="1377"/>
      <c r="Y155" s="1377"/>
      <c r="Z155" s="1647"/>
      <c r="AA155" s="1377"/>
      <c r="AB155" s="1377"/>
      <c r="AC155" s="555"/>
      <c r="AD155" s="1377"/>
      <c r="AE155" s="1377"/>
      <c r="AF155" s="1377"/>
      <c r="AG155" s="1377"/>
      <c r="AH155" s="1377"/>
      <c r="AI155" s="1643"/>
      <c r="AJ155" s="633"/>
      <c r="AK155" s="633"/>
      <c r="AL155" s="633"/>
      <c r="AM155" s="633"/>
      <c r="AN155" s="1652">
        <v>11</v>
      </c>
    </row>
    <row s="1652" customFormat="1" customHeight="1" ht="11.549999999999999">
      <c r="A156" s="998"/>
      <c r="B156" s="998"/>
      <c r="C156" s="998"/>
      <c r="D156" s="998"/>
      <c r="E156" s="998"/>
      <c r="F156" s="1647"/>
      <c r="G156" s="1647"/>
      <c r="H156" s="362"/>
      <c r="N156" s="1652"/>
      <c r="O156" s="1652"/>
      <c r="P156" s="1652"/>
      <c r="Q156" s="1377"/>
      <c r="S156" s="1377"/>
      <c r="T156" s="1647"/>
      <c r="U156" s="1647"/>
      <c r="V156" s="1377"/>
      <c r="W156" s="1377"/>
      <c r="X156" s="1377"/>
      <c r="Y156" s="1377"/>
      <c r="Z156" s="1647"/>
      <c r="AA156" s="1377"/>
      <c r="AB156" s="1377"/>
      <c r="AC156" s="555"/>
      <c r="AD156" s="1377"/>
      <c r="AE156" s="1377"/>
      <c r="AF156" s="1377"/>
      <c r="AG156" s="1377"/>
      <c r="AH156" s="1377"/>
      <c r="AI156" s="1643"/>
      <c r="AJ156" s="633"/>
      <c r="AK156" s="633"/>
      <c r="AL156" s="633"/>
      <c r="AM156" s="633"/>
      <c r="AN156" s="1652">
        <v>11</v>
      </c>
    </row>
    <row s="1652" customFormat="1" customHeight="1" ht="11.549999999999999">
      <c r="A157" s="998"/>
      <c r="B157" s="998"/>
      <c r="C157" s="998"/>
      <c r="D157" s="998"/>
      <c r="E157" s="998"/>
      <c r="F157" s="1647"/>
      <c r="G157" s="1647"/>
      <c r="H157" s="362"/>
      <c r="N157" s="1652"/>
      <c r="O157" s="1652"/>
      <c r="P157" s="1652"/>
      <c r="Q157" s="1377"/>
      <c r="S157" s="1377"/>
      <c r="T157" s="1647"/>
      <c r="U157" s="1647"/>
      <c r="V157" s="1377"/>
      <c r="W157" s="1377"/>
      <c r="X157" s="1377"/>
      <c r="Y157" s="1377"/>
      <c r="Z157" s="1647"/>
      <c r="AA157" s="1377"/>
      <c r="AB157" s="1377"/>
      <c r="AC157" s="555"/>
      <c r="AD157" s="1377"/>
      <c r="AE157" s="1377"/>
      <c r="AF157" s="1377"/>
      <c r="AG157" s="1377"/>
      <c r="AH157" s="1377"/>
      <c r="AI157" s="1643"/>
      <c r="AJ157" s="633"/>
      <c r="AK157" s="633"/>
      <c r="AL157" s="633"/>
      <c r="AM157" s="633"/>
      <c r="AN157" s="1652">
        <v>11</v>
      </c>
    </row>
    <row s="1652" customFormat="1" customHeight="1" ht="11.549999999999999">
      <c r="A158" s="998"/>
      <c r="B158" s="998"/>
      <c r="C158" s="998"/>
      <c r="D158" s="998"/>
      <c r="E158" s="998"/>
      <c r="F158" s="1647"/>
      <c r="G158" s="1647"/>
      <c r="H158" s="362"/>
      <c r="N158" s="1652"/>
      <c r="O158" s="1652"/>
      <c r="P158" s="1652"/>
      <c r="Q158" s="1377"/>
      <c r="S158" s="1377"/>
      <c r="T158" s="1647"/>
      <c r="U158" s="1647"/>
      <c r="V158" s="1377"/>
      <c r="W158" s="1377"/>
      <c r="X158" s="1377"/>
      <c r="Y158" s="1377"/>
      <c r="Z158" s="1647"/>
      <c r="AA158" s="1377"/>
      <c r="AB158" s="1377"/>
      <c r="AC158" s="555"/>
      <c r="AD158" s="1377"/>
      <c r="AE158" s="1377"/>
      <c r="AF158" s="1377"/>
      <c r="AG158" s="1377"/>
      <c r="AH158" s="1377"/>
      <c r="AI158" s="1643"/>
      <c r="AJ158" s="633"/>
      <c r="AK158" s="633"/>
      <c r="AL158" s="633"/>
      <c r="AM158" s="633"/>
      <c r="AN158" s="1652">
        <v>11</v>
      </c>
    </row>
    <row s="1652" customFormat="1" customHeight="1" ht="11.549999999999999">
      <c r="A159" s="998"/>
      <c r="B159" s="998"/>
      <c r="C159" s="998"/>
      <c r="D159" s="998"/>
      <c r="E159" s="998"/>
      <c r="F159" s="1647"/>
      <c r="G159" s="1647"/>
      <c r="H159" s="362"/>
      <c r="N159" s="1652"/>
      <c r="O159" s="1652"/>
      <c r="P159" s="1652"/>
      <c r="Q159" s="1377"/>
      <c r="S159" s="1377"/>
      <c r="T159" s="1647"/>
      <c r="U159" s="1647"/>
      <c r="V159" s="1377"/>
      <c r="W159" s="1377"/>
      <c r="X159" s="1377"/>
      <c r="Y159" s="1377"/>
      <c r="Z159" s="1647"/>
      <c r="AA159" s="1377"/>
      <c r="AB159" s="1377"/>
      <c r="AC159" s="555"/>
      <c r="AD159" s="1377"/>
      <c r="AE159" s="1377"/>
      <c r="AF159" s="1377"/>
      <c r="AG159" s="1377"/>
      <c r="AH159" s="1377"/>
      <c r="AI159" s="1643"/>
      <c r="AJ159" s="633"/>
      <c r="AK159" s="633"/>
      <c r="AL159" s="633"/>
      <c r="AM159" s="633"/>
      <c r="AN159" s="1652">
        <v>11</v>
      </c>
    </row>
    <row s="1652" customFormat="1" customHeight="1" ht="11.549999999999999">
      <c r="A160" s="998"/>
      <c r="B160" s="998"/>
      <c r="C160" s="998"/>
      <c r="D160" s="998"/>
      <c r="E160" s="998"/>
      <c r="F160" s="1647"/>
      <c r="G160" s="1647"/>
      <c r="H160" s="362"/>
      <c r="N160" s="1652"/>
      <c r="O160" s="1652"/>
      <c r="P160" s="1652"/>
      <c r="Q160" s="1377"/>
      <c r="S160" s="1377"/>
      <c r="T160" s="1647"/>
      <c r="U160" s="1647"/>
      <c r="V160" s="1377"/>
      <c r="W160" s="1377"/>
      <c r="X160" s="1377"/>
      <c r="Y160" s="1377"/>
      <c r="Z160" s="1647"/>
      <c r="AA160" s="1377"/>
      <c r="AB160" s="1377"/>
      <c r="AC160" s="555"/>
      <c r="AD160" s="1377"/>
      <c r="AE160" s="1377"/>
      <c r="AF160" s="1377"/>
      <c r="AG160" s="1377"/>
      <c r="AH160" s="1377"/>
      <c r="AI160" s="1643"/>
      <c r="AJ160" s="633"/>
      <c r="AK160" s="633"/>
      <c r="AL160" s="633"/>
      <c r="AM160" s="633"/>
      <c r="AN160" s="1652">
        <v>11</v>
      </c>
    </row>
    <row s="1652" customFormat="1" customHeight="1" ht="11.549999999999999">
      <c r="A161" s="998"/>
      <c r="B161" s="998"/>
      <c r="C161" s="998"/>
      <c r="D161" s="998"/>
      <c r="E161" s="998"/>
      <c r="F161" s="1647"/>
      <c r="G161" s="1647"/>
      <c r="H161" s="362"/>
      <c r="N161" s="1652"/>
      <c r="O161" s="1652"/>
      <c r="P161" s="1652"/>
      <c r="Q161" s="1377"/>
      <c r="S161" s="1377"/>
      <c r="T161" s="1647"/>
      <c r="U161" s="1647"/>
      <c r="V161" s="1377"/>
      <c r="W161" s="1377"/>
      <c r="X161" s="1377"/>
      <c r="Y161" s="1377"/>
      <c r="Z161" s="1647"/>
      <c r="AA161" s="1377"/>
      <c r="AB161" s="1377"/>
      <c r="AC161" s="555"/>
      <c r="AD161" s="1377"/>
      <c r="AE161" s="1377"/>
      <c r="AF161" s="1377"/>
      <c r="AG161" s="1377"/>
      <c r="AH161" s="1377"/>
      <c r="AI161" s="1643"/>
      <c r="AJ161" s="633"/>
      <c r="AK161" s="633"/>
      <c r="AL161" s="633"/>
      <c r="AM161" s="633"/>
      <c r="AN161" s="1652">
        <v>11</v>
      </c>
    </row>
    <row s="1652" customFormat="1" customHeight="1" ht="11.549999999999999">
      <c r="A162" s="998"/>
      <c r="B162" s="998"/>
      <c r="C162" s="998"/>
      <c r="D162" s="998"/>
      <c r="E162" s="998"/>
      <c r="F162" s="1647"/>
      <c r="G162" s="1647"/>
      <c r="H162" s="362"/>
      <c r="N162" s="1652"/>
      <c r="O162" s="1652"/>
      <c r="P162" s="1652"/>
      <c r="Q162" s="1377"/>
      <c r="S162" s="1377"/>
      <c r="T162" s="1647"/>
      <c r="U162" s="1647"/>
      <c r="V162" s="1377"/>
      <c r="W162" s="1377"/>
      <c r="X162" s="1377"/>
      <c r="Y162" s="1377"/>
      <c r="Z162" s="1647"/>
      <c r="AA162" s="1377"/>
      <c r="AB162" s="1377"/>
      <c r="AC162" s="555"/>
      <c r="AD162" s="1377"/>
      <c r="AE162" s="1377"/>
      <c r="AF162" s="1377"/>
      <c r="AG162" s="1377"/>
      <c r="AH162" s="1377"/>
      <c r="AI162" s="1643"/>
      <c r="AJ162" s="633"/>
      <c r="AK162" s="633"/>
      <c r="AL162" s="633"/>
      <c r="AM162" s="633"/>
      <c r="AN162" s="1652">
        <v>11</v>
      </c>
    </row>
    <row s="1652" customFormat="1" customHeight="1" ht="11.549999999999999">
      <c r="A163" s="998"/>
      <c r="B163" s="998"/>
      <c r="C163" s="998"/>
      <c r="D163" s="998"/>
      <c r="E163" s="998"/>
      <c r="F163" s="1647"/>
      <c r="G163" s="1647"/>
      <c r="H163" s="362"/>
      <c r="N163" s="1652"/>
      <c r="O163" s="1652"/>
      <c r="P163" s="1652"/>
      <c r="Q163" s="1377"/>
      <c r="S163" s="1377"/>
      <c r="T163" s="1647"/>
      <c r="U163" s="1647"/>
      <c r="V163" s="1377"/>
      <c r="W163" s="1377"/>
      <c r="X163" s="1377"/>
      <c r="Y163" s="1377"/>
      <c r="Z163" s="1647"/>
      <c r="AA163" s="1377"/>
      <c r="AB163" s="1377"/>
      <c r="AC163" s="555"/>
      <c r="AD163" s="1377"/>
      <c r="AE163" s="1377"/>
      <c r="AF163" s="1377"/>
      <c r="AG163" s="1377"/>
      <c r="AH163" s="1377"/>
      <c r="AI163" s="1643"/>
      <c r="AJ163" s="633"/>
      <c r="AK163" s="633"/>
      <c r="AL163" s="633"/>
      <c r="AM163" s="633"/>
      <c r="AN163" s="1652">
        <v>11</v>
      </c>
    </row>
    <row s="1652" customFormat="1" customHeight="1" ht="11.549999999999999">
      <c r="A164" s="998"/>
      <c r="B164" s="998"/>
      <c r="C164" s="998"/>
      <c r="D164" s="998"/>
      <c r="E164" s="998"/>
      <c r="F164" s="1647"/>
      <c r="G164" s="1647"/>
      <c r="H164" s="362"/>
      <c r="N164" s="1652"/>
      <c r="O164" s="1652"/>
      <c r="P164" s="1652"/>
      <c r="Q164" s="1377"/>
      <c r="S164" s="1377"/>
      <c r="T164" s="1647"/>
      <c r="U164" s="1647"/>
      <c r="V164" s="1377"/>
      <c r="W164" s="1377"/>
      <c r="X164" s="1377"/>
      <c r="Y164" s="1377"/>
      <c r="Z164" s="1647"/>
      <c r="AA164" s="1377"/>
      <c r="AB164" s="1377"/>
      <c r="AC164" s="555"/>
      <c r="AD164" s="1377"/>
      <c r="AE164" s="1377"/>
      <c r="AF164" s="1377"/>
      <c r="AG164" s="1377"/>
      <c r="AH164" s="1377"/>
      <c r="AI164" s="1643"/>
      <c r="AJ164" s="633"/>
      <c r="AK164" s="633"/>
      <c r="AL164" s="633"/>
      <c r="AM164" s="633"/>
      <c r="AN164" s="1652">
        <v>11</v>
      </c>
    </row>
    <row s="1652" customFormat="1" customHeight="1" ht="11.549999999999999">
      <c r="A165" s="998"/>
      <c r="B165" s="998"/>
      <c r="C165" s="998"/>
      <c r="D165" s="998"/>
      <c r="E165" s="998"/>
      <c r="F165" s="1647"/>
      <c r="G165" s="1647"/>
      <c r="H165" s="362"/>
      <c r="N165" s="1652"/>
      <c r="O165" s="1652"/>
      <c r="P165" s="1652"/>
      <c r="Q165" s="1377"/>
      <c r="S165" s="1377"/>
      <c r="T165" s="1647"/>
      <c r="U165" s="1647"/>
      <c r="V165" s="1377"/>
      <c r="W165" s="1377"/>
      <c r="X165" s="1377"/>
      <c r="Y165" s="1377"/>
      <c r="Z165" s="1647"/>
      <c r="AA165" s="1377"/>
      <c r="AB165" s="1377"/>
      <c r="AC165" s="555"/>
      <c r="AD165" s="1377"/>
      <c r="AE165" s="1377"/>
      <c r="AF165" s="1377"/>
      <c r="AG165" s="1377"/>
      <c r="AH165" s="1377"/>
      <c r="AI165" s="1643"/>
      <c r="AJ165" s="633"/>
      <c r="AK165" s="633"/>
      <c r="AL165" s="633"/>
      <c r="AM165" s="633"/>
      <c r="AN165" s="1652">
        <v>11</v>
      </c>
    </row>
    <row s="1652" customFormat="1" customHeight="1" ht="11.549999999999999">
      <c r="A166" s="998"/>
      <c r="B166" s="998"/>
      <c r="C166" s="998"/>
      <c r="D166" s="998"/>
      <c r="E166" s="998"/>
      <c r="F166" s="1647"/>
      <c r="G166" s="1647"/>
      <c r="H166" s="362"/>
      <c r="N166" s="1652"/>
      <c r="O166" s="1652"/>
      <c r="P166" s="1652"/>
      <c r="Q166" s="1377"/>
      <c r="S166" s="1377"/>
      <c r="T166" s="1647"/>
      <c r="U166" s="1647"/>
      <c r="V166" s="1377"/>
      <c r="W166" s="1377"/>
      <c r="X166" s="1377"/>
      <c r="Y166" s="1377"/>
      <c r="Z166" s="1647"/>
      <c r="AA166" s="1377"/>
      <c r="AB166" s="1377"/>
      <c r="AC166" s="555"/>
      <c r="AD166" s="1377"/>
      <c r="AE166" s="1377"/>
      <c r="AF166" s="1377"/>
      <c r="AG166" s="1377"/>
      <c r="AH166" s="1377"/>
      <c r="AI166" s="1643"/>
      <c r="AJ166" s="633"/>
      <c r="AK166" s="633"/>
      <c r="AL166" s="633"/>
      <c r="AM166" s="633"/>
      <c r="AN166" s="1652">
        <v>11</v>
      </c>
    </row>
    <row s="1652" customFormat="1" customHeight="1" ht="11.549999999999999">
      <c r="A167" s="998"/>
      <c r="B167" s="998"/>
      <c r="C167" s="998"/>
      <c r="D167" s="998"/>
      <c r="E167" s="998"/>
      <c r="F167" s="1647"/>
      <c r="G167" s="1647"/>
      <c r="H167" s="362"/>
      <c r="N167" s="1652"/>
      <c r="O167" s="1652"/>
      <c r="P167" s="1652"/>
      <c r="Q167" s="1377"/>
      <c r="S167" s="1377"/>
      <c r="T167" s="1647"/>
      <c r="U167" s="1647"/>
      <c r="V167" s="1377"/>
      <c r="W167" s="1377"/>
      <c r="X167" s="1377"/>
      <c r="Y167" s="1377"/>
      <c r="Z167" s="1647"/>
      <c r="AA167" s="1377"/>
      <c r="AB167" s="1377"/>
      <c r="AC167" s="555"/>
      <c r="AD167" s="1377"/>
      <c r="AE167" s="1377"/>
      <c r="AF167" s="1377"/>
      <c r="AG167" s="1377"/>
      <c r="AH167" s="1377"/>
      <c r="AI167" s="1643"/>
      <c r="AJ167" s="633"/>
      <c r="AK167" s="633"/>
      <c r="AL167" s="633"/>
      <c r="AM167" s="633"/>
      <c r="AN167" s="1652">
        <v>11</v>
      </c>
    </row>
    <row s="1652" customFormat="1" customHeight="1" ht="11.549999999999999">
      <c r="A168" s="998"/>
      <c r="B168" s="998"/>
      <c r="C168" s="998"/>
      <c r="D168" s="998"/>
      <c r="E168" s="998"/>
      <c r="F168" s="1647"/>
      <c r="G168" s="1647"/>
      <c r="H168" s="362"/>
      <c r="N168" s="1652"/>
      <c r="O168" s="1652"/>
      <c r="P168" s="1652"/>
      <c r="Q168" s="1377"/>
      <c r="S168" s="1377"/>
      <c r="T168" s="1647"/>
      <c r="U168" s="1647"/>
      <c r="V168" s="1377"/>
      <c r="W168" s="1377"/>
      <c r="X168" s="1377"/>
      <c r="Y168" s="1377"/>
      <c r="Z168" s="1647"/>
      <c r="AA168" s="1377"/>
      <c r="AB168" s="1377"/>
      <c r="AC168" s="555"/>
      <c r="AD168" s="1377"/>
      <c r="AE168" s="1377"/>
      <c r="AF168" s="1377"/>
      <c r="AG168" s="1377"/>
      <c r="AH168" s="1377"/>
      <c r="AI168" s="1643"/>
      <c r="AJ168" s="633"/>
      <c r="AK168" s="633"/>
      <c r="AL168" s="633"/>
      <c r="AM168" s="633"/>
      <c r="AN168" s="1652">
        <v>11</v>
      </c>
    </row>
    <row s="1652" customFormat="1" customHeight="1" ht="11.549999999999999">
      <c r="A169" s="998"/>
      <c r="B169" s="998"/>
      <c r="C169" s="998"/>
      <c r="D169" s="998"/>
      <c r="E169" s="998"/>
      <c r="F169" s="1647"/>
      <c r="G169" s="1647"/>
      <c r="H169" s="362"/>
      <c r="N169" s="1652"/>
      <c r="O169" s="1652"/>
      <c r="P169" s="1652"/>
      <c r="Q169" s="1377"/>
      <c r="S169" s="1377"/>
      <c r="T169" s="1647"/>
      <c r="U169" s="1647"/>
      <c r="V169" s="1377"/>
      <c r="W169" s="1377"/>
      <c r="X169" s="1377"/>
      <c r="Y169" s="1377"/>
      <c r="Z169" s="1647"/>
      <c r="AA169" s="1377"/>
      <c r="AB169" s="1377"/>
      <c r="AC169" s="555"/>
      <c r="AD169" s="1377"/>
      <c r="AE169" s="1377"/>
      <c r="AF169" s="1377"/>
      <c r="AG169" s="1377"/>
      <c r="AH169" s="1377"/>
      <c r="AI169" s="1643"/>
      <c r="AJ169" s="633"/>
      <c r="AK169" s="633"/>
      <c r="AL169" s="633"/>
      <c r="AM169" s="633"/>
      <c r="AN169" s="1652">
        <v>11</v>
      </c>
    </row>
    <row s="1652" customFormat="1" customHeight="1" ht="11.549999999999999">
      <c r="A170" s="998"/>
      <c r="B170" s="998"/>
      <c r="C170" s="998"/>
      <c r="D170" s="998"/>
      <c r="E170" s="998"/>
      <c r="F170" s="1647"/>
      <c r="G170" s="1647"/>
      <c r="H170" s="362"/>
      <c r="N170" s="1652"/>
      <c r="O170" s="1652"/>
      <c r="P170" s="1652"/>
      <c r="Q170" s="1377"/>
      <c r="S170" s="1377"/>
      <c r="T170" s="1647"/>
      <c r="U170" s="1647"/>
      <c r="V170" s="1377"/>
      <c r="W170" s="1377"/>
      <c r="X170" s="1377"/>
      <c r="Y170" s="1377"/>
      <c r="Z170" s="1647"/>
      <c r="AA170" s="1377"/>
      <c r="AB170" s="1377"/>
      <c r="AC170" s="555"/>
      <c r="AD170" s="1377"/>
      <c r="AE170" s="1377"/>
      <c r="AF170" s="1377"/>
      <c r="AG170" s="1377"/>
      <c r="AH170" s="1377"/>
      <c r="AI170" s="1643"/>
      <c r="AJ170" s="633"/>
      <c r="AK170" s="633"/>
      <c r="AL170" s="633"/>
      <c r="AM170" s="633"/>
      <c r="AN170" s="1652">
        <v>11</v>
      </c>
    </row>
    <row s="1652" customFormat="1" customHeight="1" ht="11.549999999999999">
      <c r="A171" s="998"/>
      <c r="B171" s="998"/>
      <c r="C171" s="998"/>
      <c r="D171" s="998"/>
      <c r="E171" s="998"/>
      <c r="F171" s="1647"/>
      <c r="G171" s="1647"/>
      <c r="H171" s="362"/>
      <c r="N171" s="1652"/>
      <c r="O171" s="1652"/>
      <c r="P171" s="1652"/>
      <c r="Q171" s="1377"/>
      <c r="S171" s="1377"/>
      <c r="T171" s="1647"/>
      <c r="U171" s="1647"/>
      <c r="V171" s="1377"/>
      <c r="W171" s="1377"/>
      <c r="X171" s="1377"/>
      <c r="Y171" s="1377"/>
      <c r="Z171" s="1647"/>
      <c r="AA171" s="1377"/>
      <c r="AB171" s="1377"/>
      <c r="AC171" s="555"/>
      <c r="AD171" s="1377"/>
      <c r="AE171" s="1377"/>
      <c r="AF171" s="1377"/>
      <c r="AG171" s="1377"/>
      <c r="AH171" s="1377"/>
      <c r="AI171" s="1643"/>
      <c r="AJ171" s="633"/>
      <c r="AK171" s="633"/>
      <c r="AL171" s="633"/>
      <c r="AM171" s="633"/>
      <c r="AN171" s="1652">
        <v>11</v>
      </c>
    </row>
    <row s="1652" customFormat="1" customHeight="1" ht="11.549999999999999">
      <c r="A172" s="998"/>
      <c r="B172" s="998"/>
      <c r="C172" s="998"/>
      <c r="D172" s="998"/>
      <c r="E172" s="998"/>
      <c r="F172" s="1647"/>
      <c r="G172" s="1647"/>
      <c r="H172" s="362"/>
      <c r="N172" s="1652"/>
      <c r="O172" s="1652"/>
      <c r="P172" s="1652"/>
      <c r="Q172" s="1377"/>
      <c r="S172" s="1377"/>
      <c r="T172" s="1647"/>
      <c r="U172" s="1647"/>
      <c r="V172" s="1377"/>
      <c r="W172" s="1377"/>
      <c r="X172" s="1377"/>
      <c r="Y172" s="1377"/>
      <c r="Z172" s="1647"/>
      <c r="AA172" s="1377"/>
      <c r="AB172" s="1377"/>
      <c r="AC172" s="555"/>
      <c r="AD172" s="1377"/>
      <c r="AE172" s="1377"/>
      <c r="AF172" s="1377"/>
      <c r="AG172" s="1377"/>
      <c r="AH172" s="1377"/>
      <c r="AI172" s="1643"/>
      <c r="AJ172" s="633"/>
      <c r="AK172" s="633"/>
      <c r="AL172" s="633"/>
      <c r="AM172" s="633"/>
      <c r="AN172" s="1652">
        <v>11</v>
      </c>
    </row>
    <row s="1652" customFormat="1" customHeight="1" ht="11.549999999999999">
      <c r="A173" s="998"/>
      <c r="B173" s="998"/>
      <c r="C173" s="998"/>
      <c r="D173" s="998"/>
      <c r="E173" s="998"/>
      <c r="F173" s="1647"/>
      <c r="G173" s="1647"/>
      <c r="H173" s="362"/>
      <c r="N173" s="1652"/>
      <c r="O173" s="1652"/>
      <c r="P173" s="1652"/>
      <c r="Q173" s="1377"/>
      <c r="S173" s="1377"/>
      <c r="T173" s="1647"/>
      <c r="U173" s="1647"/>
      <c r="V173" s="1377"/>
      <c r="W173" s="1377"/>
      <c r="X173" s="1377"/>
      <c r="Y173" s="1377"/>
      <c r="Z173" s="1647"/>
      <c r="AA173" s="1377"/>
      <c r="AB173" s="1377"/>
      <c r="AC173" s="555"/>
      <c r="AD173" s="1377"/>
      <c r="AE173" s="1377"/>
      <c r="AF173" s="1377"/>
      <c r="AG173" s="1377"/>
      <c r="AH173" s="1377"/>
      <c r="AI173" s="1643"/>
      <c r="AJ173" s="633"/>
      <c r="AK173" s="633"/>
      <c r="AL173" s="633"/>
      <c r="AM173" s="633"/>
      <c r="AN173" s="1652">
        <v>11</v>
      </c>
    </row>
    <row s="1652" customFormat="1" customHeight="1" ht="11.549999999999999">
      <c r="A174" s="998"/>
      <c r="B174" s="998"/>
      <c r="C174" s="998"/>
      <c r="D174" s="998"/>
      <c r="E174" s="998"/>
      <c r="F174" s="1647"/>
      <c r="G174" s="1647"/>
      <c r="H174" s="362"/>
      <c r="N174" s="1652"/>
      <c r="O174" s="1652"/>
      <c r="P174" s="1652"/>
      <c r="Q174" s="1377"/>
      <c r="S174" s="1377"/>
      <c r="T174" s="1647"/>
      <c r="U174" s="1647"/>
      <c r="V174" s="1377"/>
      <c r="W174" s="1377"/>
      <c r="X174" s="1377"/>
      <c r="Y174" s="1377"/>
      <c r="Z174" s="1647"/>
      <c r="AA174" s="1377"/>
      <c r="AB174" s="1377"/>
      <c r="AC174" s="555"/>
      <c r="AD174" s="1377"/>
      <c r="AE174" s="1377"/>
      <c r="AF174" s="1377"/>
      <c r="AG174" s="1377"/>
      <c r="AH174" s="1377"/>
      <c r="AI174" s="1643"/>
      <c r="AJ174" s="633"/>
      <c r="AK174" s="633"/>
      <c r="AL174" s="633"/>
      <c r="AM174" s="633"/>
      <c r="AN174" s="1652">
        <v>11</v>
      </c>
    </row>
    <row s="1652" customFormat="1" customHeight="1" ht="11.549999999999999">
      <c r="A175" s="998"/>
      <c r="B175" s="998"/>
      <c r="C175" s="998"/>
      <c r="D175" s="998"/>
      <c r="E175" s="998"/>
      <c r="F175" s="1647"/>
      <c r="G175" s="1647"/>
      <c r="H175" s="362"/>
      <c r="N175" s="1652"/>
      <c r="O175" s="1652"/>
      <c r="P175" s="1652"/>
      <c r="Q175" s="1377"/>
      <c r="S175" s="1377"/>
      <c r="T175" s="1647"/>
      <c r="U175" s="1647"/>
      <c r="V175" s="1377"/>
      <c r="W175" s="1377"/>
      <c r="X175" s="1377"/>
      <c r="Y175" s="1377"/>
      <c r="Z175" s="1647"/>
      <c r="AA175" s="1377"/>
      <c r="AB175" s="1377"/>
      <c r="AC175" s="555"/>
      <c r="AD175" s="1377"/>
      <c r="AE175" s="1377"/>
      <c r="AF175" s="1377"/>
      <c r="AG175" s="1377"/>
      <c r="AH175" s="1377"/>
      <c r="AI175" s="1643"/>
      <c r="AJ175" s="633"/>
      <c r="AK175" s="633"/>
      <c r="AL175" s="633"/>
      <c r="AM175" s="633"/>
      <c r="AN175" s="1652">
        <v>11</v>
      </c>
    </row>
    <row s="1652" customFormat="1" customHeight="1" ht="11.549999999999999">
      <c r="A176" s="998"/>
      <c r="B176" s="998"/>
      <c r="C176" s="998"/>
      <c r="D176" s="998"/>
      <c r="E176" s="998"/>
      <c r="F176" s="1647"/>
      <c r="G176" s="1647"/>
      <c r="H176" s="362"/>
      <c r="N176" s="1652"/>
      <c r="O176" s="1652"/>
      <c r="P176" s="1652"/>
      <c r="Q176" s="1377"/>
      <c r="S176" s="1377"/>
      <c r="T176" s="1647"/>
      <c r="U176" s="1647"/>
      <c r="V176" s="1377"/>
      <c r="W176" s="1377"/>
      <c r="X176" s="1377"/>
      <c r="Y176" s="1377"/>
      <c r="Z176" s="1647"/>
      <c r="AA176" s="1377"/>
      <c r="AB176" s="1377"/>
      <c r="AC176" s="555"/>
      <c r="AD176" s="1377"/>
      <c r="AE176" s="1377"/>
      <c r="AF176" s="1377"/>
      <c r="AG176" s="1377"/>
      <c r="AH176" s="1377"/>
      <c r="AI176" s="1643"/>
      <c r="AJ176" s="633"/>
      <c r="AK176" s="633"/>
      <c r="AL176" s="633"/>
      <c r="AM176" s="633"/>
      <c r="AN176" s="1652">
        <v>11</v>
      </c>
    </row>
    <row s="1652" customFormat="1" customHeight="1" ht="11.549999999999999">
      <c r="A177" s="998"/>
      <c r="B177" s="998"/>
      <c r="C177" s="998"/>
      <c r="D177" s="998"/>
      <c r="E177" s="998"/>
      <c r="F177" s="1647"/>
      <c r="G177" s="1647"/>
      <c r="H177" s="362"/>
      <c r="N177" s="1652"/>
      <c r="O177" s="1652"/>
      <c r="P177" s="1652"/>
      <c r="Q177" s="1377"/>
      <c r="S177" s="1377"/>
      <c r="T177" s="1647"/>
      <c r="U177" s="1647"/>
      <c r="V177" s="1377"/>
      <c r="W177" s="1377"/>
      <c r="X177" s="1377"/>
      <c r="Y177" s="1377"/>
      <c r="Z177" s="1647"/>
      <c r="AA177" s="1377"/>
      <c r="AB177" s="1377"/>
      <c r="AC177" s="555"/>
      <c r="AD177" s="1377"/>
      <c r="AE177" s="1377"/>
      <c r="AF177" s="1377"/>
      <c r="AG177" s="1377"/>
      <c r="AH177" s="1377"/>
      <c r="AI177" s="1643"/>
      <c r="AJ177" s="633"/>
      <c r="AK177" s="633"/>
      <c r="AL177" s="633"/>
      <c r="AM177" s="633"/>
      <c r="AN177" s="1652">
        <v>11</v>
      </c>
    </row>
    <row s="1652" customFormat="1" customHeight="1" ht="11.549999999999999">
      <c r="A178" s="998"/>
      <c r="B178" s="998"/>
      <c r="C178" s="998"/>
      <c r="D178" s="998"/>
      <c r="E178" s="998"/>
      <c r="F178" s="1647"/>
      <c r="G178" s="1647"/>
      <c r="H178" s="362"/>
      <c r="N178" s="1652"/>
      <c r="O178" s="1652"/>
      <c r="P178" s="1652"/>
      <c r="Q178" s="1377"/>
      <c r="S178" s="1377"/>
      <c r="T178" s="1647"/>
      <c r="U178" s="1647"/>
      <c r="V178" s="1377"/>
      <c r="W178" s="1377"/>
      <c r="X178" s="1377"/>
      <c r="Y178" s="1377"/>
      <c r="Z178" s="1647"/>
      <c r="AA178" s="1377"/>
      <c r="AB178" s="1377"/>
      <c r="AC178" s="555"/>
      <c r="AD178" s="1377"/>
      <c r="AE178" s="1377"/>
      <c r="AF178" s="1377"/>
      <c r="AG178" s="1377"/>
      <c r="AH178" s="1377"/>
      <c r="AI178" s="1643"/>
      <c r="AJ178" s="633"/>
      <c r="AK178" s="633"/>
      <c r="AL178" s="633"/>
      <c r="AM178" s="633"/>
      <c r="AN178" s="1652">
        <v>11</v>
      </c>
    </row>
    <row s="1652" customFormat="1" customHeight="1" ht="11.549999999999999">
      <c r="A179" s="998"/>
      <c r="B179" s="998"/>
      <c r="C179" s="998"/>
      <c r="D179" s="998"/>
      <c r="E179" s="998"/>
      <c r="F179" s="1647"/>
      <c r="G179" s="1647"/>
      <c r="H179" s="362"/>
      <c r="N179" s="1652"/>
      <c r="O179" s="1652"/>
      <c r="P179" s="1652"/>
      <c r="Q179" s="1377"/>
      <c r="S179" s="1377"/>
      <c r="T179" s="1647"/>
      <c r="U179" s="1647"/>
      <c r="V179" s="1377"/>
      <c r="W179" s="1377"/>
      <c r="X179" s="1377"/>
      <c r="Y179" s="1377"/>
      <c r="Z179" s="1647"/>
      <c r="AA179" s="1377"/>
      <c r="AB179" s="1377"/>
      <c r="AC179" s="555"/>
      <c r="AD179" s="1377"/>
      <c r="AE179" s="1377"/>
      <c r="AF179" s="1377"/>
      <c r="AG179" s="1377"/>
      <c r="AH179" s="1377"/>
      <c r="AI179" s="1643"/>
      <c r="AJ179" s="633"/>
      <c r="AK179" s="633"/>
      <c r="AL179" s="633"/>
      <c r="AM179" s="633"/>
      <c r="AN179" s="1652">
        <v>11</v>
      </c>
    </row>
    <row s="1652" customFormat="1" customHeight="1" ht="11.549999999999999">
      <c r="A180" s="998"/>
      <c r="B180" s="998"/>
      <c r="C180" s="998"/>
      <c r="D180" s="998"/>
      <c r="E180" s="998"/>
      <c r="F180" s="1647"/>
      <c r="G180" s="1647"/>
      <c r="H180" s="362"/>
      <c r="N180" s="1652"/>
      <c r="O180" s="1652"/>
      <c r="P180" s="1652"/>
      <c r="Q180" s="1377"/>
      <c r="S180" s="1377"/>
      <c r="T180" s="1647"/>
      <c r="U180" s="1647"/>
      <c r="V180" s="1377"/>
      <c r="W180" s="1377"/>
      <c r="X180" s="1377"/>
      <c r="Y180" s="1377"/>
      <c r="Z180" s="1647"/>
      <c r="AA180" s="1377"/>
      <c r="AB180" s="1377"/>
      <c r="AC180" s="555"/>
      <c r="AD180" s="1377"/>
      <c r="AE180" s="1377"/>
      <c r="AF180" s="1377"/>
      <c r="AG180" s="1377"/>
      <c r="AH180" s="1377"/>
      <c r="AI180" s="1643"/>
      <c r="AJ180" s="633"/>
      <c r="AK180" s="633"/>
      <c r="AL180" s="633"/>
      <c r="AM180" s="633"/>
      <c r="AN180" s="1652">
        <v>11</v>
      </c>
    </row>
    <row s="1652" customFormat="1" customHeight="1" ht="11.549999999999999">
      <c r="A181" s="998"/>
      <c r="B181" s="998"/>
      <c r="C181" s="998"/>
      <c r="D181" s="998"/>
      <c r="E181" s="998"/>
      <c r="F181" s="1647"/>
      <c r="G181" s="1647"/>
      <c r="H181" s="362"/>
      <c r="N181" s="1652"/>
      <c r="O181" s="1652"/>
      <c r="P181" s="1652"/>
      <c r="Q181" s="1377"/>
      <c r="S181" s="1377"/>
      <c r="T181" s="1647"/>
      <c r="U181" s="1647"/>
      <c r="V181" s="1377"/>
      <c r="W181" s="1377"/>
      <c r="X181" s="1377"/>
      <c r="Y181" s="1377"/>
      <c r="Z181" s="1647"/>
      <c r="AA181" s="1377"/>
      <c r="AB181" s="1377"/>
      <c r="AC181" s="555"/>
      <c r="AD181" s="1377"/>
      <c r="AE181" s="1377"/>
      <c r="AF181" s="1377"/>
      <c r="AG181" s="1377"/>
      <c r="AH181" s="1377"/>
      <c r="AI181" s="1643"/>
      <c r="AJ181" s="633"/>
      <c r="AK181" s="633"/>
      <c r="AL181" s="633"/>
      <c r="AM181" s="633"/>
      <c r="AN181" s="1652">
        <v>11</v>
      </c>
    </row>
    <row s="1652" customFormat="1" customHeight="1" ht="11.549999999999999">
      <c r="A182" s="998"/>
      <c r="B182" s="998"/>
      <c r="C182" s="998"/>
      <c r="D182" s="998"/>
      <c r="E182" s="998"/>
      <c r="F182" s="1647"/>
      <c r="G182" s="1647"/>
      <c r="H182" s="362"/>
      <c r="N182" s="1652"/>
      <c r="O182" s="1652"/>
      <c r="P182" s="1652"/>
      <c r="Q182" s="1377"/>
      <c r="S182" s="1377"/>
      <c r="T182" s="1647"/>
      <c r="U182" s="1647"/>
      <c r="V182" s="1377"/>
      <c r="W182" s="1377"/>
      <c r="X182" s="1377"/>
      <c r="Y182" s="1377"/>
      <c r="Z182" s="1647"/>
      <c r="AA182" s="1377"/>
      <c r="AB182" s="1377"/>
      <c r="AC182" s="555"/>
      <c r="AD182" s="1377"/>
      <c r="AE182" s="1377"/>
      <c r="AF182" s="1377"/>
      <c r="AG182" s="1377"/>
      <c r="AH182" s="1377"/>
      <c r="AI182" s="1643"/>
      <c r="AJ182" s="633"/>
      <c r="AK182" s="633"/>
      <c r="AL182" s="633"/>
      <c r="AM182" s="633"/>
      <c r="AN182" s="1652">
        <v>11</v>
      </c>
    </row>
    <row s="1652" customFormat="1" customHeight="1" ht="11.549999999999999">
      <c r="A183" s="998"/>
      <c r="B183" s="998"/>
      <c r="C183" s="998"/>
      <c r="D183" s="998"/>
      <c r="E183" s="998"/>
      <c r="F183" s="1647"/>
      <c r="G183" s="1647"/>
      <c r="H183" s="362"/>
      <c r="N183" s="1652"/>
      <c r="O183" s="1652"/>
      <c r="P183" s="1652"/>
      <c r="Q183" s="1377"/>
      <c r="S183" s="1377"/>
      <c r="T183" s="1647"/>
      <c r="U183" s="1647"/>
      <c r="V183" s="1377"/>
      <c r="W183" s="1377"/>
      <c r="X183" s="1377"/>
      <c r="Y183" s="1377"/>
      <c r="Z183" s="1647"/>
      <c r="AA183" s="1377"/>
      <c r="AB183" s="1377"/>
      <c r="AC183" s="555"/>
      <c r="AD183" s="1377"/>
      <c r="AE183" s="1377"/>
      <c r="AF183" s="1377"/>
      <c r="AG183" s="1377"/>
      <c r="AH183" s="1377"/>
      <c r="AI183" s="1643"/>
      <c r="AJ183" s="633"/>
      <c r="AK183" s="633"/>
      <c r="AL183" s="633"/>
      <c r="AM183" s="633"/>
      <c r="AN183" s="1652">
        <v>11</v>
      </c>
    </row>
    <row s="1652" customFormat="1" customHeight="1" ht="11.549999999999999">
      <c r="A184" s="998"/>
      <c r="B184" s="998"/>
      <c r="C184" s="998"/>
      <c r="D184" s="998"/>
      <c r="E184" s="998"/>
      <c r="F184" s="1647"/>
      <c r="G184" s="1647"/>
      <c r="H184" s="362"/>
      <c r="N184" s="1652"/>
      <c r="O184" s="1652"/>
      <c r="P184" s="1652"/>
      <c r="Q184" s="1377"/>
      <c r="S184" s="1377"/>
      <c r="T184" s="1647"/>
      <c r="U184" s="1647"/>
      <c r="V184" s="1377"/>
      <c r="W184" s="1377"/>
      <c r="X184" s="1377"/>
      <c r="Y184" s="1377"/>
      <c r="Z184" s="1647"/>
      <c r="AA184" s="1377"/>
      <c r="AB184" s="1377"/>
      <c r="AC184" s="555"/>
      <c r="AD184" s="1377"/>
      <c r="AE184" s="1377"/>
      <c r="AF184" s="1377"/>
      <c r="AG184" s="1377"/>
      <c r="AH184" s="1377"/>
      <c r="AI184" s="1643"/>
      <c r="AJ184" s="633"/>
      <c r="AK184" s="633"/>
      <c r="AL184" s="633"/>
      <c r="AM184" s="633"/>
      <c r="AN184" s="1652">
        <v>11</v>
      </c>
    </row>
    <row s="1652" customFormat="1" customHeight="1" ht="11.549999999999999">
      <c r="A185" s="998"/>
      <c r="B185" s="998"/>
      <c r="C185" s="998"/>
      <c r="D185" s="998"/>
      <c r="E185" s="998"/>
      <c r="F185" s="1647"/>
      <c r="G185" s="1647"/>
      <c r="H185" s="362"/>
      <c r="N185" s="1652"/>
      <c r="O185" s="1652"/>
      <c r="P185" s="1652"/>
      <c r="Q185" s="1377"/>
      <c r="S185" s="1377"/>
      <c r="T185" s="1647"/>
      <c r="U185" s="1647"/>
      <c r="V185" s="1377"/>
      <c r="W185" s="1377"/>
      <c r="X185" s="1377"/>
      <c r="Y185" s="1377"/>
      <c r="Z185" s="1647"/>
      <c r="AA185" s="1377"/>
      <c r="AB185" s="1377"/>
      <c r="AC185" s="555"/>
      <c r="AD185" s="1377"/>
      <c r="AE185" s="1377"/>
      <c r="AF185" s="1377"/>
      <c r="AG185" s="1377"/>
      <c r="AH185" s="1377"/>
      <c r="AI185" s="1643"/>
      <c r="AJ185" s="633"/>
      <c r="AK185" s="633"/>
      <c r="AL185" s="633"/>
      <c r="AM185" s="633"/>
      <c r="AN185" s="1652">
        <v>11</v>
      </c>
    </row>
    <row s="1652" customFormat="1" customHeight="1" ht="11.549999999999999">
      <c r="A186" s="998"/>
      <c r="B186" s="998"/>
      <c r="C186" s="998"/>
      <c r="D186" s="998"/>
      <c r="E186" s="998"/>
      <c r="F186" s="1647"/>
      <c r="G186" s="1647"/>
      <c r="H186" s="362"/>
      <c r="N186" s="1652"/>
      <c r="O186" s="1652"/>
      <c r="P186" s="1652"/>
      <c r="Q186" s="1377"/>
      <c r="S186" s="1377"/>
      <c r="T186" s="1647"/>
      <c r="U186" s="1647"/>
      <c r="V186" s="1377"/>
      <c r="W186" s="1377"/>
      <c r="X186" s="1377"/>
      <c r="Y186" s="1377"/>
      <c r="Z186" s="1647"/>
      <c r="AA186" s="1377"/>
      <c r="AB186" s="1377"/>
      <c r="AC186" s="555"/>
      <c r="AD186" s="1377"/>
      <c r="AE186" s="1377"/>
      <c r="AF186" s="1377"/>
      <c r="AG186" s="1377"/>
      <c r="AH186" s="1377"/>
      <c r="AI186" s="1643"/>
      <c r="AJ186" s="633"/>
      <c r="AK186" s="633"/>
      <c r="AL186" s="633"/>
      <c r="AM186" s="633"/>
      <c r="AN186" s="1652">
        <v>11</v>
      </c>
    </row>
    <row s="1652" customFormat="1" customHeight="1" ht="11.549999999999999">
      <c r="A187" s="998"/>
      <c r="B187" s="998"/>
      <c r="C187" s="998"/>
      <c r="D187" s="998"/>
      <c r="E187" s="998"/>
      <c r="F187" s="1647"/>
      <c r="G187" s="1647"/>
      <c r="H187" s="362"/>
      <c r="N187" s="1652"/>
      <c r="O187" s="1652"/>
      <c r="P187" s="1652"/>
      <c r="Q187" s="1377"/>
      <c r="S187" s="1377"/>
      <c r="T187" s="1647"/>
      <c r="U187" s="1647"/>
      <c r="V187" s="1377"/>
      <c r="W187" s="1377"/>
      <c r="X187" s="1377"/>
      <c r="Y187" s="1377"/>
      <c r="Z187" s="1647"/>
      <c r="AA187" s="1377"/>
      <c r="AB187" s="1377"/>
      <c r="AC187" s="555"/>
      <c r="AD187" s="1377"/>
      <c r="AE187" s="1377"/>
      <c r="AF187" s="1377"/>
      <c r="AG187" s="1377"/>
      <c r="AH187" s="1377"/>
      <c r="AI187" s="1643"/>
      <c r="AJ187" s="633"/>
      <c r="AK187" s="633"/>
      <c r="AL187" s="633"/>
      <c r="AM187" s="633"/>
      <c r="AN187" s="1652">
        <v>11</v>
      </c>
    </row>
    <row s="1652" customFormat="1" customHeight="1" ht="11.549999999999999">
      <c r="A188" s="998"/>
      <c r="B188" s="998"/>
      <c r="C188" s="998"/>
      <c r="D188" s="998"/>
      <c r="E188" s="998"/>
      <c r="F188" s="1647"/>
      <c r="G188" s="1647"/>
      <c r="H188" s="362"/>
      <c r="N188" s="1652"/>
      <c r="O188" s="1652"/>
      <c r="P188" s="1652"/>
      <c r="Q188" s="1377"/>
      <c r="S188" s="1377"/>
      <c r="T188" s="1647"/>
      <c r="U188" s="1647"/>
      <c r="V188" s="1377"/>
      <c r="W188" s="1377"/>
      <c r="X188" s="1377"/>
      <c r="Y188" s="1377"/>
      <c r="Z188" s="1647"/>
      <c r="AA188" s="1377"/>
      <c r="AB188" s="1377"/>
      <c r="AC188" s="555"/>
      <c r="AD188" s="1377"/>
      <c r="AE188" s="1377"/>
      <c r="AF188" s="1377"/>
      <c r="AG188" s="1377"/>
      <c r="AH188" s="1377"/>
      <c r="AI188" s="1643"/>
      <c r="AJ188" s="633"/>
      <c r="AK188" s="633"/>
      <c r="AL188" s="633"/>
      <c r="AM188" s="633"/>
      <c r="AN188" s="1652">
        <v>11</v>
      </c>
    </row>
    <row s="1652" customFormat="1" customHeight="1" ht="11.549999999999999">
      <c r="A189" s="998"/>
      <c r="B189" s="998"/>
      <c r="C189" s="998"/>
      <c r="D189" s="998"/>
      <c r="E189" s="998"/>
      <c r="F189" s="1647"/>
      <c r="G189" s="1647"/>
      <c r="H189" s="362"/>
      <c r="N189" s="1652"/>
      <c r="O189" s="1652"/>
      <c r="P189" s="1652"/>
      <c r="Q189" s="1377"/>
      <c r="S189" s="1377"/>
      <c r="T189" s="1647"/>
      <c r="U189" s="1647"/>
      <c r="V189" s="1377"/>
      <c r="W189" s="1377"/>
      <c r="X189" s="1377"/>
      <c r="Y189" s="1377"/>
      <c r="Z189" s="1647"/>
      <c r="AA189" s="1377"/>
      <c r="AB189" s="1377"/>
      <c r="AC189" s="555"/>
      <c r="AD189" s="1377"/>
      <c r="AE189" s="1377"/>
      <c r="AF189" s="1377"/>
      <c r="AG189" s="1377"/>
      <c r="AH189" s="1377"/>
      <c r="AI189" s="1643"/>
      <c r="AJ189" s="633"/>
      <c r="AK189" s="633"/>
      <c r="AL189" s="633"/>
      <c r="AM189" s="633"/>
      <c r="AN189" s="1652">
        <v>11</v>
      </c>
    </row>
    <row customHeight="1" ht="11.549999999999999">
      <c r="N190" s="1646"/>
      <c r="O190" s="1646"/>
      <c r="P190" s="1646"/>
      <c r="AN190" s="1642">
        <v>11</v>
      </c>
    </row>
    <row customHeight="1" ht="11.549999999999999">
      <c r="N191" s="1646"/>
      <c r="O191" s="1646"/>
      <c r="P191" s="1646"/>
      <c r="AN191" s="1642">
        <v>11</v>
      </c>
    </row>
    <row customHeight="1" ht="11.549999999999999">
      <c r="N192" s="1646"/>
      <c r="O192" s="1646"/>
      <c r="P192" s="1646"/>
      <c r="AN192" s="1642">
        <v>11</v>
      </c>
    </row>
    <row customHeight="1" ht="11.549999999999999">
      <c r="A193" s="1001"/>
      <c r="B193" s="1001"/>
      <c r="C193" s="1001"/>
      <c r="D193" s="1001"/>
      <c r="E193" s="1001"/>
      <c r="F193" s="1642"/>
      <c r="H193" s="1642"/>
      <c r="N193" s="1646"/>
      <c r="O193" s="1646"/>
      <c r="P193" s="1646"/>
      <c r="Q193" s="1642"/>
      <c r="S193" s="1642"/>
      <c r="V193" s="1642"/>
      <c r="W193" s="1642"/>
      <c r="X193" s="1642"/>
      <c r="Y193" s="1642"/>
      <c r="AA193" s="1642"/>
      <c r="AB193" s="1642"/>
      <c r="AC193" s="1642"/>
      <c r="AD193" s="1642"/>
      <c r="AE193" s="1642"/>
      <c r="AF193" s="1642"/>
      <c r="AG193" s="1642"/>
      <c r="AH193" s="1642"/>
      <c r="AI193" s="1642"/>
      <c r="AJ193" s="1642"/>
      <c r="AK193" s="1642"/>
      <c r="AL193" s="1642"/>
      <c r="AM193" s="1642"/>
      <c r="AN193" s="1642">
        <v>11</v>
      </c>
    </row>
    <row customHeight="1" ht="11.549999999999999">
      <c r="A194" s="1001"/>
      <c r="B194" s="1001"/>
      <c r="C194" s="1001"/>
      <c r="D194" s="1001"/>
      <c r="E194" s="1001"/>
      <c r="F194" s="1642"/>
      <c r="H194" s="1642"/>
      <c r="N194" s="1646"/>
      <c r="O194" s="1646"/>
      <c r="P194" s="1646"/>
      <c r="Q194" s="1642"/>
      <c r="S194" s="1642"/>
      <c r="V194" s="1642"/>
      <c r="W194" s="1642"/>
      <c r="X194" s="1642"/>
      <c r="Y194" s="1642"/>
      <c r="AA194" s="1642"/>
      <c r="AB194" s="1642"/>
      <c r="AC194" s="1642"/>
      <c r="AD194" s="1642"/>
      <c r="AE194" s="1642"/>
      <c r="AF194" s="1642"/>
      <c r="AG194" s="1642"/>
      <c r="AH194" s="1642"/>
      <c r="AI194" s="1642"/>
      <c r="AJ194" s="1642"/>
      <c r="AK194" s="1642"/>
      <c r="AL194" s="1642"/>
      <c r="AM194" s="1642"/>
      <c r="AN194" s="1642">
        <v>11</v>
      </c>
    </row>
    <row customHeight="1" ht="11.549999999999999">
      <c r="A195" s="1001"/>
      <c r="B195" s="1001"/>
      <c r="C195" s="1001"/>
      <c r="D195" s="1001"/>
      <c r="E195" s="1001"/>
      <c r="F195" s="1642"/>
      <c r="H195" s="1642"/>
      <c r="N195" s="1646"/>
      <c r="O195" s="1646"/>
      <c r="P195" s="1646"/>
      <c r="Q195" s="1642"/>
      <c r="S195" s="1642"/>
      <c r="V195" s="1642"/>
      <c r="W195" s="1642"/>
      <c r="X195" s="1642"/>
      <c r="Y195" s="1642"/>
      <c r="AA195" s="1642"/>
      <c r="AB195" s="1642"/>
      <c r="AC195" s="1642"/>
      <c r="AD195" s="1642"/>
      <c r="AE195" s="1642"/>
      <c r="AF195" s="1642"/>
      <c r="AG195" s="1642"/>
      <c r="AH195" s="1642"/>
      <c r="AI195" s="1642"/>
      <c r="AJ195" s="1642"/>
      <c r="AK195" s="1642"/>
      <c r="AL195" s="1642"/>
      <c r="AM195" s="1642"/>
      <c r="AN195" s="1642">
        <v>11</v>
      </c>
    </row>
    <row customHeight="1" ht="11.549999999999999">
      <c r="A196" s="1001"/>
      <c r="B196" s="1001"/>
      <c r="C196" s="1001"/>
      <c r="D196" s="1001"/>
      <c r="E196" s="1001"/>
      <c r="F196" s="1642"/>
      <c r="H196" s="1642"/>
      <c r="N196" s="1646"/>
      <c r="O196" s="1646"/>
      <c r="P196" s="1646"/>
      <c r="Q196" s="1642"/>
      <c r="S196" s="1642"/>
      <c r="V196" s="1642"/>
      <c r="W196" s="1642"/>
      <c r="X196" s="1642"/>
      <c r="Y196" s="1642"/>
      <c r="AA196" s="1642"/>
      <c r="AB196" s="1642"/>
      <c r="AC196" s="1642"/>
      <c r="AD196" s="1642"/>
      <c r="AE196" s="1642"/>
      <c r="AF196" s="1642"/>
      <c r="AG196" s="1642"/>
      <c r="AH196" s="1642"/>
      <c r="AI196" s="1642"/>
      <c r="AJ196" s="1642"/>
      <c r="AK196" s="1642"/>
      <c r="AL196" s="1642"/>
      <c r="AM196" s="1642"/>
      <c r="AN196" s="1642">
        <v>11</v>
      </c>
    </row>
    <row customHeight="1" ht="11.549999999999999">
      <c r="A197" s="1001"/>
      <c r="B197" s="1001"/>
      <c r="C197" s="1001"/>
      <c r="D197" s="1001"/>
      <c r="E197" s="1001"/>
      <c r="F197" s="1642"/>
      <c r="H197" s="1642"/>
      <c r="N197" s="1646"/>
      <c r="O197" s="1646"/>
      <c r="P197" s="1646"/>
      <c r="Q197" s="1642"/>
      <c r="S197" s="1642"/>
      <c r="V197" s="1642"/>
      <c r="W197" s="1642"/>
      <c r="X197" s="1642"/>
      <c r="Y197" s="1642"/>
      <c r="AA197" s="1642"/>
      <c r="AB197" s="1642"/>
      <c r="AC197" s="1642"/>
      <c r="AD197" s="1642"/>
      <c r="AE197" s="1642"/>
      <c r="AF197" s="1642"/>
      <c r="AG197" s="1642"/>
      <c r="AH197" s="1642"/>
      <c r="AI197" s="1642"/>
      <c r="AJ197" s="1642"/>
      <c r="AK197" s="1642"/>
      <c r="AL197" s="1642"/>
      <c r="AM197" s="1642"/>
      <c r="AN197" s="1642">
        <v>11</v>
      </c>
    </row>
    <row customHeight="1" ht="11.549999999999999">
      <c r="A198" s="1001"/>
      <c r="B198" s="1001"/>
      <c r="C198" s="1001"/>
      <c r="D198" s="1001"/>
      <c r="E198" s="1001"/>
      <c r="F198" s="1642"/>
      <c r="H198" s="1642"/>
      <c r="N198" s="1646"/>
      <c r="O198" s="1646"/>
      <c r="P198" s="1646"/>
      <c r="Q198" s="1642"/>
      <c r="S198" s="1642"/>
      <c r="V198" s="1642"/>
      <c r="W198" s="1642"/>
      <c r="X198" s="1642"/>
      <c r="Y198" s="1642"/>
      <c r="AA198" s="1642"/>
      <c r="AB198" s="1642"/>
      <c r="AC198" s="1642"/>
      <c r="AD198" s="1642"/>
      <c r="AE198" s="1642"/>
      <c r="AF198" s="1642"/>
      <c r="AG198" s="1642"/>
      <c r="AH198" s="1642"/>
      <c r="AI198" s="1642"/>
      <c r="AJ198" s="1642"/>
      <c r="AK198" s="1642"/>
      <c r="AL198" s="1642"/>
      <c r="AM198" s="1642"/>
      <c r="AN198" s="1642">
        <v>11</v>
      </c>
    </row>
    <row customHeight="1" ht="11.549999999999999">
      <c r="A199" s="1001"/>
      <c r="B199" s="1001"/>
      <c r="C199" s="1001"/>
      <c r="D199" s="1001"/>
      <c r="E199" s="1001"/>
      <c r="F199" s="1642"/>
      <c r="H199" s="1642"/>
      <c r="N199" s="1646"/>
      <c r="O199" s="1646"/>
      <c r="P199" s="1646"/>
      <c r="Q199" s="1642"/>
      <c r="S199" s="1642"/>
      <c r="V199" s="1642"/>
      <c r="W199" s="1642"/>
      <c r="X199" s="1642"/>
      <c r="Y199" s="1642"/>
      <c r="AA199" s="1642"/>
      <c r="AB199" s="1642"/>
      <c r="AC199" s="1642"/>
      <c r="AD199" s="1642"/>
      <c r="AE199" s="1642"/>
      <c r="AF199" s="1642"/>
      <c r="AG199" s="1642"/>
      <c r="AH199" s="1642"/>
      <c r="AI199" s="1642"/>
      <c r="AJ199" s="1642"/>
      <c r="AK199" s="1642"/>
      <c r="AL199" s="1642"/>
      <c r="AM199" s="1642"/>
      <c r="AN199" s="1642">
        <v>11</v>
      </c>
    </row>
    <row customHeight="1" ht="11.549999999999999">
      <c r="A200" s="1001"/>
      <c r="B200" s="1001"/>
      <c r="C200" s="1001"/>
      <c r="D200" s="1001"/>
      <c r="E200" s="1001"/>
      <c r="F200" s="1642"/>
      <c r="H200" s="1642"/>
      <c r="N200" s="1646"/>
      <c r="O200" s="1646"/>
      <c r="P200" s="1646"/>
      <c r="Q200" s="1642"/>
      <c r="S200" s="1642"/>
      <c r="V200" s="1642"/>
      <c r="W200" s="1642"/>
      <c r="X200" s="1642"/>
      <c r="Y200" s="1642"/>
      <c r="AA200" s="1642"/>
      <c r="AB200" s="1642"/>
      <c r="AC200" s="1642"/>
      <c r="AD200" s="1642"/>
      <c r="AE200" s="1642"/>
      <c r="AF200" s="1642"/>
      <c r="AG200" s="1642"/>
      <c r="AH200" s="1642"/>
      <c r="AI200" s="1642"/>
      <c r="AJ200" s="1642"/>
      <c r="AK200" s="1642"/>
      <c r="AL200" s="1642"/>
      <c r="AM200" s="1642"/>
      <c r="AN200" s="1642">
        <v>11</v>
      </c>
    </row>
    <row customHeight="1" ht="11.549999999999999">
      <c r="A201" s="1001"/>
      <c r="B201" s="1001"/>
      <c r="C201" s="1001"/>
      <c r="D201" s="1001"/>
      <c r="E201" s="1001"/>
      <c r="F201" s="1642"/>
      <c r="H201" s="1642"/>
      <c r="N201" s="1646"/>
      <c r="O201" s="1646"/>
      <c r="P201" s="1646"/>
      <c r="Q201" s="1642"/>
      <c r="S201" s="1642"/>
      <c r="V201" s="1642"/>
      <c r="W201" s="1642"/>
      <c r="X201" s="1642"/>
      <c r="Y201" s="1642"/>
      <c r="AA201" s="1642"/>
      <c r="AB201" s="1642"/>
      <c r="AC201" s="1642"/>
      <c r="AD201" s="1642"/>
      <c r="AE201" s="1642"/>
      <c r="AF201" s="1642"/>
      <c r="AG201" s="1642"/>
      <c r="AH201" s="1642"/>
      <c r="AI201" s="1642"/>
      <c r="AJ201" s="1642"/>
      <c r="AK201" s="1642"/>
      <c r="AL201" s="1642"/>
      <c r="AM201" s="1642"/>
      <c r="AN201" s="1642">
        <v>11</v>
      </c>
    </row>
    <row customHeight="1" ht="11.549999999999999">
      <c r="A202" s="1001"/>
      <c r="B202" s="1001"/>
      <c r="C202" s="1001"/>
      <c r="D202" s="1001"/>
      <c r="E202" s="1001"/>
      <c r="F202" s="1642"/>
      <c r="H202" s="1642"/>
      <c r="N202" s="1646"/>
      <c r="O202" s="1646"/>
      <c r="P202" s="1646"/>
      <c r="Q202" s="1642"/>
      <c r="S202" s="1642"/>
      <c r="V202" s="1642"/>
      <c r="W202" s="1642"/>
      <c r="X202" s="1642"/>
      <c r="Y202" s="1642"/>
      <c r="AA202" s="1642"/>
      <c r="AB202" s="1642"/>
      <c r="AC202" s="1642"/>
      <c r="AD202" s="1642"/>
      <c r="AE202" s="1642"/>
      <c r="AF202" s="1642"/>
      <c r="AG202" s="1642"/>
      <c r="AH202" s="1642"/>
      <c r="AI202" s="1642"/>
      <c r="AJ202" s="1642"/>
      <c r="AK202" s="1642"/>
      <c r="AL202" s="1642"/>
      <c r="AM202" s="1642"/>
      <c r="AN202" s="1642">
        <v>11</v>
      </c>
    </row>
    <row customHeight="1" ht="11.549999999999999">
      <c r="A203" s="1001"/>
      <c r="B203" s="1001"/>
      <c r="C203" s="1001"/>
      <c r="D203" s="1001"/>
      <c r="E203" s="1001"/>
      <c r="F203" s="1642"/>
      <c r="H203" s="1642"/>
      <c r="N203" s="1646"/>
      <c r="O203" s="1646"/>
      <c r="P203" s="1646"/>
      <c r="Q203" s="1642"/>
      <c r="S203" s="1642"/>
      <c r="V203" s="1642"/>
      <c r="W203" s="1642"/>
      <c r="X203" s="1642"/>
      <c r="Y203" s="1642"/>
      <c r="AA203" s="1642"/>
      <c r="AB203" s="1642"/>
      <c r="AC203" s="1642"/>
      <c r="AD203" s="1642"/>
      <c r="AE203" s="1642"/>
      <c r="AF203" s="1642"/>
      <c r="AG203" s="1642"/>
      <c r="AH203" s="1642"/>
      <c r="AI203" s="1642"/>
      <c r="AJ203" s="1642"/>
      <c r="AK203" s="1642"/>
      <c r="AL203" s="1642"/>
      <c r="AM203" s="1642"/>
      <c r="AN203" s="1642">
        <v>11</v>
      </c>
    </row>
    <row customHeight="1" ht="12.75" hidden="1">
      <c r="A204" s="998" t="s">
        <v>83</v>
      </c>
      <c r="B204" s="998" t="s">
        <v>165</v>
      </c>
      <c r="C204" s="998" t="s">
        <v>165</v>
      </c>
      <c r="D204" s="998" t="s">
        <v>165</v>
      </c>
      <c r="E204" s="998" t="s">
        <v>165</v>
      </c>
      <c r="F204" s="1646">
        <v>16</v>
      </c>
      <c r="G204" s="1647">
        <v>0</v>
      </c>
      <c r="H204" s="1646">
        <v>3</v>
      </c>
      <c r="I204" s="1642">
        <v>7</v>
      </c>
      <c r="J204" s="1642">
        <v>56</v>
      </c>
      <c r="K204" s="1642">
        <v>10</v>
      </c>
      <c r="L204" s="1642">
        <v>40</v>
      </c>
      <c r="M204" s="1642">
        <v>40</v>
      </c>
      <c r="N204" s="1646">
        <v>40</v>
      </c>
      <c r="O204" s="1646">
        <v>40</v>
      </c>
      <c r="P204" s="1646">
        <v>40</v>
      </c>
      <c r="Q204" s="1377">
        <v>9</v>
      </c>
      <c r="R204" s="1642">
        <v>102</v>
      </c>
      <c r="S204" s="1377">
        <v>9</v>
      </c>
      <c r="T204" s="1647">
        <v>5</v>
      </c>
      <c r="U204" s="1647">
        <v>3</v>
      </c>
      <c r="V204" s="1377">
        <v>3</v>
      </c>
      <c r="W204" s="1377">
        <v>3</v>
      </c>
      <c r="X204" s="1377">
        <v>3</v>
      </c>
      <c r="Y204" s="1377">
        <v>3</v>
      </c>
      <c r="Z204" s="1647">
        <v>10</v>
      </c>
      <c r="AA204" s="1377">
        <v>34</v>
      </c>
      <c r="AB204" s="1377">
        <v>9</v>
      </c>
      <c r="AC204" s="555">
        <v>8</v>
      </c>
      <c r="AD204" s="1377">
        <v>8</v>
      </c>
      <c r="AE204" s="1377">
        <v>8</v>
      </c>
      <c r="AF204" s="1377">
        <v>8</v>
      </c>
      <c r="AG204" s="1377">
        <v>8</v>
      </c>
      <c r="AH204" s="1377">
        <v>8</v>
      </c>
      <c r="AI204" s="1643">
        <v>8</v>
      </c>
      <c r="AJ204" s="1643">
        <v>8</v>
      </c>
      <c r="AK204" s="1643">
        <v>8</v>
      </c>
      <c r="AL204" s="1643">
        <v>8</v>
      </c>
      <c r="AM204" s="1643">
        <v>8</v>
      </c>
      <c r="AN204" s="1642">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DFC28-5878-A962-8315-DD26D8EF41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6" width="10.57421875" hidden="1"/>
    <col min="5" max="5" style="2427" width="9.140625" hidden="1" customWidth="1"/>
    <col min="6" max="7" style="1377" width="9.140625" hidden="1" customWidth="1"/>
    <col min="8" max="8" style="355" width="3.00390625" customWidth="1"/>
    <col min="9" max="9" style="1646" width="6.00390625" customWidth="1"/>
    <col min="10" max="10" style="1646" width="63.00390625" customWidth="1"/>
    <col min="11" max="11" style="1646" width="9.00390625" customWidth="1"/>
    <col min="12" max="12" style="1646" width="39.00390625" customWidth="1"/>
    <col min="13" max="13" style="1646" width="89.00390625" customWidth="1"/>
    <col min="14" max="14" style="1646" width="10.00390625" customWidth="1"/>
    <col min="15" max="16" style="1635" width="10.00390625" customWidth="1"/>
    <col min="17" max="22" style="1646" width="10.00390625" customWidth="1"/>
    <col min="23" max="23" style="1646" width="10.57421875" hidden="1"/>
  </cols>
  <sheetData>
    <row customHeight="1" ht="22.5" hidden="1">
      <c r="S1" s="266"/>
      <c r="T1" s="266"/>
      <c r="V1" s="266"/>
      <c r="W1" s="1642" t="s">
        <v>14</v>
      </c>
    </row>
    <row customHeight="1" ht="22.5" hidden="1">
      <c r="B2" s="2061" t="s">
        <v>762</v>
      </c>
      <c r="C2" s="2061" t="s">
        <v>763</v>
      </c>
      <c r="D2" s="2060" t="s">
        <v>702</v>
      </c>
      <c r="E2" s="2066">
        <f>I2-3</f>
        <v>-3</v>
      </c>
      <c r="F2" s="2066">
        <f>J2</f>
        <v>0</v>
      </c>
      <c r="H2" s="1740" t="s">
        <v>105</v>
      </c>
      <c r="I2" s="2032"/>
      <c r="J2" s="1692"/>
      <c r="K2" s="2026" t="s">
        <v>320</v>
      </c>
      <c r="L2" s="1175"/>
      <c r="M2" s="308"/>
      <c r="N2" s="1635"/>
      <c r="P2" s="1642"/>
      <c r="W2" s="1642">
        <v>0</v>
      </c>
    </row>
    <row customHeight="1" ht="14.25" hidden="1">
      <c r="W3" s="1642">
        <v>0</v>
      </c>
    </row>
    <row customHeight="1" ht="6.3">
      <c r="H4" s="387"/>
      <c r="I4" s="468"/>
      <c r="J4" s="468"/>
      <c r="K4" s="468"/>
      <c r="L4" s="96"/>
      <c r="M4" s="96"/>
      <c r="W4" s="1642">
        <v>6</v>
      </c>
    </row>
    <row customHeight="1" ht="50.25">
      <c r="H5" s="387"/>
      <c r="I5" s="2278" t="s">
        <v>764</v>
      </c>
      <c r="J5" s="2278"/>
      <c r="K5" s="2278"/>
      <c r="L5" s="2278"/>
      <c r="M5" s="277"/>
      <c r="W5" s="1642">
        <v>48</v>
      </c>
    </row>
    <row customHeight="1" ht="18">
      <c r="H6" s="387"/>
      <c r="I6" s="2279" t="str">
        <f>IF(org=0,"Не определено",org)</f>
        <v>ПАО "КГК"</v>
      </c>
      <c r="J6" s="2279"/>
      <c r="K6" s="2279"/>
      <c r="L6" s="2279"/>
      <c r="M6" s="277"/>
      <c r="W6" s="1642">
        <v>17</v>
      </c>
    </row>
    <row customHeight="1" ht="14.699999999999998">
      <c r="H7" s="387"/>
      <c r="I7" s="468"/>
      <c r="J7" s="474"/>
      <c r="K7" s="474"/>
      <c r="L7" s="763"/>
      <c r="M7" s="204"/>
      <c r="W7" s="1642">
        <v>14</v>
      </c>
    </row>
    <row customHeight="1" ht="14.699999999999998">
      <c r="H8" s="387"/>
      <c r="I8" s="2416" t="s">
        <v>314</v>
      </c>
      <c r="J8" s="2417"/>
      <c r="K8" s="2417"/>
      <c r="L8" s="2418"/>
      <c r="M8" s="2419" t="s">
        <v>315</v>
      </c>
      <c r="W8" s="1642">
        <v>14</v>
      </c>
    </row>
    <row customHeight="1" ht="35.699999999999996">
      <c r="E9" s="2059" t="s">
        <v>693</v>
      </c>
      <c r="F9" s="2059" t="s">
        <v>699</v>
      </c>
      <c r="H9" s="387"/>
      <c r="I9" s="2033" t="s">
        <v>89</v>
      </c>
      <c r="J9" s="2034" t="s">
        <v>316</v>
      </c>
      <c r="K9" s="2072" t="s">
        <v>578</v>
      </c>
      <c r="L9" s="2073" t="s">
        <v>317</v>
      </c>
      <c r="M9" s="2419"/>
      <c r="W9" s="1642">
        <v>34</v>
      </c>
    </row>
    <row customHeight="1" ht="35.699999999999996">
      <c r="B10" s="2061" t="s">
        <v>765</v>
      </c>
      <c r="C10" s="2061" t="s">
        <v>766</v>
      </c>
      <c r="D10" s="2060" t="s">
        <v>702</v>
      </c>
      <c r="E10" s="2064" t="s">
        <v>703</v>
      </c>
      <c r="F10" s="2064" t="s">
        <v>703</v>
      </c>
      <c r="H10" s="387"/>
      <c r="I10" s="2032" t="s">
        <v>120</v>
      </c>
      <c r="J10" s="1894" t="s">
        <v>767</v>
      </c>
      <c r="K10" s="2026" t="s">
        <v>320</v>
      </c>
      <c r="L10" s="829"/>
      <c r="M10" s="308" t="s">
        <v>768</v>
      </c>
      <c r="W10" s="1642">
        <v>34</v>
      </c>
    </row>
    <row customHeight="1" ht="50.25">
      <c r="B11" s="2061" t="s">
        <v>769</v>
      </c>
      <c r="C11" s="2061" t="s">
        <v>770</v>
      </c>
      <c r="D11" s="2060" t="s">
        <v>702</v>
      </c>
      <c r="E11" s="2064" t="s">
        <v>703</v>
      </c>
      <c r="F11" s="2064" t="s">
        <v>703</v>
      </c>
      <c r="H11" s="387"/>
      <c r="I11" s="2032" t="s">
        <v>104</v>
      </c>
      <c r="J11" s="1894" t="s">
        <v>771</v>
      </c>
      <c r="K11" s="2026" t="s">
        <v>320</v>
      </c>
      <c r="L11" s="829"/>
      <c r="M11" s="308" t="s">
        <v>768</v>
      </c>
      <c r="W11" s="1642">
        <v>48</v>
      </c>
    </row>
    <row customHeight="1" ht="48.29999999999999">
      <c r="B12" s="2061" t="s">
        <v>772</v>
      </c>
      <c r="C12" s="2061" t="s">
        <v>773</v>
      </c>
      <c r="D12" s="2060" t="s">
        <v>702</v>
      </c>
      <c r="E12" s="2064" t="s">
        <v>703</v>
      </c>
      <c r="F12" s="2064" t="s">
        <v>703</v>
      </c>
      <c r="H12" s="1698"/>
      <c r="I12" s="2032" t="s">
        <v>91</v>
      </c>
      <c r="J12" s="2039" t="s">
        <v>774</v>
      </c>
      <c r="K12" s="2026" t="s">
        <v>320</v>
      </c>
      <c r="L12" s="829"/>
      <c r="M12" s="308" t="s">
        <v>775</v>
      </c>
      <c r="N12" s="1635"/>
      <c r="P12" s="1642"/>
      <c r="W12" s="1642">
        <v>46</v>
      </c>
    </row>
    <row customHeight="1" ht="14.699999999999998">
      <c r="E13" s="354"/>
      <c r="H13" s="387"/>
      <c r="I13" s="358"/>
      <c r="J13" s="662" t="s">
        <v>776</v>
      </c>
      <c r="K13" s="582"/>
      <c r="L13" s="225"/>
      <c r="M13" s="308"/>
      <c r="W13" s="1642">
        <v>14</v>
      </c>
    </row>
    <row customHeight="1" ht="14.699999999999998">
      <c r="E14" s="354"/>
      <c r="H14" s="387"/>
      <c r="I14" s="1068"/>
      <c r="J14" s="1687"/>
      <c r="K14" s="1688"/>
      <c r="L14" s="1689"/>
      <c r="M14" s="2036"/>
      <c r="W14" s="1642">
        <v>14</v>
      </c>
    </row>
    <row customHeight="1" ht="14.699999999999998">
      <c r="I15" s="1691"/>
      <c r="J15" s="2415"/>
      <c r="K15" s="2415"/>
      <c r="L15" s="2415"/>
      <c r="M15" s="2415"/>
      <c r="W15" s="1642">
        <v>14</v>
      </c>
    </row>
    <row customHeight="1" ht="21" hidden="1">
      <c r="A16" s="2038" t="s">
        <v>83</v>
      </c>
      <c r="B16" s="1642">
        <v>9</v>
      </c>
      <c r="C16" s="1642">
        <v>9</v>
      </c>
      <c r="D16" s="1642">
        <v>9</v>
      </c>
      <c r="E16" s="2038" t="s">
        <v>164</v>
      </c>
      <c r="F16" s="2063" t="s">
        <v>164</v>
      </c>
      <c r="G16" s="2065"/>
      <c r="H16" s="355">
        <v>3</v>
      </c>
      <c r="I16" s="1642">
        <v>6</v>
      </c>
      <c r="J16" s="1642">
        <v>63</v>
      </c>
      <c r="K16" s="1642">
        <v>9</v>
      </c>
      <c r="L16" s="1642">
        <v>39</v>
      </c>
      <c r="M16" s="1642">
        <v>89</v>
      </c>
      <c r="N16" s="1642">
        <v>10</v>
      </c>
      <c r="O16" s="1635">
        <v>10</v>
      </c>
      <c r="P16" s="1635">
        <v>10</v>
      </c>
      <c r="Q16" s="1642">
        <v>10</v>
      </c>
      <c r="R16" s="1642">
        <v>10</v>
      </c>
      <c r="S16" s="1642">
        <v>10</v>
      </c>
      <c r="T16" s="1642">
        <v>10</v>
      </c>
      <c r="U16" s="1642">
        <v>10</v>
      </c>
      <c r="V16" s="1642">
        <v>10</v>
      </c>
      <c r="W16" s="164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CEE98-FD14-9B12-08D8-464D32ABF5D8}" mc:Ignorable="x14ac xr xr2 xr3">
  <sheetPr>
    <tabColor theme="9" tint="-0.25"/>
  </sheetPr>
  <dimension ref="A1:AI219"/>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6.00390625" customWidth="1"/>
    <col min="7" max="7" style="1646" width="10.00390625" customWidth="1"/>
    <col min="8" max="8" style="1646" width="40.7109375" hidden="1" customWidth="1"/>
    <col min="9" max="9" style="1646" width="40.00390625" customWidth="1"/>
    <col min="10" max="12" style="1646" width="40.7109375" customWidth="1"/>
    <col min="13" max="13" style="1646" width="102.00390625" customWidth="1"/>
    <col min="14" max="14" style="1377" width="9.00390625" customWidth="1"/>
    <col min="15" max="15" style="1653" width="5.00390625" customWidth="1"/>
    <col min="16" max="16" style="1653" width="3.00390625" customWidth="1"/>
    <col min="17" max="20" style="1377" width="3.00390625" customWidth="1"/>
    <col min="21" max="21" style="1653" width="10.00390625" customWidth="1"/>
    <col min="22" max="22" style="1377" width="34.00390625" customWidth="1"/>
    <col min="23" max="23" style="1377" width="9.00390625" customWidth="1"/>
    <col min="24" max="24" style="747" width="8.00390625" customWidth="1"/>
    <col min="25" max="29" style="1377" width="8.00390625" customWidth="1"/>
    <col min="30" max="34" style="1643" width="8.00390625" customWidth="1"/>
    <col min="35" max="35" style="1646" width="10.421875" hidden="1" customWidth="1"/>
  </cols>
  <sheetData>
    <row s="1377" customFormat="1" customHeight="1" ht="22.5" hidden="1">
      <c r="A1" s="998"/>
      <c r="C1" s="1647"/>
      <c r="D1" s="548"/>
      <c r="H1" s="1171">
        <v>4</v>
      </c>
      <c r="I1" s="1171">
        <v>4</v>
      </c>
      <c r="J1" s="1377" t="s">
        <v>91</v>
      </c>
      <c r="K1" s="1377">
        <v>4</v>
      </c>
      <c r="L1" s="1377">
        <v>4</v>
      </c>
      <c r="O1" s="1647"/>
      <c r="P1" s="1647"/>
      <c r="U1" s="1647"/>
      <c r="AI1" s="1171" t="s">
        <v>14</v>
      </c>
    </row>
    <row s="1377" customFormat="1" customHeight="1" ht="22.5" hidden="1">
      <c r="A2" s="998"/>
      <c r="C2" s="1647"/>
      <c r="D2" s="549"/>
      <c r="E2" s="1648"/>
      <c r="F2" s="551"/>
      <c r="G2" s="1650" t="s">
        <v>564</v>
      </c>
      <c r="H2" s="552"/>
      <c r="I2" s="552"/>
      <c r="J2" s="762"/>
      <c r="K2" s="762"/>
      <c r="L2" s="762"/>
      <c r="M2" s="553" t="s">
        <v>777</v>
      </c>
      <c r="N2" s="554"/>
      <c r="O2" s="1647"/>
      <c r="P2" s="1647"/>
      <c r="U2" s="1647"/>
      <c r="X2" s="555"/>
      <c r="AD2" s="1643"/>
      <c r="AE2" s="1643"/>
      <c r="AF2" s="1643"/>
      <c r="AG2" s="1643"/>
      <c r="AH2" s="1643"/>
      <c r="AI2" s="1171">
        <v>0</v>
      </c>
    </row>
    <row customHeight="1" ht="11.25" hidden="1">
      <c r="J3" s="1646"/>
      <c r="K3" s="1646"/>
      <c r="L3" s="1646"/>
      <c r="AI3" s="1642">
        <v>0</v>
      </c>
    </row>
    <row s="1643" customFormat="1" customHeight="1" ht="11.25" hidden="1">
      <c r="A4" s="998"/>
      <c r="B4" s="1171"/>
      <c r="C4" s="1647"/>
      <c r="D4" s="373"/>
      <c r="J4" s="1643"/>
      <c r="K4" s="1643"/>
      <c r="L4" s="1643"/>
      <c r="M4" s="1643">
        <v>4</v>
      </c>
      <c r="N4" s="1171"/>
      <c r="O4" s="1647"/>
      <c r="P4" s="1647"/>
      <c r="Q4" s="1171"/>
      <c r="R4" s="1171"/>
      <c r="S4" s="1171"/>
      <c r="T4" s="1171"/>
      <c r="U4" s="1647"/>
      <c r="V4" s="1171"/>
      <c r="W4" s="1171"/>
      <c r="X4" s="555"/>
      <c r="Y4" s="1171"/>
      <c r="Z4" s="1171"/>
      <c r="AA4" s="1171"/>
      <c r="AB4" s="1171"/>
      <c r="AC4" s="1171"/>
      <c r="AI4" s="1643">
        <v>0</v>
      </c>
    </row>
    <row customHeight="1" ht="11.549999999999999">
      <c r="J5" s="1646"/>
      <c r="K5" s="1646"/>
      <c r="L5" s="1646"/>
      <c r="AI5" s="1642">
        <v>11</v>
      </c>
    </row>
    <row customHeight="1" ht="31.5">
      <c r="E6" s="2337" t="s">
        <v>778</v>
      </c>
      <c r="F6" s="2337"/>
      <c r="G6" s="2337"/>
      <c r="H6" s="2337"/>
      <c r="I6" s="2337"/>
      <c r="J6" s="2337"/>
      <c r="K6" s="2337"/>
      <c r="L6" s="2337"/>
      <c r="M6" s="567"/>
      <c r="AI6" s="1642">
        <v>30</v>
      </c>
    </row>
    <row customHeight="1" ht="11.549999999999999">
      <c r="E7" s="2279" t="str">
        <f>IF(org=0,"Не определено",org)</f>
        <v>ПАО "КГК"</v>
      </c>
      <c r="F7" s="2279"/>
      <c r="G7" s="2279"/>
      <c r="H7" s="2279"/>
      <c r="I7" s="2279"/>
      <c r="J7" s="2279"/>
      <c r="K7" s="2279"/>
      <c r="L7" s="2279"/>
      <c r="AI7" s="1642">
        <v>11</v>
      </c>
    </row>
    <row customHeight="1" ht="11.549999999999999">
      <c r="E8" s="1146"/>
      <c r="F8" s="1146"/>
      <c r="G8" s="1146"/>
      <c r="H8" s="1146"/>
      <c r="I8" s="1146"/>
      <c r="J8" s="1147" t="s">
        <v>22</v>
      </c>
      <c r="K8" s="1147" t="s">
        <v>22</v>
      </c>
      <c r="L8" s="1147" t="s">
        <v>22</v>
      </c>
      <c r="AI8" s="1642">
        <v>11</v>
      </c>
    </row>
    <row s="1653" customFormat="1" customHeight="1" ht="4.2">
      <c r="A9" s="1178"/>
      <c r="D9" s="1653"/>
      <c r="H9" s="900"/>
      <c r="I9" s="900" t="s">
        <v>128</v>
      </c>
      <c r="J9" s="900" t="s">
        <v>132</v>
      </c>
      <c r="K9" s="900" t="s">
        <v>134</v>
      </c>
      <c r="L9" s="900" t="s">
        <v>135</v>
      </c>
      <c r="AI9" s="1647">
        <v>4</v>
      </c>
    </row>
    <row customHeight="1" ht="11.549999999999999">
      <c r="E10" s="722"/>
      <c r="F10" s="2397" t="s">
        <v>116</v>
      </c>
      <c r="G10" s="2398"/>
      <c r="H10" s="1563" t="str">
        <f>IF(H9="","",INDEX(DIFFERENTIATION_UNMERGE_VD,MATCH(H9,DIFFERENTIATION_ID_DIFF,0)))</f>
        <v/>
      </c>
      <c r="I10" s="156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423"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K10" s="2423" t="str">
        <f>IF(K9="","",INDEX(DIFFERENTIATION_UNMERGE_VD,MATCH(K9,DIFFERENTIATION_ID_DIFF,0)))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10" s="2423" t="str">
        <f>IF(L9="","",INDEX(DIFFERENTIATION_UNMERGE_VD,MATCH(L9,DIFFERENTIATION_ID_DIFF,0)))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M10" s="2157" t="s">
        <v>315</v>
      </c>
      <c r="AI10" s="1642">
        <v>11</v>
      </c>
    </row>
    <row customHeight="1" ht="11.549999999999999">
      <c r="E11" s="722"/>
      <c r="F11" s="2397" t="s">
        <v>576</v>
      </c>
      <c r="G11" s="2398"/>
      <c r="H11" s="1563" t="str">
        <f>IF(H9="","",INDEX(DIFFERENTIATION_UNMERGE_AREA,MATCH(H9,DIFFERENTIATION_ID_DIFF,0)))</f>
        <v/>
      </c>
      <c r="I11" s="1563" t="str">
        <f>IF(I9="","",INDEX(DIFFERENTIATION_UNMERGE_AREA,MATCH(I9,DIFFERENTIATION_ID_DIFF,0)))</f>
        <v>Территория 1</v>
      </c>
      <c r="J11" s="2423" t="str">
        <f>IF(J9="","",INDEX(DIFFERENTIATION_UNMERGE_AREA,MATCH(J9,DIFFERENTIATION_ID_DIFF,0)))</f>
        <v>Территория 1</v>
      </c>
      <c r="K11" s="2423" t="str">
        <f>IF(K9="","",INDEX(DIFFERENTIATION_UNMERGE_AREA,MATCH(K9,DIFFERENTIATION_ID_DIFF,0)))</f>
        <v>Территория 2</v>
      </c>
      <c r="L11" s="2423" t="str">
        <f>IF(L9="","",INDEX(DIFFERENTIATION_UNMERGE_AREA,MATCH(L9,DIFFERENTIATION_ID_DIFF,0)))</f>
        <v>Территория 3</v>
      </c>
      <c r="M11" s="2157"/>
      <c r="AI11" s="1642">
        <v>11</v>
      </c>
    </row>
    <row customHeight="1" ht="1.05">
      <c r="E12" s="1673"/>
      <c r="F12" s="2420" t="s">
        <v>577</v>
      </c>
      <c r="G12" s="2421"/>
      <c r="H12" s="1674" t="str">
        <f>IF(H9="","",INDEX(DIFFERENTIATION_UNMERGE_SYSTEM,MATCH(H9,DIFFERENTIATION_ID_DIFF,0)))</f>
        <v/>
      </c>
      <c r="I12" s="1674" t="str">
        <f>IF(I9="","",INDEX(DIFFERENTIATION_UNMERGE_SYSTEM,MATCH(I9,DIFFERENTIATION_ID_DIFF,0)))</f>
        <v>СП "Тепловые сети"</v>
      </c>
      <c r="J12" s="1674" t="str">
        <f>IF(J9="","",INDEX(DIFFERENTIATION_UNMERGE_SYSTEM,MATCH(J9,DIFFERENTIATION_ID_DIFF,0)))</f>
        <v>ОП "Энергетические сети"</v>
      </c>
      <c r="K12" s="1674" t="str">
        <f>IF(K9="","",INDEX(DIFFERENTIATION_UNMERGE_SYSTEM,MATCH(K9,DIFFERENTIATION_ID_DIFF,0)))</f>
        <v>без дифференциации</v>
      </c>
      <c r="L12" s="1674" t="str">
        <f>IF(L9="","",INDEX(DIFFERENTIATION_UNMERGE_SYSTEM,MATCH(L9,DIFFERENTIATION_ID_DIFF,0)))</f>
        <v>без дифференциации</v>
      </c>
      <c r="M12" s="2157"/>
      <c r="AI12" s="1642">
        <v>1</v>
      </c>
    </row>
    <row customHeight="1" ht="11.549999999999999">
      <c r="E13" s="2399" t="s">
        <v>314</v>
      </c>
      <c r="F13" s="2400"/>
      <c r="G13" s="2400"/>
      <c r="H13" s="1562"/>
      <c r="I13" s="1562"/>
      <c r="J13" s="2397"/>
      <c r="K13" s="2397"/>
      <c r="L13" s="2397"/>
      <c r="M13" s="2157"/>
      <c r="AI13" s="1642">
        <v>11</v>
      </c>
    </row>
    <row customHeight="1" ht="24">
      <c r="E14" s="1650" t="s">
        <v>89</v>
      </c>
      <c r="F14" s="1645" t="s">
        <v>316</v>
      </c>
      <c r="G14" s="1645" t="s">
        <v>578</v>
      </c>
      <c r="H14" s="1645" t="s">
        <v>317</v>
      </c>
      <c r="I14" s="1645" t="s">
        <v>317</v>
      </c>
      <c r="J14" s="2342" t="s">
        <v>317</v>
      </c>
      <c r="K14" s="2342" t="s">
        <v>317</v>
      </c>
      <c r="L14" s="2342" t="s">
        <v>317</v>
      </c>
      <c r="M14" s="2157"/>
      <c r="AI14" s="1642">
        <v>23</v>
      </c>
    </row>
    <row customHeight="1" ht="19.95">
      <c r="D15" s="1649"/>
      <c r="E15" s="1641" t="s">
        <v>120</v>
      </c>
      <c r="F15" s="718" t="s">
        <v>779</v>
      </c>
      <c r="G15" s="1657" t="s">
        <v>564</v>
      </c>
      <c r="H15" s="568"/>
      <c r="I15" s="568"/>
      <c r="J15" s="568"/>
      <c r="K15" s="568"/>
      <c r="L15" s="568"/>
      <c r="M15" s="300" t="s">
        <v>780</v>
      </c>
      <c r="N15" s="554" t="s">
        <v>705</v>
      </c>
      <c r="AI15" s="1642">
        <v>19</v>
      </c>
    </row>
    <row customHeight="1" ht="35.699999999999996">
      <c r="D16" s="1649"/>
      <c r="E16" s="1641" t="s">
        <v>104</v>
      </c>
      <c r="F16" s="718" t="s">
        <v>781</v>
      </c>
      <c r="G16" s="1657" t="s">
        <v>564</v>
      </c>
      <c r="H16" s="569">
        <f>SUM(H17,H20,H23,H26,H29:H32,H35)</f>
        <v>0</v>
      </c>
      <c r="I16" s="569">
        <f>SUM(I17,I20,I23,I26,I29:I32,I35)</f>
        <v>0</v>
      </c>
      <c r="J16" s="569">
        <f>SUM(J17,J20,J23,J26,J29:J32,J35)</f>
        <v>0</v>
      </c>
      <c r="K16" s="569">
        <f>SUM(K17,K20,K23,K26,K29:K32,K35)</f>
        <v>0</v>
      </c>
      <c r="L16" s="569">
        <f>SUM(L17,L20,L23,L26,L29:L32,L35)</f>
        <v>0</v>
      </c>
      <c r="M16" s="300" t="s">
        <v>782</v>
      </c>
      <c r="N16" s="554" t="s">
        <v>705</v>
      </c>
      <c r="AI16" s="1642">
        <v>34</v>
      </c>
    </row>
    <row customHeight="1" ht="19.95">
      <c r="D17" s="1649"/>
      <c r="E17" s="1675" t="s">
        <v>783</v>
      </c>
      <c r="F17" s="965" t="s">
        <v>784</v>
      </c>
      <c r="G17" s="1654" t="s">
        <v>564</v>
      </c>
      <c r="H17" s="568"/>
      <c r="I17" s="568"/>
      <c r="J17" s="568"/>
      <c r="K17" s="568"/>
      <c r="L17" s="568"/>
      <c r="M17" s="300" t="s">
        <v>785</v>
      </c>
      <c r="N17" s="554"/>
      <c r="AI17" s="1642">
        <v>19</v>
      </c>
    </row>
    <row customHeight="1" ht="24">
      <c r="D18" s="1649"/>
      <c r="E18" s="1675" t="s">
        <v>786</v>
      </c>
      <c r="F18" s="1661" t="s">
        <v>787</v>
      </c>
      <c r="G18" s="1654" t="s">
        <v>564</v>
      </c>
      <c r="H18" s="568"/>
      <c r="I18" s="568"/>
      <c r="J18" s="568"/>
      <c r="K18" s="568"/>
      <c r="L18" s="568"/>
      <c r="M18" s="300" t="s">
        <v>788</v>
      </c>
      <c r="N18" s="554"/>
      <c r="AI18" s="1642">
        <v>23</v>
      </c>
    </row>
    <row customHeight="1" ht="35.699999999999996">
      <c r="D19" s="1649"/>
      <c r="E19" s="1675" t="s">
        <v>789</v>
      </c>
      <c r="F19" s="1661" t="s">
        <v>790</v>
      </c>
      <c r="G19" s="1654" t="s">
        <v>564</v>
      </c>
      <c r="H19" s="568"/>
      <c r="I19" s="568"/>
      <c r="J19" s="568"/>
      <c r="K19" s="568"/>
      <c r="L19" s="568"/>
      <c r="M19" s="300"/>
      <c r="N19" s="554"/>
      <c r="AI19" s="1642">
        <v>34</v>
      </c>
    </row>
    <row customHeight="1" ht="19.95">
      <c r="D20" s="1649"/>
      <c r="E20" s="1675" t="s">
        <v>321</v>
      </c>
      <c r="F20" s="965" t="s">
        <v>791</v>
      </c>
      <c r="G20" s="1654" t="s">
        <v>564</v>
      </c>
      <c r="H20" s="568"/>
      <c r="I20" s="568"/>
      <c r="J20" s="568"/>
      <c r="K20" s="568"/>
      <c r="L20" s="568"/>
      <c r="M20" s="300" t="s">
        <v>792</v>
      </c>
      <c r="N20" s="554"/>
      <c r="AI20" s="1642">
        <v>19</v>
      </c>
    </row>
    <row customHeight="1" ht="19.95">
      <c r="D21" s="1649"/>
      <c r="E21" s="1675" t="s">
        <v>793</v>
      </c>
      <c r="F21" s="1661" t="s">
        <v>794</v>
      </c>
      <c r="G21" s="1654" t="s">
        <v>564</v>
      </c>
      <c r="H21" s="568"/>
      <c r="I21" s="568"/>
      <c r="J21" s="568"/>
      <c r="K21" s="568"/>
      <c r="L21" s="568"/>
      <c r="M21" s="300"/>
      <c r="N21" s="554"/>
      <c r="AI21" s="1642">
        <v>19</v>
      </c>
    </row>
    <row customHeight="1" ht="19.95">
      <c r="D22" s="1649"/>
      <c r="E22" s="1675" t="s">
        <v>795</v>
      </c>
      <c r="F22" s="1661" t="s">
        <v>796</v>
      </c>
      <c r="G22" s="1654" t="s">
        <v>564</v>
      </c>
      <c r="H22" s="568"/>
      <c r="I22" s="568"/>
      <c r="J22" s="568"/>
      <c r="K22" s="568"/>
      <c r="L22" s="568"/>
      <c r="M22" s="300"/>
      <c r="N22" s="554"/>
      <c r="AI22" s="1642">
        <v>19</v>
      </c>
    </row>
    <row customHeight="1" ht="24">
      <c r="D23" s="1649"/>
      <c r="E23" s="1675" t="s">
        <v>324</v>
      </c>
      <c r="F23" s="965" t="s">
        <v>797</v>
      </c>
      <c r="G23" s="1654" t="s">
        <v>564</v>
      </c>
      <c r="H23" s="568"/>
      <c r="I23" s="568"/>
      <c r="J23" s="568"/>
      <c r="K23" s="568"/>
      <c r="L23" s="568"/>
      <c r="M23" s="300" t="s">
        <v>798</v>
      </c>
      <c r="N23" s="554"/>
      <c r="AI23" s="1642">
        <v>23</v>
      </c>
    </row>
    <row customHeight="1" ht="19.95">
      <c r="D24" s="1649"/>
      <c r="E24" s="1675" t="s">
        <v>799</v>
      </c>
      <c r="F24" s="1661" t="s">
        <v>800</v>
      </c>
      <c r="G24" s="1654" t="s">
        <v>564</v>
      </c>
      <c r="H24" s="568"/>
      <c r="I24" s="568"/>
      <c r="J24" s="568"/>
      <c r="K24" s="568"/>
      <c r="L24" s="568"/>
      <c r="M24" s="300"/>
      <c r="N24" s="554"/>
      <c r="AI24" s="1642">
        <v>19</v>
      </c>
    </row>
    <row customHeight="1" ht="35.699999999999996">
      <c r="D25" s="1649"/>
      <c r="E25" s="1675" t="s">
        <v>801</v>
      </c>
      <c r="F25" s="1661" t="s">
        <v>802</v>
      </c>
      <c r="G25" s="1654" t="s">
        <v>564</v>
      </c>
      <c r="H25" s="568"/>
      <c r="I25" s="568"/>
      <c r="J25" s="568"/>
      <c r="K25" s="568"/>
      <c r="L25" s="568"/>
      <c r="M25" s="300"/>
      <c r="N25" s="554"/>
      <c r="AI25" s="1642">
        <v>34</v>
      </c>
    </row>
    <row customHeight="1" ht="24">
      <c r="D26" s="1649"/>
      <c r="E26" s="1675" t="s">
        <v>803</v>
      </c>
      <c r="F26" s="965" t="s">
        <v>804</v>
      </c>
      <c r="G26" s="1654" t="s">
        <v>564</v>
      </c>
      <c r="H26" s="568"/>
      <c r="I26" s="568"/>
      <c r="J26" s="568"/>
      <c r="K26" s="568"/>
      <c r="L26" s="568"/>
      <c r="M26" s="300" t="s">
        <v>805</v>
      </c>
      <c r="N26" s="554"/>
      <c r="AI26" s="1642">
        <v>23</v>
      </c>
    </row>
    <row customHeight="1" ht="19.95">
      <c r="D27" s="1649"/>
      <c r="E27" s="1685" t="s">
        <v>806</v>
      </c>
      <c r="F27" s="1661" t="s">
        <v>807</v>
      </c>
      <c r="G27" s="1665" t="s">
        <v>564</v>
      </c>
      <c r="H27" s="1686"/>
      <c r="I27" s="1686"/>
      <c r="J27" s="1686"/>
      <c r="K27" s="1686"/>
      <c r="L27" s="1686"/>
      <c r="M27" s="300"/>
      <c r="N27" s="554"/>
      <c r="AI27" s="1642">
        <v>19</v>
      </c>
    </row>
    <row customHeight="1" ht="19.95">
      <c r="D28" s="1649"/>
      <c r="E28" s="1685" t="s">
        <v>808</v>
      </c>
      <c r="F28" s="1661" t="s">
        <v>809</v>
      </c>
      <c r="G28" s="1665" t="s">
        <v>564</v>
      </c>
      <c r="H28" s="1686"/>
      <c r="I28" s="1686"/>
      <c r="J28" s="1686"/>
      <c r="K28" s="1686"/>
      <c r="L28" s="1686"/>
      <c r="M28" s="300"/>
      <c r="N28" s="554"/>
      <c r="AI28" s="1642">
        <v>19</v>
      </c>
    </row>
    <row customHeight="1" ht="19.95">
      <c r="D29" s="1649"/>
      <c r="E29" s="1685" t="s">
        <v>810</v>
      </c>
      <c r="F29" s="965" t="s">
        <v>811</v>
      </c>
      <c r="G29" s="1665" t="s">
        <v>564</v>
      </c>
      <c r="H29" s="1686"/>
      <c r="I29" s="1686"/>
      <c r="J29" s="1686"/>
      <c r="K29" s="1686"/>
      <c r="L29" s="1686"/>
      <c r="M29" s="300"/>
      <c r="N29" s="554"/>
      <c r="AI29" s="1642">
        <v>19</v>
      </c>
    </row>
    <row customHeight="1" ht="19.95">
      <c r="D30" s="1649"/>
      <c r="E30" s="1685" t="s">
        <v>812</v>
      </c>
      <c r="F30" s="965" t="s">
        <v>813</v>
      </c>
      <c r="G30" s="1665" t="s">
        <v>564</v>
      </c>
      <c r="H30" s="1686"/>
      <c r="I30" s="1686"/>
      <c r="J30" s="1686"/>
      <c r="K30" s="1686"/>
      <c r="L30" s="1686"/>
      <c r="M30" s="300"/>
      <c r="N30" s="554"/>
      <c r="AI30" s="1642">
        <v>19</v>
      </c>
    </row>
    <row customHeight="1" ht="19.95">
      <c r="D31" s="1649"/>
      <c r="E31" s="1685" t="s">
        <v>814</v>
      </c>
      <c r="F31" s="965" t="s">
        <v>815</v>
      </c>
      <c r="G31" s="1665" t="s">
        <v>564</v>
      </c>
      <c r="H31" s="1686"/>
      <c r="I31" s="1686"/>
      <c r="J31" s="1686"/>
      <c r="K31" s="1686"/>
      <c r="L31" s="1686"/>
      <c r="M31" s="300"/>
      <c r="N31" s="554"/>
      <c r="AI31" s="1642">
        <v>19</v>
      </c>
    </row>
    <row s="1377" customFormat="1" customHeight="1" ht="35.699999999999996">
      <c r="A32" s="998"/>
      <c r="C32" s="1647"/>
      <c r="D32" s="1649"/>
      <c r="E32" s="1685" t="s">
        <v>816</v>
      </c>
      <c r="F32" s="965" t="s">
        <v>817</v>
      </c>
      <c r="G32" s="1655" t="s">
        <v>564</v>
      </c>
      <c r="H32" s="590">
        <f>SUM(H33:H34)</f>
        <v>0</v>
      </c>
      <c r="I32" s="590">
        <f>SUM(I33:I34)</f>
        <v>0</v>
      </c>
      <c r="J32" s="590">
        <f>SUM(J33:J34)</f>
        <v>0</v>
      </c>
      <c r="K32" s="590">
        <f>SUM(K33:K34)</f>
        <v>0</v>
      </c>
      <c r="L32" s="590">
        <f>SUM(L33:L34)</f>
        <v>0</v>
      </c>
      <c r="M32" s="300" t="s">
        <v>818</v>
      </c>
      <c r="N32" s="554"/>
      <c r="O32" s="1647"/>
      <c r="P32" s="1647"/>
      <c r="U32" s="1647"/>
      <c r="X32" s="555"/>
      <c r="AD32" s="1643"/>
      <c r="AE32" s="1643"/>
      <c r="AF32" s="1643"/>
      <c r="AG32" s="1643"/>
      <c r="AH32" s="1643"/>
      <c r="AI32" s="1171">
        <v>34</v>
      </c>
    </row>
    <row s="1653" customFormat="1" customHeight="1" ht="1.05">
      <c r="A33" s="1178"/>
      <c r="D33" s="559"/>
      <c r="E33" s="813" t="str">
        <f>E32&amp;".0"</f>
        <v>2.8.0</v>
      </c>
      <c r="F33" s="1002"/>
      <c r="G33" s="562"/>
      <c r="H33" s="1003"/>
      <c r="I33" s="1003"/>
      <c r="J33" s="1003"/>
      <c r="K33" s="1003"/>
      <c r="L33" s="1003"/>
      <c r="M33" s="1004"/>
      <c r="AI33" s="1647">
        <v>1</v>
      </c>
    </row>
    <row s="1377" customFormat="1" customHeight="1" ht="19.95">
      <c r="A34" s="998"/>
      <c r="C34" s="1647"/>
      <c r="D34" s="1644"/>
      <c r="E34" s="581"/>
      <c r="F34" s="1676" t="s">
        <v>603</v>
      </c>
      <c r="G34" s="583"/>
      <c r="H34" s="584"/>
      <c r="I34" s="584"/>
      <c r="J34" s="2688"/>
      <c r="K34" s="2689"/>
      <c r="L34" s="2690"/>
      <c r="M34" s="312" t="s">
        <v>819</v>
      </c>
      <c r="N34" s="554"/>
      <c r="O34" s="1647"/>
      <c r="P34" s="1647"/>
      <c r="U34" s="1647"/>
      <c r="X34" s="555"/>
      <c r="AD34" s="1643"/>
      <c r="AE34" s="1643"/>
      <c r="AF34" s="1643"/>
      <c r="AG34" s="1643"/>
      <c r="AH34" s="1643"/>
      <c r="AI34" s="1171">
        <v>19</v>
      </c>
    </row>
    <row customHeight="1" ht="60">
      <c r="D35" s="1649"/>
      <c r="E35" s="1685" t="s">
        <v>820</v>
      </c>
      <c r="F35" s="965" t="s">
        <v>821</v>
      </c>
      <c r="G35" s="1665" t="s">
        <v>564</v>
      </c>
      <c r="H35" s="1686"/>
      <c r="I35" s="1686"/>
      <c r="J35" s="1686"/>
      <c r="K35" s="1686"/>
      <c r="L35" s="1686"/>
      <c r="M35" s="300" t="s">
        <v>822</v>
      </c>
      <c r="N35" s="554"/>
      <c r="AI35" s="1642">
        <v>57</v>
      </c>
    </row>
    <row customHeight="1" ht="19.95">
      <c r="B36" s="1377"/>
      <c r="D36" s="2086"/>
      <c r="E36" s="1685" t="s">
        <v>823</v>
      </c>
      <c r="F36" s="2090" t="s">
        <v>824</v>
      </c>
      <c r="G36" s="2085" t="s">
        <v>564</v>
      </c>
      <c r="H36" s="2091"/>
      <c r="I36" s="2091"/>
      <c r="J36" s="2091"/>
      <c r="K36" s="2091"/>
      <c r="L36" s="2091"/>
      <c r="M36" s="2092" t="s">
        <v>825</v>
      </c>
      <c r="N36" s="554"/>
      <c r="Q36" s="1377"/>
      <c r="R36" s="1377"/>
      <c r="S36" s="1377"/>
      <c r="T36" s="1377"/>
      <c r="V36" s="1377"/>
      <c r="W36" s="1377"/>
      <c r="Y36" s="1377"/>
      <c r="Z36" s="1377"/>
      <c r="AA36" s="1377"/>
      <c r="AB36" s="1377"/>
      <c r="AC36" s="1377"/>
      <c r="AI36" s="1642">
        <v>19</v>
      </c>
    </row>
    <row customHeight="1" ht="19.95">
      <c r="B37" s="1377"/>
      <c r="D37" s="2086"/>
      <c r="E37" s="1685" t="s">
        <v>826</v>
      </c>
      <c r="F37" s="2090" t="s">
        <v>827</v>
      </c>
      <c r="G37" s="2085" t="s">
        <v>564</v>
      </c>
      <c r="H37" s="2091"/>
      <c r="I37" s="2091"/>
      <c r="J37" s="2091"/>
      <c r="K37" s="2091"/>
      <c r="L37" s="2091"/>
      <c r="M37" s="2092" t="s">
        <v>828</v>
      </c>
      <c r="N37" s="554"/>
      <c r="Q37" s="1377"/>
      <c r="R37" s="1377"/>
      <c r="S37" s="1377"/>
      <c r="T37" s="1377"/>
      <c r="V37" s="1377"/>
      <c r="W37" s="1377"/>
      <c r="Y37" s="1377"/>
      <c r="Z37" s="1377"/>
      <c r="AA37" s="1377"/>
      <c r="AB37" s="1377"/>
      <c r="AC37" s="1377"/>
      <c r="AI37" s="1642">
        <v>19</v>
      </c>
    </row>
    <row s="1377" customFormat="1" customHeight="1" ht="24">
      <c r="A38" s="1000" t="s">
        <v>604</v>
      </c>
      <c r="C38" s="1647"/>
      <c r="D38" s="1649"/>
      <c r="E38" s="1675" t="s">
        <v>91</v>
      </c>
      <c r="F38" s="718" t="s">
        <v>829</v>
      </c>
      <c r="G38" s="1654" t="s">
        <v>564</v>
      </c>
      <c r="H38" s="568"/>
      <c r="I38" s="568"/>
      <c r="J38" s="568"/>
      <c r="K38" s="568"/>
      <c r="L38" s="568"/>
      <c r="M38" s="300" t="s">
        <v>830</v>
      </c>
      <c r="N38" s="554"/>
      <c r="O38" s="1647"/>
      <c r="P38" s="1647"/>
      <c r="U38" s="1647"/>
      <c r="X38" s="555"/>
      <c r="AD38" s="1643"/>
      <c r="AE38" s="1643"/>
      <c r="AF38" s="1643"/>
      <c r="AG38" s="1643"/>
      <c r="AH38" s="1643"/>
      <c r="AI38" s="1171">
        <v>23</v>
      </c>
    </row>
    <row s="1377" customFormat="1" customHeight="1" ht="35.699999999999996">
      <c r="A39" s="1000"/>
      <c r="C39" s="1647"/>
      <c r="D39" s="1649"/>
      <c r="E39" s="1675" t="s">
        <v>338</v>
      </c>
      <c r="F39" s="965" t="s">
        <v>831</v>
      </c>
      <c r="G39" s="1665"/>
      <c r="H39" s="568"/>
      <c r="I39" s="568"/>
      <c r="J39" s="568"/>
      <c r="K39" s="568"/>
      <c r="L39" s="568"/>
      <c r="M39" s="300"/>
      <c r="N39" s="554"/>
      <c r="O39" s="1647"/>
      <c r="P39" s="1647"/>
      <c r="U39" s="1647"/>
      <c r="X39" s="555"/>
      <c r="AD39" s="1643"/>
      <c r="AE39" s="1643"/>
      <c r="AF39" s="1643"/>
      <c r="AG39" s="1643"/>
      <c r="AH39" s="1643"/>
      <c r="AI39" s="1171">
        <v>34</v>
      </c>
    </row>
    <row s="1377" customFormat="1" customHeight="1" ht="19.95">
      <c r="A40" s="998"/>
      <c r="C40" s="1647"/>
      <c r="D40" s="586"/>
      <c r="E40" s="1675" t="s">
        <v>92</v>
      </c>
      <c r="F40" s="718" t="s">
        <v>832</v>
      </c>
      <c r="G40" s="1654" t="s">
        <v>564</v>
      </c>
      <c r="H40" s="568"/>
      <c r="I40" s="568"/>
      <c r="J40" s="568"/>
      <c r="K40" s="568"/>
      <c r="L40" s="568"/>
      <c r="M40" s="300" t="s">
        <v>833</v>
      </c>
      <c r="N40" s="554"/>
      <c r="O40" s="1647"/>
      <c r="P40" s="1647"/>
      <c r="U40" s="1647"/>
      <c r="X40" s="555"/>
      <c r="AD40" s="1643"/>
      <c r="AE40" s="1643"/>
      <c r="AF40" s="1643"/>
      <c r="AG40" s="1643"/>
      <c r="AH40" s="1643"/>
      <c r="AI40" s="1171">
        <v>19</v>
      </c>
    </row>
    <row s="1377" customFormat="1" customHeight="1" ht="24">
      <c r="A41" s="998"/>
      <c r="C41" s="1647"/>
      <c r="D41" s="586"/>
      <c r="E41" s="1675" t="s">
        <v>834</v>
      </c>
      <c r="F41" s="965" t="s">
        <v>835</v>
      </c>
      <c r="G41" s="1665" t="s">
        <v>564</v>
      </c>
      <c r="H41" s="568"/>
      <c r="I41" s="568"/>
      <c r="J41" s="568"/>
      <c r="K41" s="568"/>
      <c r="L41" s="568"/>
      <c r="M41" s="300" t="s">
        <v>836</v>
      </c>
      <c r="N41" s="554"/>
      <c r="O41" s="1647"/>
      <c r="P41" s="1647"/>
      <c r="U41" s="1647"/>
      <c r="X41" s="555"/>
      <c r="AD41" s="1643"/>
      <c r="AE41" s="1643"/>
      <c r="AF41" s="1643"/>
      <c r="AG41" s="1643"/>
      <c r="AH41" s="1643"/>
      <c r="AI41" s="1171">
        <v>23</v>
      </c>
    </row>
    <row s="1377" customFormat="1" customHeight="1" ht="24">
      <c r="A42" s="998"/>
      <c r="C42" s="1647"/>
      <c r="D42" s="1649"/>
      <c r="E42" s="1675" t="s">
        <v>837</v>
      </c>
      <c r="F42" s="1661" t="s">
        <v>838</v>
      </c>
      <c r="G42" s="1654" t="s">
        <v>564</v>
      </c>
      <c r="H42" s="568"/>
      <c r="I42" s="568"/>
      <c r="J42" s="568"/>
      <c r="K42" s="568"/>
      <c r="L42" s="568"/>
      <c r="M42" s="300" t="s">
        <v>839</v>
      </c>
      <c r="N42" s="554"/>
      <c r="O42" s="1647"/>
      <c r="P42" s="1647"/>
      <c r="U42" s="1647"/>
      <c r="X42" s="555"/>
      <c r="AD42" s="1643"/>
      <c r="AE42" s="1643"/>
      <c r="AF42" s="1643"/>
      <c r="AG42" s="1643"/>
      <c r="AH42" s="1643"/>
      <c r="AI42" s="1171">
        <v>23</v>
      </c>
    </row>
    <row s="1377" customFormat="1" customHeight="1" ht="24">
      <c r="A43" s="998"/>
      <c r="C43" s="1647"/>
      <c r="D43" s="1649"/>
      <c r="E43" s="1675" t="s">
        <v>840</v>
      </c>
      <c r="F43" s="1661" t="s">
        <v>841</v>
      </c>
      <c r="G43" s="1654" t="s">
        <v>564</v>
      </c>
      <c r="H43" s="568"/>
      <c r="I43" s="568"/>
      <c r="J43" s="568"/>
      <c r="K43" s="568"/>
      <c r="L43" s="568"/>
      <c r="M43" s="300" t="s">
        <v>842</v>
      </c>
      <c r="N43" s="554"/>
      <c r="O43" s="1647"/>
      <c r="P43" s="1647"/>
      <c r="U43" s="1647"/>
      <c r="X43" s="555"/>
      <c r="AD43" s="1643"/>
      <c r="AE43" s="1643"/>
      <c r="AF43" s="1643"/>
      <c r="AG43" s="1643"/>
      <c r="AH43" s="1643"/>
      <c r="AI43" s="1171">
        <v>23</v>
      </c>
    </row>
    <row s="1377" customFormat="1" customHeight="1" ht="24">
      <c r="A44" s="998"/>
      <c r="C44" s="1647"/>
      <c r="D44" s="1649"/>
      <c r="E44" s="1675" t="s">
        <v>843</v>
      </c>
      <c r="F44" s="1661" t="s">
        <v>844</v>
      </c>
      <c r="G44" s="1654" t="s">
        <v>564</v>
      </c>
      <c r="H44" s="568"/>
      <c r="I44" s="568"/>
      <c r="J44" s="568"/>
      <c r="K44" s="568"/>
      <c r="L44" s="568"/>
      <c r="M44" s="300" t="s">
        <v>845</v>
      </c>
      <c r="N44" s="554"/>
      <c r="O44" s="1647"/>
      <c r="P44" s="1647"/>
      <c r="U44" s="1647"/>
      <c r="X44" s="555"/>
      <c r="AD44" s="1643"/>
      <c r="AE44" s="1643"/>
      <c r="AF44" s="1643"/>
      <c r="AG44" s="1643"/>
      <c r="AH44" s="1643"/>
      <c r="AI44" s="1171">
        <v>23</v>
      </c>
    </row>
    <row s="1377" customFormat="1" customHeight="1" ht="35.699999999999996">
      <c r="A45" s="998"/>
      <c r="C45" s="1647" t="s">
        <v>606</v>
      </c>
      <c r="D45" s="1649"/>
      <c r="E45" s="1675" t="s">
        <v>121</v>
      </c>
      <c r="F45" s="718" t="s">
        <v>704</v>
      </c>
      <c r="G45" s="1657" t="s">
        <v>846</v>
      </c>
      <c r="H45" s="412"/>
      <c r="I45" s="412"/>
      <c r="J45" s="829"/>
      <c r="K45" s="829"/>
      <c r="L45" s="829"/>
      <c r="M45" s="300" t="s">
        <v>847</v>
      </c>
      <c r="N45" s="554"/>
      <c r="O45" s="1647"/>
      <c r="P45" s="1647"/>
      <c r="U45" s="1647"/>
      <c r="X45" s="555"/>
      <c r="AD45" s="1643"/>
      <c r="AE45" s="1643"/>
      <c r="AF45" s="1643"/>
      <c r="AG45" s="1643"/>
      <c r="AH45" s="1643"/>
      <c r="AI45" s="1171">
        <v>34</v>
      </c>
    </row>
    <row s="1377" customFormat="1" customHeight="1" ht="35.699999999999996">
      <c r="A46" s="998"/>
      <c r="C46" s="1647"/>
      <c r="D46" s="1649"/>
      <c r="E46" s="1675" t="s">
        <v>93</v>
      </c>
      <c r="F46" s="718" t="s">
        <v>848</v>
      </c>
      <c r="G46" s="1654" t="s">
        <v>849</v>
      </c>
      <c r="H46" s="556"/>
      <c r="I46" s="556"/>
      <c r="J46" s="556"/>
      <c r="K46" s="556"/>
      <c r="L46" s="556"/>
      <c r="M46" s="300" t="s">
        <v>850</v>
      </c>
      <c r="N46" s="554"/>
      <c r="O46" s="1647"/>
      <c r="P46" s="1647"/>
      <c r="U46" s="1647"/>
      <c r="X46" s="555"/>
      <c r="AD46" s="1643"/>
      <c r="AE46" s="1643"/>
      <c r="AF46" s="1643"/>
      <c r="AG46" s="1643"/>
      <c r="AH46" s="1643"/>
      <c r="AI46" s="1171">
        <v>34</v>
      </c>
    </row>
    <row s="1377" customFormat="1" customHeight="1" ht="24">
      <c r="A47" s="998"/>
      <c r="C47" s="1647"/>
      <c r="D47" s="1649"/>
      <c r="E47" s="1675" t="s">
        <v>94</v>
      </c>
      <c r="F47" s="718" t="s">
        <v>851</v>
      </c>
      <c r="G47" s="1665" t="s">
        <v>852</v>
      </c>
      <c r="H47" s="556"/>
      <c r="I47" s="556"/>
      <c r="J47" s="556"/>
      <c r="K47" s="556"/>
      <c r="L47" s="556"/>
      <c r="M47" s="300" t="s">
        <v>853</v>
      </c>
      <c r="N47" s="554"/>
      <c r="O47" s="1647"/>
      <c r="P47" s="1647"/>
      <c r="U47" s="1647"/>
      <c r="X47" s="555"/>
      <c r="AD47" s="1643"/>
      <c r="AE47" s="1643"/>
      <c r="AF47" s="1643"/>
      <c r="AG47" s="1643"/>
      <c r="AH47" s="1643"/>
      <c r="AI47" s="1171">
        <v>23</v>
      </c>
    </row>
    <row s="1377" customFormat="1" customHeight="1" ht="19.95">
      <c r="A48" s="998"/>
      <c r="C48" s="1647"/>
      <c r="D48" s="1649"/>
      <c r="E48" s="1675" t="s">
        <v>122</v>
      </c>
      <c r="F48" s="718" t="s">
        <v>854</v>
      </c>
      <c r="G48" s="1654" t="s">
        <v>650</v>
      </c>
      <c r="H48" s="588"/>
      <c r="I48" s="588"/>
      <c r="J48" s="588"/>
      <c r="K48" s="588"/>
      <c r="L48" s="588"/>
      <c r="M48" s="300"/>
      <c r="N48" s="554"/>
      <c r="O48" s="1647"/>
      <c r="P48" s="1647"/>
      <c r="U48" s="1647"/>
      <c r="X48" s="555"/>
      <c r="AD48" s="1643"/>
      <c r="AE48" s="1643"/>
      <c r="AF48" s="1643"/>
      <c r="AG48" s="1643"/>
      <c r="AH48" s="1643"/>
      <c r="AI48" s="1171">
        <v>19</v>
      </c>
    </row>
    <row customHeight="1" ht="11.549999999999999">
      <c r="D49" s="1649"/>
      <c r="J49" s="1646"/>
      <c r="K49" s="1646"/>
      <c r="L49" s="1646"/>
      <c r="AI49" s="1642">
        <v>11</v>
      </c>
    </row>
    <row s="1652" customFormat="1" customHeight="1" ht="11.549999999999999">
      <c r="A50" s="998"/>
      <c r="B50" s="1647"/>
      <c r="C50" s="1647"/>
      <c r="D50" s="362"/>
      <c r="J50" s="1652"/>
      <c r="K50" s="1652"/>
      <c r="L50" s="1652"/>
      <c r="N50" s="1171"/>
      <c r="O50" s="1647"/>
      <c r="P50" s="1647"/>
      <c r="Q50" s="1171"/>
      <c r="R50" s="1171"/>
      <c r="S50" s="1171"/>
      <c r="T50" s="1171"/>
      <c r="U50" s="1647"/>
      <c r="V50" s="1171"/>
      <c r="W50" s="1171"/>
      <c r="X50" s="555"/>
      <c r="Y50" s="1171"/>
      <c r="Z50" s="1171"/>
      <c r="AA50" s="1171"/>
      <c r="AB50" s="1171"/>
      <c r="AC50" s="1171"/>
      <c r="AD50" s="1643"/>
      <c r="AE50" s="577"/>
      <c r="AF50" s="577"/>
      <c r="AG50" s="577"/>
      <c r="AH50" s="577"/>
      <c r="AI50" s="1652">
        <v>11</v>
      </c>
    </row>
    <row s="1652" customFormat="1" customHeight="1" ht="11.549999999999999">
      <c r="A51" s="998"/>
      <c r="B51" s="1647"/>
      <c r="C51" s="1647"/>
      <c r="D51" s="362"/>
      <c r="J51" s="1652"/>
      <c r="K51" s="1652"/>
      <c r="L51" s="1652"/>
      <c r="N51" s="1171"/>
      <c r="O51" s="1647"/>
      <c r="P51" s="1647"/>
      <c r="Q51" s="1171"/>
      <c r="R51" s="1171"/>
      <c r="S51" s="1171"/>
      <c r="T51" s="1171"/>
      <c r="U51" s="1647"/>
      <c r="V51" s="1171"/>
      <c r="W51" s="1171"/>
      <c r="X51" s="555"/>
      <c r="Y51" s="1171"/>
      <c r="Z51" s="1171"/>
      <c r="AA51" s="1171"/>
      <c r="AB51" s="1171"/>
      <c r="AC51" s="1171"/>
      <c r="AD51" s="1643"/>
      <c r="AE51" s="577"/>
      <c r="AF51" s="577"/>
      <c r="AG51" s="577"/>
      <c r="AH51" s="577"/>
      <c r="AI51" s="1652">
        <v>11</v>
      </c>
    </row>
    <row s="1652" customFormat="1" customHeight="1" ht="11.549999999999999">
      <c r="A52" s="998"/>
      <c r="B52" s="1647"/>
      <c r="C52" s="1647"/>
      <c r="D52" s="362"/>
      <c r="H52" s="577"/>
      <c r="I52" s="577"/>
      <c r="J52" s="633"/>
      <c r="K52" s="633"/>
      <c r="L52" s="633"/>
      <c r="N52" s="1171"/>
      <c r="O52" s="1647"/>
      <c r="P52" s="1647"/>
      <c r="Q52" s="1171"/>
      <c r="R52" s="1171"/>
      <c r="S52" s="1171"/>
      <c r="T52" s="1171"/>
      <c r="U52" s="1647"/>
      <c r="V52" s="1171"/>
      <c r="W52" s="1171"/>
      <c r="X52" s="555"/>
      <c r="Y52" s="1171"/>
      <c r="Z52" s="1171"/>
      <c r="AA52" s="1171"/>
      <c r="AB52" s="1171"/>
      <c r="AC52" s="1171"/>
      <c r="AD52" s="1643"/>
      <c r="AE52" s="577"/>
      <c r="AF52" s="577"/>
      <c r="AG52" s="577"/>
      <c r="AH52" s="577"/>
      <c r="AI52" s="1652">
        <v>11</v>
      </c>
    </row>
    <row s="1652" customFormat="1" customHeight="1" ht="11.549999999999999">
      <c r="A53" s="998"/>
      <c r="B53" s="1647"/>
      <c r="C53" s="1647"/>
      <c r="D53" s="362"/>
      <c r="J53" s="1652"/>
      <c r="K53" s="1652"/>
      <c r="L53" s="1652"/>
      <c r="N53" s="1171"/>
      <c r="O53" s="1647"/>
      <c r="P53" s="1647"/>
      <c r="Q53" s="1171"/>
      <c r="R53" s="1171"/>
      <c r="S53" s="1171"/>
      <c r="T53" s="1171"/>
      <c r="U53" s="1647"/>
      <c r="V53" s="1171"/>
      <c r="W53" s="1171"/>
      <c r="X53" s="555"/>
      <c r="Y53" s="1171"/>
      <c r="Z53" s="1171"/>
      <c r="AA53" s="1171"/>
      <c r="AB53" s="1171"/>
      <c r="AC53" s="1171"/>
      <c r="AD53" s="1643"/>
      <c r="AE53" s="577"/>
      <c r="AF53" s="577"/>
      <c r="AG53" s="577"/>
      <c r="AH53" s="577"/>
      <c r="AI53" s="1652">
        <v>11</v>
      </c>
    </row>
    <row s="1652" customFormat="1" customHeight="1" ht="11.549999999999999">
      <c r="A54" s="998"/>
      <c r="B54" s="1647"/>
      <c r="C54" s="1647"/>
      <c r="D54" s="362"/>
      <c r="J54" s="1652"/>
      <c r="K54" s="1652"/>
      <c r="L54" s="1652"/>
      <c r="N54" s="1171"/>
      <c r="O54" s="1647"/>
      <c r="P54" s="1647"/>
      <c r="Q54" s="1171"/>
      <c r="R54" s="1171"/>
      <c r="S54" s="1171"/>
      <c r="T54" s="1171"/>
      <c r="U54" s="1647"/>
      <c r="V54" s="1171"/>
      <c r="W54" s="1171"/>
      <c r="X54" s="555"/>
      <c r="Y54" s="1171"/>
      <c r="Z54" s="1171"/>
      <c r="AA54" s="1171"/>
      <c r="AB54" s="1171"/>
      <c r="AC54" s="1171"/>
      <c r="AD54" s="1643"/>
      <c r="AE54" s="577"/>
      <c r="AF54" s="577"/>
      <c r="AG54" s="577"/>
      <c r="AH54" s="577"/>
      <c r="AI54" s="1652">
        <v>11</v>
      </c>
    </row>
    <row s="1652" customFormat="1" customHeight="1" ht="11.549999999999999">
      <c r="A55" s="998"/>
      <c r="B55" s="1647"/>
      <c r="C55" s="1647"/>
      <c r="D55" s="362"/>
      <c r="J55" s="1652"/>
      <c r="K55" s="1652"/>
      <c r="L55" s="1652"/>
      <c r="N55" s="1171"/>
      <c r="O55" s="1647"/>
      <c r="P55" s="1647"/>
      <c r="Q55" s="1171"/>
      <c r="R55" s="1171"/>
      <c r="S55" s="1171"/>
      <c r="T55" s="1171"/>
      <c r="U55" s="1647"/>
      <c r="V55" s="1171"/>
      <c r="W55" s="1171"/>
      <c r="X55" s="555"/>
      <c r="Y55" s="1171"/>
      <c r="Z55" s="1171"/>
      <c r="AA55" s="1171"/>
      <c r="AB55" s="1171"/>
      <c r="AC55" s="1171"/>
      <c r="AD55" s="1643"/>
      <c r="AE55" s="577"/>
      <c r="AF55" s="577"/>
      <c r="AG55" s="577"/>
      <c r="AH55" s="577"/>
      <c r="AI55" s="1652">
        <v>11</v>
      </c>
    </row>
    <row s="1652" customFormat="1" customHeight="1" ht="11.549999999999999">
      <c r="A56" s="998"/>
      <c r="B56" s="1647"/>
      <c r="C56" s="1647"/>
      <c r="D56" s="362"/>
      <c r="J56" s="1652"/>
      <c r="K56" s="1652"/>
      <c r="L56" s="1652"/>
      <c r="N56" s="1171"/>
      <c r="O56" s="1647"/>
      <c r="P56" s="1647"/>
      <c r="Q56" s="1171"/>
      <c r="R56" s="1171"/>
      <c r="S56" s="1171"/>
      <c r="T56" s="1171"/>
      <c r="U56" s="1647"/>
      <c r="V56" s="1171"/>
      <c r="W56" s="1171"/>
      <c r="X56" s="555"/>
      <c r="Y56" s="1171"/>
      <c r="Z56" s="1171"/>
      <c r="AA56" s="1171"/>
      <c r="AB56" s="1171"/>
      <c r="AC56" s="1171"/>
      <c r="AD56" s="1643"/>
      <c r="AE56" s="577"/>
      <c r="AF56" s="577"/>
      <c r="AG56" s="577"/>
      <c r="AH56" s="577"/>
      <c r="AI56" s="1652">
        <v>11</v>
      </c>
    </row>
    <row s="1652" customFormat="1" customHeight="1" ht="11.549999999999999">
      <c r="A57" s="998"/>
      <c r="B57" s="1647"/>
      <c r="C57" s="1647"/>
      <c r="D57" s="362"/>
      <c r="J57" s="1652"/>
      <c r="K57" s="1652"/>
      <c r="L57" s="1652"/>
      <c r="N57" s="1171"/>
      <c r="O57" s="1647"/>
      <c r="P57" s="1647"/>
      <c r="Q57" s="1171"/>
      <c r="R57" s="1171"/>
      <c r="S57" s="1171"/>
      <c r="T57" s="1171"/>
      <c r="U57" s="1647"/>
      <c r="V57" s="1171"/>
      <c r="W57" s="1171"/>
      <c r="X57" s="555"/>
      <c r="Y57" s="1171"/>
      <c r="Z57" s="1171"/>
      <c r="AA57" s="1171"/>
      <c r="AB57" s="1171"/>
      <c r="AC57" s="1171"/>
      <c r="AD57" s="1643"/>
      <c r="AE57" s="577"/>
      <c r="AF57" s="577"/>
      <c r="AG57" s="577"/>
      <c r="AH57" s="577"/>
      <c r="AI57" s="1652">
        <v>11</v>
      </c>
    </row>
    <row s="1652" customFormat="1" customHeight="1" ht="11.549999999999999">
      <c r="A58" s="998"/>
      <c r="B58" s="1647"/>
      <c r="C58" s="1647"/>
      <c r="D58" s="362"/>
      <c r="J58" s="1652"/>
      <c r="K58" s="1652"/>
      <c r="L58" s="1652"/>
      <c r="N58" s="1171"/>
      <c r="O58" s="1647"/>
      <c r="P58" s="1647"/>
      <c r="Q58" s="1171"/>
      <c r="R58" s="1171"/>
      <c r="S58" s="1171"/>
      <c r="T58" s="1171"/>
      <c r="U58" s="1647"/>
      <c r="V58" s="1171"/>
      <c r="W58" s="1171"/>
      <c r="X58" s="555"/>
      <c r="Y58" s="1171"/>
      <c r="Z58" s="1171"/>
      <c r="AA58" s="1171"/>
      <c r="AB58" s="1171"/>
      <c r="AC58" s="1171"/>
      <c r="AD58" s="1643"/>
      <c r="AE58" s="577"/>
      <c r="AF58" s="577"/>
      <c r="AG58" s="577"/>
      <c r="AH58" s="577"/>
      <c r="AI58" s="1652">
        <v>11</v>
      </c>
    </row>
    <row s="1652" customFormat="1" customHeight="1" ht="11.549999999999999">
      <c r="A59" s="998"/>
      <c r="B59" s="1647"/>
      <c r="C59" s="1647"/>
      <c r="D59" s="362"/>
      <c r="J59" s="1652"/>
      <c r="K59" s="1652"/>
      <c r="L59" s="1652"/>
      <c r="N59" s="1171"/>
      <c r="O59" s="1647"/>
      <c r="P59" s="1647"/>
      <c r="Q59" s="1171"/>
      <c r="R59" s="1171"/>
      <c r="S59" s="1171"/>
      <c r="T59" s="1171"/>
      <c r="U59" s="1647"/>
      <c r="V59" s="1171"/>
      <c r="W59" s="1171"/>
      <c r="X59" s="555"/>
      <c r="Y59" s="1171"/>
      <c r="Z59" s="1171"/>
      <c r="AA59" s="1171"/>
      <c r="AB59" s="1171"/>
      <c r="AC59" s="1171"/>
      <c r="AD59" s="1643"/>
      <c r="AE59" s="577"/>
      <c r="AF59" s="577"/>
      <c r="AG59" s="577"/>
      <c r="AH59" s="577"/>
      <c r="AI59" s="1652">
        <v>11</v>
      </c>
    </row>
    <row s="1652" customFormat="1" customHeight="1" ht="11.549999999999999">
      <c r="A60" s="998"/>
      <c r="B60" s="1647"/>
      <c r="C60" s="1647"/>
      <c r="D60" s="362"/>
      <c r="J60" s="1652"/>
      <c r="K60" s="1652"/>
      <c r="L60" s="1652"/>
      <c r="N60" s="1171"/>
      <c r="O60" s="1647"/>
      <c r="P60" s="1647"/>
      <c r="Q60" s="1171"/>
      <c r="R60" s="1171"/>
      <c r="S60" s="1171"/>
      <c r="T60" s="1171"/>
      <c r="U60" s="1647"/>
      <c r="V60" s="1171"/>
      <c r="W60" s="1171"/>
      <c r="X60" s="555"/>
      <c r="Y60" s="1171"/>
      <c r="Z60" s="1171"/>
      <c r="AA60" s="1171"/>
      <c r="AB60" s="1171"/>
      <c r="AC60" s="1171"/>
      <c r="AD60" s="1643"/>
      <c r="AE60" s="577"/>
      <c r="AF60" s="577"/>
      <c r="AG60" s="577"/>
      <c r="AH60" s="577"/>
      <c r="AI60" s="1652">
        <v>11</v>
      </c>
    </row>
    <row s="1652" customFormat="1" customHeight="1" ht="11.549999999999999">
      <c r="A61" s="998"/>
      <c r="B61" s="1647"/>
      <c r="C61" s="1647"/>
      <c r="D61" s="362"/>
      <c r="J61" s="1652"/>
      <c r="K61" s="1652"/>
      <c r="L61" s="1652"/>
      <c r="N61" s="1171"/>
      <c r="O61" s="1647"/>
      <c r="P61" s="1647"/>
      <c r="Q61" s="1171"/>
      <c r="R61" s="1171"/>
      <c r="S61" s="1171"/>
      <c r="T61" s="1171"/>
      <c r="U61" s="1647"/>
      <c r="V61" s="1171"/>
      <c r="W61" s="1171"/>
      <c r="X61" s="555"/>
      <c r="Y61" s="1171"/>
      <c r="Z61" s="1171"/>
      <c r="AA61" s="1171"/>
      <c r="AB61" s="1171"/>
      <c r="AC61" s="1171"/>
      <c r="AD61" s="1643"/>
      <c r="AE61" s="577"/>
      <c r="AF61" s="577"/>
      <c r="AG61" s="577"/>
      <c r="AH61" s="577"/>
      <c r="AI61" s="1652">
        <v>11</v>
      </c>
    </row>
    <row s="1652" customFormat="1" customHeight="1" ht="11.549999999999999">
      <c r="A62" s="998"/>
      <c r="B62" s="1647"/>
      <c r="C62" s="1647"/>
      <c r="D62" s="362"/>
      <c r="J62" s="1652"/>
      <c r="K62" s="1652"/>
      <c r="L62" s="1652"/>
      <c r="N62" s="1171"/>
      <c r="O62" s="1647"/>
      <c r="P62" s="1647"/>
      <c r="Q62" s="1171"/>
      <c r="R62" s="1171"/>
      <c r="S62" s="1171"/>
      <c r="T62" s="1171"/>
      <c r="U62" s="1647"/>
      <c r="V62" s="1171"/>
      <c r="W62" s="1171"/>
      <c r="X62" s="555"/>
      <c r="Y62" s="1171"/>
      <c r="Z62" s="1171"/>
      <c r="AA62" s="1171"/>
      <c r="AB62" s="1171"/>
      <c r="AC62" s="1171"/>
      <c r="AD62" s="1643"/>
      <c r="AE62" s="577"/>
      <c r="AF62" s="577"/>
      <c r="AG62" s="577"/>
      <c r="AH62" s="577"/>
      <c r="AI62" s="1652">
        <v>11</v>
      </c>
    </row>
    <row s="1652" customFormat="1" customHeight="1" ht="11.549999999999999">
      <c r="A63" s="998"/>
      <c r="B63" s="1647"/>
      <c r="C63" s="1647"/>
      <c r="D63" s="362"/>
      <c r="J63" s="1652"/>
      <c r="K63" s="1652"/>
      <c r="L63" s="1652"/>
      <c r="N63" s="1171"/>
      <c r="O63" s="1647"/>
      <c r="P63" s="1647"/>
      <c r="Q63" s="1171"/>
      <c r="R63" s="1171"/>
      <c r="S63" s="1171"/>
      <c r="T63" s="1171"/>
      <c r="U63" s="1647"/>
      <c r="V63" s="1171"/>
      <c r="W63" s="1171"/>
      <c r="X63" s="555"/>
      <c r="Y63" s="1171"/>
      <c r="Z63" s="1171"/>
      <c r="AA63" s="1171"/>
      <c r="AB63" s="1171"/>
      <c r="AC63" s="1171"/>
      <c r="AD63" s="1643"/>
      <c r="AE63" s="577"/>
      <c r="AF63" s="577"/>
      <c r="AG63" s="577"/>
      <c r="AH63" s="577"/>
      <c r="AI63" s="1652">
        <v>11</v>
      </c>
    </row>
    <row s="1652" customFormat="1" customHeight="1" ht="11.549999999999999">
      <c r="A64" s="998"/>
      <c r="B64" s="1647"/>
      <c r="C64" s="1647"/>
      <c r="D64" s="362"/>
      <c r="J64" s="1652"/>
      <c r="K64" s="1652"/>
      <c r="L64" s="1652"/>
      <c r="N64" s="1171"/>
      <c r="O64" s="1647"/>
      <c r="P64" s="1647"/>
      <c r="Q64" s="1171"/>
      <c r="R64" s="1171"/>
      <c r="S64" s="1171"/>
      <c r="T64" s="1171"/>
      <c r="U64" s="1647"/>
      <c r="V64" s="1171"/>
      <c r="W64" s="1171"/>
      <c r="X64" s="555"/>
      <c r="Y64" s="1171"/>
      <c r="Z64" s="1171"/>
      <c r="AA64" s="1171"/>
      <c r="AB64" s="1171"/>
      <c r="AC64" s="1171"/>
      <c r="AD64" s="1643"/>
      <c r="AE64" s="577"/>
      <c r="AF64" s="577"/>
      <c r="AG64" s="577"/>
      <c r="AH64" s="577"/>
      <c r="AI64" s="1652">
        <v>11</v>
      </c>
    </row>
    <row s="1652" customFormat="1" customHeight="1" ht="11.549999999999999">
      <c r="A65" s="998"/>
      <c r="B65" s="1647"/>
      <c r="C65" s="1647"/>
      <c r="D65" s="362"/>
      <c r="J65" s="1652"/>
      <c r="K65" s="1652"/>
      <c r="L65" s="1652"/>
      <c r="N65" s="1171"/>
      <c r="O65" s="1647"/>
      <c r="P65" s="1647"/>
      <c r="Q65" s="1171"/>
      <c r="R65" s="1171"/>
      <c r="S65" s="1171"/>
      <c r="T65" s="1171"/>
      <c r="U65" s="1647"/>
      <c r="V65" s="1171"/>
      <c r="W65" s="1171"/>
      <c r="X65" s="555"/>
      <c r="Y65" s="1171"/>
      <c r="Z65" s="1171"/>
      <c r="AA65" s="1171"/>
      <c r="AB65" s="1171"/>
      <c r="AC65" s="1171"/>
      <c r="AD65" s="1643"/>
      <c r="AE65" s="577"/>
      <c r="AF65" s="577"/>
      <c r="AG65" s="577"/>
      <c r="AH65" s="577"/>
      <c r="AI65" s="1652">
        <v>11</v>
      </c>
    </row>
    <row s="1652" customFormat="1" customHeight="1" ht="11.549999999999999">
      <c r="A66" s="998"/>
      <c r="B66" s="1647"/>
      <c r="C66" s="1647"/>
      <c r="D66" s="362"/>
      <c r="J66" s="1652"/>
      <c r="K66" s="1652"/>
      <c r="L66" s="1652"/>
      <c r="N66" s="1171"/>
      <c r="O66" s="1647"/>
      <c r="P66" s="1647"/>
      <c r="Q66" s="1171"/>
      <c r="R66" s="1171"/>
      <c r="S66" s="1171"/>
      <c r="T66" s="1171"/>
      <c r="U66" s="1647"/>
      <c r="V66" s="1171"/>
      <c r="W66" s="1171"/>
      <c r="X66" s="555"/>
      <c r="Y66" s="1171"/>
      <c r="Z66" s="1171"/>
      <c r="AA66" s="1171"/>
      <c r="AB66" s="1171"/>
      <c r="AC66" s="1171"/>
      <c r="AD66" s="1643"/>
      <c r="AE66" s="577"/>
      <c r="AF66" s="577"/>
      <c r="AG66" s="577"/>
      <c r="AH66" s="577"/>
      <c r="AI66" s="1652">
        <v>11</v>
      </c>
    </row>
    <row s="1652" customFormat="1" customHeight="1" ht="11.549999999999999">
      <c r="A67" s="998"/>
      <c r="B67" s="1647"/>
      <c r="C67" s="1647"/>
      <c r="D67" s="362"/>
      <c r="J67" s="1652"/>
      <c r="K67" s="1652"/>
      <c r="L67" s="1652"/>
      <c r="N67" s="1171"/>
      <c r="O67" s="1647"/>
      <c r="P67" s="1647"/>
      <c r="Q67" s="1171"/>
      <c r="R67" s="1171"/>
      <c r="S67" s="1171"/>
      <c r="T67" s="1171"/>
      <c r="U67" s="1647"/>
      <c r="V67" s="1171"/>
      <c r="W67" s="1171"/>
      <c r="X67" s="555"/>
      <c r="Y67" s="1171"/>
      <c r="Z67" s="1171"/>
      <c r="AA67" s="1171"/>
      <c r="AB67" s="1171"/>
      <c r="AC67" s="1171"/>
      <c r="AD67" s="1643"/>
      <c r="AE67" s="577"/>
      <c r="AF67" s="577"/>
      <c r="AG67" s="577"/>
      <c r="AH67" s="577"/>
      <c r="AI67" s="1652">
        <v>11</v>
      </c>
    </row>
    <row s="1652" customFormat="1" customHeight="1" ht="11.549999999999999">
      <c r="A68" s="998"/>
      <c r="B68" s="1647"/>
      <c r="C68" s="1647"/>
      <c r="D68" s="362"/>
      <c r="J68" s="1652"/>
      <c r="K68" s="1652"/>
      <c r="L68" s="1652"/>
      <c r="N68" s="1171"/>
      <c r="O68" s="1647"/>
      <c r="P68" s="1647"/>
      <c r="Q68" s="1171"/>
      <c r="R68" s="1171"/>
      <c r="S68" s="1171"/>
      <c r="T68" s="1171"/>
      <c r="U68" s="1647"/>
      <c r="V68" s="1171"/>
      <c r="W68" s="1171"/>
      <c r="X68" s="555"/>
      <c r="Y68" s="1171"/>
      <c r="Z68" s="1171"/>
      <c r="AA68" s="1171"/>
      <c r="AB68" s="1171"/>
      <c r="AC68" s="1171"/>
      <c r="AD68" s="1643"/>
      <c r="AE68" s="577"/>
      <c r="AF68" s="577"/>
      <c r="AG68" s="577"/>
      <c r="AH68" s="577"/>
      <c r="AI68" s="1652">
        <v>11</v>
      </c>
    </row>
    <row s="1652" customFormat="1" customHeight="1" ht="11.549999999999999">
      <c r="A69" s="998"/>
      <c r="B69" s="1647"/>
      <c r="C69" s="1647"/>
      <c r="D69" s="362"/>
      <c r="J69" s="1652"/>
      <c r="K69" s="1652"/>
      <c r="L69" s="1652"/>
      <c r="N69" s="1171"/>
      <c r="O69" s="1647"/>
      <c r="P69" s="1647"/>
      <c r="Q69" s="1171"/>
      <c r="R69" s="1171"/>
      <c r="S69" s="1171"/>
      <c r="T69" s="1171"/>
      <c r="U69" s="1647"/>
      <c r="V69" s="1171"/>
      <c r="W69" s="1171"/>
      <c r="X69" s="555"/>
      <c r="Y69" s="1171"/>
      <c r="Z69" s="1171"/>
      <c r="AA69" s="1171"/>
      <c r="AB69" s="1171"/>
      <c r="AC69" s="1171"/>
      <c r="AD69" s="1643"/>
      <c r="AE69" s="577"/>
      <c r="AF69" s="577"/>
      <c r="AG69" s="577"/>
      <c r="AH69" s="577"/>
      <c r="AI69" s="1652">
        <v>11</v>
      </c>
    </row>
    <row s="1652" customFormat="1" customHeight="1" ht="11.549999999999999">
      <c r="A70" s="998"/>
      <c r="B70" s="1647"/>
      <c r="C70" s="1647"/>
      <c r="D70" s="362"/>
      <c r="J70" s="1652"/>
      <c r="K70" s="1652"/>
      <c r="L70" s="1652"/>
      <c r="N70" s="1171"/>
      <c r="O70" s="1647"/>
      <c r="P70" s="1647"/>
      <c r="Q70" s="1171"/>
      <c r="R70" s="1171"/>
      <c r="S70" s="1171"/>
      <c r="T70" s="1171"/>
      <c r="U70" s="1647"/>
      <c r="V70" s="1171"/>
      <c r="W70" s="1171"/>
      <c r="X70" s="555"/>
      <c r="Y70" s="1171"/>
      <c r="Z70" s="1171"/>
      <c r="AA70" s="1171"/>
      <c r="AB70" s="1171"/>
      <c r="AC70" s="1171"/>
      <c r="AD70" s="1643"/>
      <c r="AE70" s="577"/>
      <c r="AF70" s="577"/>
      <c r="AG70" s="577"/>
      <c r="AH70" s="577"/>
      <c r="AI70" s="1652">
        <v>11</v>
      </c>
    </row>
    <row s="1652" customFormat="1" customHeight="1" ht="11.549999999999999">
      <c r="A71" s="998"/>
      <c r="B71" s="1647"/>
      <c r="C71" s="1647"/>
      <c r="D71" s="362"/>
      <c r="J71" s="1652"/>
      <c r="K71" s="1652"/>
      <c r="L71" s="1652"/>
      <c r="N71" s="1171"/>
      <c r="O71" s="1647"/>
      <c r="P71" s="1647"/>
      <c r="Q71" s="1171"/>
      <c r="R71" s="1171"/>
      <c r="S71" s="1171"/>
      <c r="T71" s="1171"/>
      <c r="U71" s="1647"/>
      <c r="V71" s="1171"/>
      <c r="W71" s="1171"/>
      <c r="X71" s="555"/>
      <c r="Y71" s="1171"/>
      <c r="Z71" s="1171"/>
      <c r="AA71" s="1171"/>
      <c r="AB71" s="1171"/>
      <c r="AC71" s="1171"/>
      <c r="AD71" s="1643"/>
      <c r="AE71" s="577"/>
      <c r="AF71" s="577"/>
      <c r="AG71" s="577"/>
      <c r="AH71" s="577"/>
      <c r="AI71" s="1652">
        <v>11</v>
      </c>
    </row>
    <row s="1652" customFormat="1" customHeight="1" ht="11.549999999999999">
      <c r="A72" s="998"/>
      <c r="B72" s="1647"/>
      <c r="C72" s="1647"/>
      <c r="D72" s="362"/>
      <c r="J72" s="1652"/>
      <c r="K72" s="1652"/>
      <c r="L72" s="1652"/>
      <c r="N72" s="1171"/>
      <c r="O72" s="1647"/>
      <c r="P72" s="1647"/>
      <c r="Q72" s="1171"/>
      <c r="R72" s="1171"/>
      <c r="S72" s="1171"/>
      <c r="T72" s="1171"/>
      <c r="U72" s="1647"/>
      <c r="V72" s="1171"/>
      <c r="W72" s="1171"/>
      <c r="X72" s="555"/>
      <c r="Y72" s="1171"/>
      <c r="Z72" s="1171"/>
      <c r="AA72" s="1171"/>
      <c r="AB72" s="1171"/>
      <c r="AC72" s="1171"/>
      <c r="AD72" s="1643"/>
      <c r="AE72" s="577"/>
      <c r="AF72" s="577"/>
      <c r="AG72" s="577"/>
      <c r="AH72" s="577"/>
      <c r="AI72" s="1652">
        <v>11</v>
      </c>
    </row>
    <row s="1652" customFormat="1" customHeight="1" ht="11.549999999999999">
      <c r="A73" s="998"/>
      <c r="B73" s="1647"/>
      <c r="C73" s="1647"/>
      <c r="D73" s="362"/>
      <c r="J73" s="1652"/>
      <c r="K73" s="1652"/>
      <c r="L73" s="1652"/>
      <c r="N73" s="1171"/>
      <c r="O73" s="1647"/>
      <c r="P73" s="1647"/>
      <c r="Q73" s="1171"/>
      <c r="R73" s="1171"/>
      <c r="S73" s="1171"/>
      <c r="T73" s="1171"/>
      <c r="U73" s="1647"/>
      <c r="V73" s="1171"/>
      <c r="W73" s="1171"/>
      <c r="X73" s="555"/>
      <c r="Y73" s="1171"/>
      <c r="Z73" s="1171"/>
      <c r="AA73" s="1171"/>
      <c r="AB73" s="1171"/>
      <c r="AC73" s="1171"/>
      <c r="AD73" s="1643"/>
      <c r="AE73" s="577"/>
      <c r="AF73" s="577"/>
      <c r="AG73" s="577"/>
      <c r="AH73" s="577"/>
      <c r="AI73" s="1652">
        <v>11</v>
      </c>
    </row>
    <row s="1652" customFormat="1" customHeight="1" ht="11.549999999999999">
      <c r="A74" s="998"/>
      <c r="B74" s="1647"/>
      <c r="C74" s="1647"/>
      <c r="D74" s="362"/>
      <c r="J74" s="1652"/>
      <c r="K74" s="1652"/>
      <c r="L74" s="1652"/>
      <c r="N74" s="1171"/>
      <c r="O74" s="1647"/>
      <c r="P74" s="1647"/>
      <c r="Q74" s="1171"/>
      <c r="R74" s="1171"/>
      <c r="S74" s="1171"/>
      <c r="T74" s="1171"/>
      <c r="U74" s="1647"/>
      <c r="V74" s="1171"/>
      <c r="W74" s="1171"/>
      <c r="X74" s="555"/>
      <c r="Y74" s="1171"/>
      <c r="Z74" s="1171"/>
      <c r="AA74" s="1171"/>
      <c r="AB74" s="1171"/>
      <c r="AC74" s="1171"/>
      <c r="AD74" s="1643"/>
      <c r="AE74" s="577"/>
      <c r="AF74" s="577"/>
      <c r="AG74" s="577"/>
      <c r="AH74" s="577"/>
      <c r="AI74" s="1652">
        <v>11</v>
      </c>
    </row>
    <row s="1652" customFormat="1" customHeight="1" ht="11.549999999999999">
      <c r="A75" s="998"/>
      <c r="B75" s="1647"/>
      <c r="C75" s="1647"/>
      <c r="D75" s="362"/>
      <c r="J75" s="1652"/>
      <c r="K75" s="1652"/>
      <c r="L75" s="1652"/>
      <c r="N75" s="1171"/>
      <c r="O75" s="1647"/>
      <c r="P75" s="1647"/>
      <c r="Q75" s="1171"/>
      <c r="R75" s="1171"/>
      <c r="S75" s="1171"/>
      <c r="T75" s="1171"/>
      <c r="U75" s="1647"/>
      <c r="V75" s="1171"/>
      <c r="W75" s="1171"/>
      <c r="X75" s="555"/>
      <c r="Y75" s="1171"/>
      <c r="Z75" s="1171"/>
      <c r="AA75" s="1171"/>
      <c r="AB75" s="1171"/>
      <c r="AC75" s="1171"/>
      <c r="AD75" s="1643"/>
      <c r="AE75" s="577"/>
      <c r="AF75" s="577"/>
      <c r="AG75" s="577"/>
      <c r="AH75" s="577"/>
      <c r="AI75" s="1652">
        <v>11</v>
      </c>
    </row>
    <row s="1652" customFormat="1" customHeight="1" ht="11.549999999999999">
      <c r="A76" s="998"/>
      <c r="B76" s="1647"/>
      <c r="C76" s="1647"/>
      <c r="D76" s="362"/>
      <c r="J76" s="1652"/>
      <c r="K76" s="1652"/>
      <c r="L76" s="1652"/>
      <c r="N76" s="1171"/>
      <c r="O76" s="1647"/>
      <c r="P76" s="1647"/>
      <c r="Q76" s="1171"/>
      <c r="R76" s="1171"/>
      <c r="S76" s="1171"/>
      <c r="T76" s="1171"/>
      <c r="U76" s="1647"/>
      <c r="V76" s="1171"/>
      <c r="W76" s="1171"/>
      <c r="X76" s="555"/>
      <c r="Y76" s="1171"/>
      <c r="Z76" s="1171"/>
      <c r="AA76" s="1171"/>
      <c r="AB76" s="1171"/>
      <c r="AC76" s="1171"/>
      <c r="AD76" s="1643"/>
      <c r="AE76" s="577"/>
      <c r="AF76" s="577"/>
      <c r="AG76" s="577"/>
      <c r="AH76" s="577"/>
      <c r="AI76" s="1652">
        <v>11</v>
      </c>
    </row>
    <row s="1652" customFormat="1" customHeight="1" ht="11.549999999999999">
      <c r="A77" s="998"/>
      <c r="B77" s="1647"/>
      <c r="C77" s="1647"/>
      <c r="D77" s="362"/>
      <c r="J77" s="1652"/>
      <c r="K77" s="1652"/>
      <c r="L77" s="1652"/>
      <c r="N77" s="1171"/>
      <c r="O77" s="1647"/>
      <c r="P77" s="1647"/>
      <c r="Q77" s="1171"/>
      <c r="R77" s="1171"/>
      <c r="S77" s="1171"/>
      <c r="T77" s="1171"/>
      <c r="U77" s="1647"/>
      <c r="V77" s="1171"/>
      <c r="W77" s="1171"/>
      <c r="X77" s="555"/>
      <c r="Y77" s="1171"/>
      <c r="Z77" s="1171"/>
      <c r="AA77" s="1171"/>
      <c r="AB77" s="1171"/>
      <c r="AC77" s="1171"/>
      <c r="AD77" s="1643"/>
      <c r="AE77" s="577"/>
      <c r="AF77" s="577"/>
      <c r="AG77" s="577"/>
      <c r="AH77" s="577"/>
      <c r="AI77" s="1652">
        <v>11</v>
      </c>
    </row>
    <row s="1652" customFormat="1" customHeight="1" ht="11.549999999999999">
      <c r="A78" s="998"/>
      <c r="B78" s="1647"/>
      <c r="C78" s="1647"/>
      <c r="D78" s="362"/>
      <c r="J78" s="1652"/>
      <c r="K78" s="1652"/>
      <c r="L78" s="1652"/>
      <c r="N78" s="1171"/>
      <c r="O78" s="1647"/>
      <c r="P78" s="1647"/>
      <c r="Q78" s="1171"/>
      <c r="R78" s="1171"/>
      <c r="S78" s="1171"/>
      <c r="T78" s="1171"/>
      <c r="U78" s="1647"/>
      <c r="V78" s="1171"/>
      <c r="W78" s="1171"/>
      <c r="X78" s="555"/>
      <c r="Y78" s="1171"/>
      <c r="Z78" s="1171"/>
      <c r="AA78" s="1171"/>
      <c r="AB78" s="1171"/>
      <c r="AC78" s="1171"/>
      <c r="AD78" s="1643"/>
      <c r="AE78" s="577"/>
      <c r="AF78" s="577"/>
      <c r="AG78" s="577"/>
      <c r="AH78" s="577"/>
      <c r="AI78" s="1652">
        <v>11</v>
      </c>
    </row>
    <row s="1652" customFormat="1" customHeight="1" ht="11.549999999999999">
      <c r="A79" s="998"/>
      <c r="B79" s="1647"/>
      <c r="C79" s="1647"/>
      <c r="D79" s="362"/>
      <c r="J79" s="1652"/>
      <c r="K79" s="1652"/>
      <c r="L79" s="1652"/>
      <c r="N79" s="1171"/>
      <c r="O79" s="1647"/>
      <c r="P79" s="1647"/>
      <c r="Q79" s="1171"/>
      <c r="R79" s="1171"/>
      <c r="S79" s="1171"/>
      <c r="T79" s="1171"/>
      <c r="U79" s="1647"/>
      <c r="V79" s="1171"/>
      <c r="W79" s="1171"/>
      <c r="X79" s="555"/>
      <c r="Y79" s="1171"/>
      <c r="Z79" s="1171"/>
      <c r="AA79" s="1171"/>
      <c r="AB79" s="1171"/>
      <c r="AC79" s="1171"/>
      <c r="AD79" s="1643"/>
      <c r="AE79" s="577"/>
      <c r="AF79" s="577"/>
      <c r="AG79" s="577"/>
      <c r="AH79" s="577"/>
      <c r="AI79" s="1652">
        <v>11</v>
      </c>
    </row>
    <row s="1652" customFormat="1" customHeight="1" ht="11.549999999999999">
      <c r="A80" s="998"/>
      <c r="B80" s="1647"/>
      <c r="C80" s="1647"/>
      <c r="D80" s="362"/>
      <c r="J80" s="1652"/>
      <c r="K80" s="1652"/>
      <c r="L80" s="1652"/>
      <c r="N80" s="1171"/>
      <c r="O80" s="1647"/>
      <c r="P80" s="1647"/>
      <c r="Q80" s="1171"/>
      <c r="R80" s="1171"/>
      <c r="S80" s="1171"/>
      <c r="T80" s="1171"/>
      <c r="U80" s="1647"/>
      <c r="V80" s="1171"/>
      <c r="W80" s="1171"/>
      <c r="X80" s="555"/>
      <c r="Y80" s="1171"/>
      <c r="Z80" s="1171"/>
      <c r="AA80" s="1171"/>
      <c r="AB80" s="1171"/>
      <c r="AC80" s="1171"/>
      <c r="AD80" s="1643"/>
      <c r="AE80" s="577"/>
      <c r="AF80" s="577"/>
      <c r="AG80" s="577"/>
      <c r="AH80" s="577"/>
      <c r="AI80" s="1652">
        <v>11</v>
      </c>
    </row>
    <row s="1652" customFormat="1" customHeight="1" ht="11.549999999999999">
      <c r="A81" s="998"/>
      <c r="B81" s="1647"/>
      <c r="C81" s="1647"/>
      <c r="D81" s="362"/>
      <c r="J81" s="1652"/>
      <c r="K81" s="1652"/>
      <c r="L81" s="1652"/>
      <c r="N81" s="1171"/>
      <c r="O81" s="1647"/>
      <c r="P81" s="1647"/>
      <c r="Q81" s="1171"/>
      <c r="R81" s="1171"/>
      <c r="S81" s="1171"/>
      <c r="T81" s="1171"/>
      <c r="U81" s="1647"/>
      <c r="V81" s="1171"/>
      <c r="W81" s="1171"/>
      <c r="X81" s="555"/>
      <c r="Y81" s="1171"/>
      <c r="Z81" s="1171"/>
      <c r="AA81" s="1171"/>
      <c r="AB81" s="1171"/>
      <c r="AC81" s="1171"/>
      <c r="AD81" s="1643"/>
      <c r="AE81" s="577"/>
      <c r="AF81" s="577"/>
      <c r="AG81" s="577"/>
      <c r="AH81" s="577"/>
      <c r="AI81" s="1652">
        <v>11</v>
      </c>
    </row>
    <row s="1652" customFormat="1" customHeight="1" ht="11.549999999999999">
      <c r="A82" s="998"/>
      <c r="B82" s="1647"/>
      <c r="C82" s="1647"/>
      <c r="D82" s="362"/>
      <c r="J82" s="1652"/>
      <c r="K82" s="1652"/>
      <c r="L82" s="1652"/>
      <c r="N82" s="1171"/>
      <c r="O82" s="1647"/>
      <c r="P82" s="1647"/>
      <c r="Q82" s="1171"/>
      <c r="R82" s="1171"/>
      <c r="S82" s="1171"/>
      <c r="T82" s="1171"/>
      <c r="U82" s="1647"/>
      <c r="V82" s="1171"/>
      <c r="W82" s="1171"/>
      <c r="X82" s="555"/>
      <c r="Y82" s="1171"/>
      <c r="Z82" s="1171"/>
      <c r="AA82" s="1171"/>
      <c r="AB82" s="1171"/>
      <c r="AC82" s="1171"/>
      <c r="AD82" s="1643"/>
      <c r="AE82" s="577"/>
      <c r="AF82" s="577"/>
      <c r="AG82" s="577"/>
      <c r="AH82" s="577"/>
      <c r="AI82" s="1652">
        <v>11</v>
      </c>
    </row>
    <row s="1652" customFormat="1" customHeight="1" ht="11.549999999999999">
      <c r="A83" s="998"/>
      <c r="B83" s="1647"/>
      <c r="C83" s="1647"/>
      <c r="D83" s="362"/>
      <c r="J83" s="1652"/>
      <c r="K83" s="1652"/>
      <c r="L83" s="1652"/>
      <c r="N83" s="1171"/>
      <c r="O83" s="1647"/>
      <c r="P83" s="1647"/>
      <c r="Q83" s="1171"/>
      <c r="R83" s="1171"/>
      <c r="S83" s="1171"/>
      <c r="T83" s="1171"/>
      <c r="U83" s="1647"/>
      <c r="V83" s="1171"/>
      <c r="W83" s="1171"/>
      <c r="X83" s="555"/>
      <c r="Y83" s="1171"/>
      <c r="Z83" s="1171"/>
      <c r="AA83" s="1171"/>
      <c r="AB83" s="1171"/>
      <c r="AC83" s="1171"/>
      <c r="AD83" s="1643"/>
      <c r="AE83" s="577"/>
      <c r="AF83" s="577"/>
      <c r="AG83" s="577"/>
      <c r="AH83" s="577"/>
      <c r="AI83" s="1652">
        <v>11</v>
      </c>
    </row>
    <row s="1652" customFormat="1" customHeight="1" ht="11.549999999999999">
      <c r="A84" s="998"/>
      <c r="B84" s="1647"/>
      <c r="C84" s="1647"/>
      <c r="D84" s="362"/>
      <c r="J84" s="1652"/>
      <c r="K84" s="1652"/>
      <c r="L84" s="1652"/>
      <c r="N84" s="1171"/>
      <c r="O84" s="1647"/>
      <c r="P84" s="1647"/>
      <c r="Q84" s="1171"/>
      <c r="R84" s="1171"/>
      <c r="S84" s="1171"/>
      <c r="T84" s="1171"/>
      <c r="U84" s="1647"/>
      <c r="V84" s="1171"/>
      <c r="W84" s="1171"/>
      <c r="X84" s="555"/>
      <c r="Y84" s="1171"/>
      <c r="Z84" s="1171"/>
      <c r="AA84" s="1171"/>
      <c r="AB84" s="1171"/>
      <c r="AC84" s="1171"/>
      <c r="AD84" s="1643"/>
      <c r="AE84" s="577"/>
      <c r="AF84" s="577"/>
      <c r="AG84" s="577"/>
      <c r="AH84" s="577"/>
      <c r="AI84" s="1652">
        <v>11</v>
      </c>
    </row>
    <row s="1652" customFormat="1" customHeight="1" ht="11.549999999999999">
      <c r="A85" s="998"/>
      <c r="B85" s="1647"/>
      <c r="C85" s="1647"/>
      <c r="D85" s="362"/>
      <c r="J85" s="1652"/>
      <c r="K85" s="1652"/>
      <c r="L85" s="1652"/>
      <c r="N85" s="1171"/>
      <c r="O85" s="1647"/>
      <c r="P85" s="1647"/>
      <c r="Q85" s="1171"/>
      <c r="R85" s="1171"/>
      <c r="S85" s="1171"/>
      <c r="T85" s="1171"/>
      <c r="U85" s="1647"/>
      <c r="V85" s="1171"/>
      <c r="W85" s="1171"/>
      <c r="X85" s="555"/>
      <c r="Y85" s="1171"/>
      <c r="Z85" s="1171"/>
      <c r="AA85" s="1171"/>
      <c r="AB85" s="1171"/>
      <c r="AC85" s="1171"/>
      <c r="AD85" s="1643"/>
      <c r="AE85" s="577"/>
      <c r="AF85" s="577"/>
      <c r="AG85" s="577"/>
      <c r="AH85" s="577"/>
      <c r="AI85" s="1652">
        <v>11</v>
      </c>
    </row>
    <row s="1652" customFormat="1" customHeight="1" ht="11.549999999999999">
      <c r="A86" s="998"/>
      <c r="B86" s="1647"/>
      <c r="C86" s="1647"/>
      <c r="D86" s="362"/>
      <c r="J86" s="1652"/>
      <c r="K86" s="1652"/>
      <c r="L86" s="1652"/>
      <c r="N86" s="1171"/>
      <c r="O86" s="1647"/>
      <c r="P86" s="1647"/>
      <c r="Q86" s="1171"/>
      <c r="R86" s="1171"/>
      <c r="S86" s="1171"/>
      <c r="T86" s="1171"/>
      <c r="U86" s="1647"/>
      <c r="V86" s="1171"/>
      <c r="W86" s="1171"/>
      <c r="X86" s="555"/>
      <c r="Y86" s="1171"/>
      <c r="Z86" s="1171"/>
      <c r="AA86" s="1171"/>
      <c r="AB86" s="1171"/>
      <c r="AC86" s="1171"/>
      <c r="AD86" s="1643"/>
      <c r="AE86" s="577"/>
      <c r="AF86" s="577"/>
      <c r="AG86" s="577"/>
      <c r="AH86" s="577"/>
      <c r="AI86" s="1652">
        <v>11</v>
      </c>
    </row>
    <row s="1652" customFormat="1" customHeight="1" ht="11.549999999999999">
      <c r="A87" s="998"/>
      <c r="B87" s="1647"/>
      <c r="C87" s="1647"/>
      <c r="D87" s="362"/>
      <c r="J87" s="1652"/>
      <c r="K87" s="1652"/>
      <c r="L87" s="1652"/>
      <c r="N87" s="1171"/>
      <c r="O87" s="1647"/>
      <c r="P87" s="1647"/>
      <c r="Q87" s="1171"/>
      <c r="R87" s="1171"/>
      <c r="S87" s="1171"/>
      <c r="T87" s="1171"/>
      <c r="U87" s="1647"/>
      <c r="V87" s="1171"/>
      <c r="W87" s="1171"/>
      <c r="X87" s="555"/>
      <c r="Y87" s="1171"/>
      <c r="Z87" s="1171"/>
      <c r="AA87" s="1171"/>
      <c r="AB87" s="1171"/>
      <c r="AC87" s="1171"/>
      <c r="AD87" s="1643"/>
      <c r="AE87" s="577"/>
      <c r="AF87" s="577"/>
      <c r="AG87" s="577"/>
      <c r="AH87" s="577"/>
      <c r="AI87" s="1652">
        <v>11</v>
      </c>
    </row>
    <row s="1652" customFormat="1" customHeight="1" ht="11.549999999999999">
      <c r="A88" s="998"/>
      <c r="B88" s="1647"/>
      <c r="C88" s="1647"/>
      <c r="D88" s="362"/>
      <c r="J88" s="1652"/>
      <c r="K88" s="1652"/>
      <c r="L88" s="1652"/>
      <c r="N88" s="1171"/>
      <c r="O88" s="1647"/>
      <c r="P88" s="1647"/>
      <c r="Q88" s="1171"/>
      <c r="R88" s="1171"/>
      <c r="S88" s="1171"/>
      <c r="T88" s="1171"/>
      <c r="U88" s="1647"/>
      <c r="V88" s="1171"/>
      <c r="W88" s="1171"/>
      <c r="X88" s="555"/>
      <c r="Y88" s="1171"/>
      <c r="Z88" s="1171"/>
      <c r="AA88" s="1171"/>
      <c r="AB88" s="1171"/>
      <c r="AC88" s="1171"/>
      <c r="AD88" s="1643"/>
      <c r="AE88" s="577"/>
      <c r="AF88" s="577"/>
      <c r="AG88" s="577"/>
      <c r="AH88" s="577"/>
      <c r="AI88" s="1652">
        <v>11</v>
      </c>
    </row>
    <row s="1652" customFormat="1" customHeight="1" ht="11.549999999999999">
      <c r="A89" s="998"/>
      <c r="B89" s="1647"/>
      <c r="C89" s="1647"/>
      <c r="D89" s="362"/>
      <c r="J89" s="1652"/>
      <c r="K89" s="1652"/>
      <c r="L89" s="1652"/>
      <c r="N89" s="1171"/>
      <c r="O89" s="1647"/>
      <c r="P89" s="1647"/>
      <c r="Q89" s="1171"/>
      <c r="R89" s="1171"/>
      <c r="S89" s="1171"/>
      <c r="T89" s="1171"/>
      <c r="U89" s="1647"/>
      <c r="V89" s="1171"/>
      <c r="W89" s="1171"/>
      <c r="X89" s="555"/>
      <c r="Y89" s="1171"/>
      <c r="Z89" s="1171"/>
      <c r="AA89" s="1171"/>
      <c r="AB89" s="1171"/>
      <c r="AC89" s="1171"/>
      <c r="AD89" s="1643"/>
      <c r="AE89" s="577"/>
      <c r="AF89" s="577"/>
      <c r="AG89" s="577"/>
      <c r="AH89" s="577"/>
      <c r="AI89" s="1652">
        <v>11</v>
      </c>
    </row>
    <row s="1652" customFormat="1" customHeight="1" ht="11.549999999999999">
      <c r="A90" s="998"/>
      <c r="B90" s="1647"/>
      <c r="C90" s="1647"/>
      <c r="D90" s="362"/>
      <c r="J90" s="1652"/>
      <c r="K90" s="1652"/>
      <c r="L90" s="1652"/>
      <c r="N90" s="1171"/>
      <c r="O90" s="1647"/>
      <c r="P90" s="1647"/>
      <c r="Q90" s="1171"/>
      <c r="R90" s="1171"/>
      <c r="S90" s="1171"/>
      <c r="T90" s="1171"/>
      <c r="U90" s="1647"/>
      <c r="V90" s="1171"/>
      <c r="W90" s="1171"/>
      <c r="X90" s="555"/>
      <c r="Y90" s="1171"/>
      <c r="Z90" s="1171"/>
      <c r="AA90" s="1171"/>
      <c r="AB90" s="1171"/>
      <c r="AC90" s="1171"/>
      <c r="AD90" s="1643"/>
      <c r="AE90" s="577"/>
      <c r="AF90" s="577"/>
      <c r="AG90" s="577"/>
      <c r="AH90" s="577"/>
      <c r="AI90" s="1652">
        <v>11</v>
      </c>
    </row>
    <row s="1652" customFormat="1" customHeight="1" ht="11.549999999999999">
      <c r="A91" s="998"/>
      <c r="B91" s="1647"/>
      <c r="C91" s="1647"/>
      <c r="D91" s="362"/>
      <c r="J91" s="1652"/>
      <c r="K91" s="1652"/>
      <c r="L91" s="1652"/>
      <c r="N91" s="1171"/>
      <c r="O91" s="1647"/>
      <c r="P91" s="1647"/>
      <c r="Q91" s="1171"/>
      <c r="R91" s="1171"/>
      <c r="S91" s="1171"/>
      <c r="T91" s="1171"/>
      <c r="U91" s="1647"/>
      <c r="V91" s="1171"/>
      <c r="W91" s="1171"/>
      <c r="X91" s="555"/>
      <c r="Y91" s="1171"/>
      <c r="Z91" s="1171"/>
      <c r="AA91" s="1171"/>
      <c r="AB91" s="1171"/>
      <c r="AC91" s="1171"/>
      <c r="AD91" s="1643"/>
      <c r="AE91" s="577"/>
      <c r="AF91" s="577"/>
      <c r="AG91" s="577"/>
      <c r="AH91" s="577"/>
      <c r="AI91" s="1652">
        <v>11</v>
      </c>
    </row>
    <row s="1652" customFormat="1" customHeight="1" ht="11.549999999999999">
      <c r="A92" s="998"/>
      <c r="B92" s="1647"/>
      <c r="C92" s="1647"/>
      <c r="D92" s="362"/>
      <c r="J92" s="1652"/>
      <c r="K92" s="1652"/>
      <c r="L92" s="1652"/>
      <c r="N92" s="1171"/>
      <c r="O92" s="1647"/>
      <c r="P92" s="1647"/>
      <c r="Q92" s="1171"/>
      <c r="R92" s="1171"/>
      <c r="S92" s="1171"/>
      <c r="T92" s="1171"/>
      <c r="U92" s="1647"/>
      <c r="V92" s="1171"/>
      <c r="W92" s="1171"/>
      <c r="X92" s="555"/>
      <c r="Y92" s="1171"/>
      <c r="Z92" s="1171"/>
      <c r="AA92" s="1171"/>
      <c r="AB92" s="1171"/>
      <c r="AC92" s="1171"/>
      <c r="AD92" s="1643"/>
      <c r="AE92" s="577"/>
      <c r="AF92" s="577"/>
      <c r="AG92" s="577"/>
      <c r="AH92" s="577"/>
      <c r="AI92" s="1652">
        <v>11</v>
      </c>
    </row>
    <row s="1652" customFormat="1" customHeight="1" ht="11.549999999999999">
      <c r="A93" s="998"/>
      <c r="B93" s="1647"/>
      <c r="C93" s="1647"/>
      <c r="D93" s="362"/>
      <c r="J93" s="1652"/>
      <c r="K93" s="1652"/>
      <c r="L93" s="1652"/>
      <c r="N93" s="1171"/>
      <c r="O93" s="1647"/>
      <c r="P93" s="1647"/>
      <c r="Q93" s="1171"/>
      <c r="R93" s="1171"/>
      <c r="S93" s="1171"/>
      <c r="T93" s="1171"/>
      <c r="U93" s="1647"/>
      <c r="V93" s="1171"/>
      <c r="W93" s="1171"/>
      <c r="X93" s="555"/>
      <c r="Y93" s="1171"/>
      <c r="Z93" s="1171"/>
      <c r="AA93" s="1171"/>
      <c r="AB93" s="1171"/>
      <c r="AC93" s="1171"/>
      <c r="AD93" s="1643"/>
      <c r="AE93" s="577"/>
      <c r="AF93" s="577"/>
      <c r="AG93" s="577"/>
      <c r="AH93" s="577"/>
      <c r="AI93" s="1652">
        <v>11</v>
      </c>
    </row>
    <row s="1652" customFormat="1" customHeight="1" ht="11.549999999999999">
      <c r="A94" s="998"/>
      <c r="B94" s="1647"/>
      <c r="C94" s="1647"/>
      <c r="D94" s="362"/>
      <c r="J94" s="1652"/>
      <c r="K94" s="1652"/>
      <c r="L94" s="1652"/>
      <c r="N94" s="1171"/>
      <c r="O94" s="1647"/>
      <c r="P94" s="1647"/>
      <c r="Q94" s="1171"/>
      <c r="R94" s="1171"/>
      <c r="S94" s="1171"/>
      <c r="T94" s="1171"/>
      <c r="U94" s="1647"/>
      <c r="V94" s="1171"/>
      <c r="W94" s="1171"/>
      <c r="X94" s="555"/>
      <c r="Y94" s="1171"/>
      <c r="Z94" s="1171"/>
      <c r="AA94" s="1171"/>
      <c r="AB94" s="1171"/>
      <c r="AC94" s="1171"/>
      <c r="AD94" s="1643"/>
      <c r="AE94" s="577"/>
      <c r="AF94" s="577"/>
      <c r="AG94" s="577"/>
      <c r="AH94" s="577"/>
      <c r="AI94" s="1652">
        <v>11</v>
      </c>
    </row>
    <row s="1652" customFormat="1" customHeight="1" ht="11.549999999999999">
      <c r="A95" s="998"/>
      <c r="B95" s="1647"/>
      <c r="C95" s="1647"/>
      <c r="D95" s="362"/>
      <c r="J95" s="1652"/>
      <c r="K95" s="1652"/>
      <c r="L95" s="1652"/>
      <c r="N95" s="1171"/>
      <c r="O95" s="1647"/>
      <c r="P95" s="1647"/>
      <c r="Q95" s="1171"/>
      <c r="R95" s="1171"/>
      <c r="S95" s="1171"/>
      <c r="T95" s="1171"/>
      <c r="U95" s="1647"/>
      <c r="V95" s="1171"/>
      <c r="W95" s="1171"/>
      <c r="X95" s="555"/>
      <c r="Y95" s="1171"/>
      <c r="Z95" s="1171"/>
      <c r="AA95" s="1171"/>
      <c r="AB95" s="1171"/>
      <c r="AC95" s="1171"/>
      <c r="AD95" s="1643"/>
      <c r="AE95" s="577"/>
      <c r="AF95" s="577"/>
      <c r="AG95" s="577"/>
      <c r="AH95" s="577"/>
      <c r="AI95" s="1652">
        <v>11</v>
      </c>
    </row>
    <row s="1652" customFormat="1" customHeight="1" ht="11.549999999999999">
      <c r="A96" s="998"/>
      <c r="B96" s="1647"/>
      <c r="C96" s="1647"/>
      <c r="D96" s="362"/>
      <c r="J96" s="1652"/>
      <c r="K96" s="1652"/>
      <c r="L96" s="1652"/>
      <c r="N96" s="1171"/>
      <c r="O96" s="1647"/>
      <c r="P96" s="1647"/>
      <c r="Q96" s="1171"/>
      <c r="R96" s="1171"/>
      <c r="S96" s="1171"/>
      <c r="T96" s="1171"/>
      <c r="U96" s="1647"/>
      <c r="V96" s="1171"/>
      <c r="W96" s="1171"/>
      <c r="X96" s="555"/>
      <c r="Y96" s="1171"/>
      <c r="Z96" s="1171"/>
      <c r="AA96" s="1171"/>
      <c r="AB96" s="1171"/>
      <c r="AC96" s="1171"/>
      <c r="AD96" s="1643"/>
      <c r="AE96" s="577"/>
      <c r="AF96" s="577"/>
      <c r="AG96" s="577"/>
      <c r="AH96" s="577"/>
      <c r="AI96" s="1652">
        <v>11</v>
      </c>
    </row>
    <row s="1652" customFormat="1" customHeight="1" ht="11.549999999999999">
      <c r="A97" s="998"/>
      <c r="B97" s="1647"/>
      <c r="C97" s="1647"/>
      <c r="D97" s="362"/>
      <c r="J97" s="1652"/>
      <c r="K97" s="1652"/>
      <c r="L97" s="1652"/>
      <c r="N97" s="1171"/>
      <c r="O97" s="1647"/>
      <c r="P97" s="1647"/>
      <c r="Q97" s="1171"/>
      <c r="R97" s="1171"/>
      <c r="S97" s="1171"/>
      <c r="T97" s="1171"/>
      <c r="U97" s="1647"/>
      <c r="V97" s="1171"/>
      <c r="W97" s="1171"/>
      <c r="X97" s="555"/>
      <c r="Y97" s="1171"/>
      <c r="Z97" s="1171"/>
      <c r="AA97" s="1171"/>
      <c r="AB97" s="1171"/>
      <c r="AC97" s="1171"/>
      <c r="AD97" s="1643"/>
      <c r="AE97" s="577"/>
      <c r="AF97" s="577"/>
      <c r="AG97" s="577"/>
      <c r="AH97" s="577"/>
      <c r="AI97" s="1652">
        <v>11</v>
      </c>
    </row>
    <row s="1652" customFormat="1" customHeight="1" ht="11.549999999999999">
      <c r="A98" s="998"/>
      <c r="B98" s="1647"/>
      <c r="C98" s="1647"/>
      <c r="D98" s="362"/>
      <c r="J98" s="1652"/>
      <c r="K98" s="1652"/>
      <c r="L98" s="1652"/>
      <c r="N98" s="1171"/>
      <c r="O98" s="1647"/>
      <c r="P98" s="1647"/>
      <c r="Q98" s="1171"/>
      <c r="R98" s="1171"/>
      <c r="S98" s="1171"/>
      <c r="T98" s="1171"/>
      <c r="U98" s="1647"/>
      <c r="V98" s="1171"/>
      <c r="W98" s="1171"/>
      <c r="X98" s="555"/>
      <c r="Y98" s="1171"/>
      <c r="Z98" s="1171"/>
      <c r="AA98" s="1171"/>
      <c r="AB98" s="1171"/>
      <c r="AC98" s="1171"/>
      <c r="AD98" s="1643"/>
      <c r="AE98" s="577"/>
      <c r="AF98" s="577"/>
      <c r="AG98" s="577"/>
      <c r="AH98" s="577"/>
      <c r="AI98" s="1652">
        <v>11</v>
      </c>
    </row>
    <row s="1652" customFormat="1" customHeight="1" ht="11.549999999999999">
      <c r="A99" s="998"/>
      <c r="B99" s="1647"/>
      <c r="C99" s="1647"/>
      <c r="D99" s="362"/>
      <c r="J99" s="1652"/>
      <c r="K99" s="1652"/>
      <c r="L99" s="1652"/>
      <c r="N99" s="1171"/>
      <c r="O99" s="1647"/>
      <c r="P99" s="1647"/>
      <c r="Q99" s="1171"/>
      <c r="R99" s="1171"/>
      <c r="S99" s="1171"/>
      <c r="T99" s="1171"/>
      <c r="U99" s="1647"/>
      <c r="V99" s="1171"/>
      <c r="W99" s="1171"/>
      <c r="X99" s="555"/>
      <c r="Y99" s="1171"/>
      <c r="Z99" s="1171"/>
      <c r="AA99" s="1171"/>
      <c r="AB99" s="1171"/>
      <c r="AC99" s="1171"/>
      <c r="AD99" s="1643"/>
      <c r="AE99" s="577"/>
      <c r="AF99" s="577"/>
      <c r="AG99" s="577"/>
      <c r="AH99" s="577"/>
      <c r="AI99" s="1652">
        <v>11</v>
      </c>
    </row>
    <row s="1652" customFormat="1" customHeight="1" ht="11.549999999999999">
      <c r="A100" s="998"/>
      <c r="B100" s="1647"/>
      <c r="C100" s="1647"/>
      <c r="D100" s="362"/>
      <c r="J100" s="1652"/>
      <c r="K100" s="1652"/>
      <c r="L100" s="1652"/>
      <c r="N100" s="1171"/>
      <c r="O100" s="1647"/>
      <c r="P100" s="1647"/>
      <c r="Q100" s="1171"/>
      <c r="R100" s="1171"/>
      <c r="S100" s="1171"/>
      <c r="T100" s="1171"/>
      <c r="U100" s="1647"/>
      <c r="V100" s="1171"/>
      <c r="W100" s="1171"/>
      <c r="X100" s="555"/>
      <c r="Y100" s="1171"/>
      <c r="Z100" s="1171"/>
      <c r="AA100" s="1171"/>
      <c r="AB100" s="1171"/>
      <c r="AC100" s="1171"/>
      <c r="AD100" s="1643"/>
      <c r="AE100" s="577"/>
      <c r="AF100" s="577"/>
      <c r="AG100" s="577"/>
      <c r="AH100" s="577"/>
      <c r="AI100" s="1652">
        <v>11</v>
      </c>
    </row>
    <row s="1652" customFormat="1" customHeight="1" ht="11.549999999999999">
      <c r="A101" s="998"/>
      <c r="B101" s="1647"/>
      <c r="C101" s="1647"/>
      <c r="D101" s="362"/>
      <c r="J101" s="1652"/>
      <c r="K101" s="1652"/>
      <c r="L101" s="1652"/>
      <c r="N101" s="1171"/>
      <c r="O101" s="1647"/>
      <c r="P101" s="1647"/>
      <c r="Q101" s="1171"/>
      <c r="R101" s="1171"/>
      <c r="S101" s="1171"/>
      <c r="T101" s="1171"/>
      <c r="U101" s="1647"/>
      <c r="V101" s="1171"/>
      <c r="W101" s="1171"/>
      <c r="X101" s="555"/>
      <c r="Y101" s="1171"/>
      <c r="Z101" s="1171"/>
      <c r="AA101" s="1171"/>
      <c r="AB101" s="1171"/>
      <c r="AC101" s="1171"/>
      <c r="AD101" s="1643"/>
      <c r="AE101" s="577"/>
      <c r="AF101" s="577"/>
      <c r="AG101" s="577"/>
      <c r="AH101" s="577"/>
      <c r="AI101" s="1652">
        <v>11</v>
      </c>
    </row>
    <row s="1652" customFormat="1" customHeight="1" ht="11.549999999999999">
      <c r="A102" s="998"/>
      <c r="B102" s="1647"/>
      <c r="C102" s="1647"/>
      <c r="D102" s="362"/>
      <c r="J102" s="1652"/>
      <c r="K102" s="1652"/>
      <c r="L102" s="1652"/>
      <c r="N102" s="1171"/>
      <c r="O102" s="1647"/>
      <c r="P102" s="1647"/>
      <c r="Q102" s="1171"/>
      <c r="R102" s="1171"/>
      <c r="S102" s="1171"/>
      <c r="T102" s="1171"/>
      <c r="U102" s="1647"/>
      <c r="V102" s="1171"/>
      <c r="W102" s="1171"/>
      <c r="X102" s="555"/>
      <c r="Y102" s="1171"/>
      <c r="Z102" s="1171"/>
      <c r="AA102" s="1171"/>
      <c r="AB102" s="1171"/>
      <c r="AC102" s="1171"/>
      <c r="AD102" s="1643"/>
      <c r="AE102" s="577"/>
      <c r="AF102" s="577"/>
      <c r="AG102" s="577"/>
      <c r="AH102" s="577"/>
      <c r="AI102" s="1652">
        <v>11</v>
      </c>
    </row>
    <row s="1652" customFormat="1" customHeight="1" ht="11.549999999999999">
      <c r="A103" s="998"/>
      <c r="B103" s="1647"/>
      <c r="C103" s="1647"/>
      <c r="D103" s="362"/>
      <c r="J103" s="1652"/>
      <c r="K103" s="1652"/>
      <c r="L103" s="1652"/>
      <c r="N103" s="1171"/>
      <c r="O103" s="1647"/>
      <c r="P103" s="1647"/>
      <c r="Q103" s="1171"/>
      <c r="R103" s="1171"/>
      <c r="S103" s="1171"/>
      <c r="T103" s="1171"/>
      <c r="U103" s="1647"/>
      <c r="V103" s="1171"/>
      <c r="W103" s="1171"/>
      <c r="X103" s="555"/>
      <c r="Y103" s="1171"/>
      <c r="Z103" s="1171"/>
      <c r="AA103" s="1171"/>
      <c r="AB103" s="1171"/>
      <c r="AC103" s="1171"/>
      <c r="AD103" s="1643"/>
      <c r="AE103" s="577"/>
      <c r="AF103" s="577"/>
      <c r="AG103" s="577"/>
      <c r="AH103" s="577"/>
      <c r="AI103" s="1652">
        <v>11</v>
      </c>
    </row>
    <row s="1652" customFormat="1" customHeight="1" ht="11.549999999999999">
      <c r="A104" s="998"/>
      <c r="B104" s="1647"/>
      <c r="C104" s="1647"/>
      <c r="D104" s="362"/>
      <c r="J104" s="1652"/>
      <c r="K104" s="1652"/>
      <c r="L104" s="1652"/>
      <c r="N104" s="1171"/>
      <c r="O104" s="1647"/>
      <c r="P104" s="1647"/>
      <c r="Q104" s="1171"/>
      <c r="R104" s="1171"/>
      <c r="S104" s="1171"/>
      <c r="T104" s="1171"/>
      <c r="U104" s="1647"/>
      <c r="V104" s="1171"/>
      <c r="W104" s="1171"/>
      <c r="X104" s="555"/>
      <c r="Y104" s="1171"/>
      <c r="Z104" s="1171"/>
      <c r="AA104" s="1171"/>
      <c r="AB104" s="1171"/>
      <c r="AC104" s="1171"/>
      <c r="AD104" s="1643"/>
      <c r="AE104" s="577"/>
      <c r="AF104" s="577"/>
      <c r="AG104" s="577"/>
      <c r="AH104" s="577"/>
      <c r="AI104" s="1652">
        <v>11</v>
      </c>
    </row>
    <row s="1652" customFormat="1" customHeight="1" ht="11.549999999999999">
      <c r="A105" s="998"/>
      <c r="B105" s="1647"/>
      <c r="C105" s="1647"/>
      <c r="D105" s="362"/>
      <c r="J105" s="1652"/>
      <c r="K105" s="1652"/>
      <c r="L105" s="1652"/>
      <c r="N105" s="1171"/>
      <c r="O105" s="1647"/>
      <c r="P105" s="1647"/>
      <c r="Q105" s="1171"/>
      <c r="R105" s="1171"/>
      <c r="S105" s="1171"/>
      <c r="T105" s="1171"/>
      <c r="U105" s="1647"/>
      <c r="V105" s="1171"/>
      <c r="W105" s="1171"/>
      <c r="X105" s="555"/>
      <c r="Y105" s="1171"/>
      <c r="Z105" s="1171"/>
      <c r="AA105" s="1171"/>
      <c r="AB105" s="1171"/>
      <c r="AC105" s="1171"/>
      <c r="AD105" s="1643"/>
      <c r="AE105" s="577"/>
      <c r="AF105" s="577"/>
      <c r="AG105" s="577"/>
      <c r="AH105" s="577"/>
      <c r="AI105" s="1652">
        <v>11</v>
      </c>
    </row>
    <row s="1652" customFormat="1" customHeight="1" ht="11.549999999999999">
      <c r="A106" s="998"/>
      <c r="B106" s="1647"/>
      <c r="C106" s="1647"/>
      <c r="D106" s="362"/>
      <c r="J106" s="1652"/>
      <c r="K106" s="1652"/>
      <c r="L106" s="1652"/>
      <c r="N106" s="1171"/>
      <c r="O106" s="1647"/>
      <c r="P106" s="1647"/>
      <c r="Q106" s="1171"/>
      <c r="R106" s="1171"/>
      <c r="S106" s="1171"/>
      <c r="T106" s="1171"/>
      <c r="U106" s="1647"/>
      <c r="V106" s="1171"/>
      <c r="W106" s="1171"/>
      <c r="X106" s="555"/>
      <c r="Y106" s="1171"/>
      <c r="Z106" s="1171"/>
      <c r="AA106" s="1171"/>
      <c r="AB106" s="1171"/>
      <c r="AC106" s="1171"/>
      <c r="AD106" s="1643"/>
      <c r="AE106" s="577"/>
      <c r="AF106" s="577"/>
      <c r="AG106" s="577"/>
      <c r="AH106" s="577"/>
      <c r="AI106" s="1652">
        <v>11</v>
      </c>
    </row>
    <row s="1652" customFormat="1" customHeight="1" ht="11.549999999999999">
      <c r="A107" s="998"/>
      <c r="B107" s="1647"/>
      <c r="C107" s="1647"/>
      <c r="D107" s="362"/>
      <c r="J107" s="1652"/>
      <c r="K107" s="1652"/>
      <c r="L107" s="1652"/>
      <c r="N107" s="1171"/>
      <c r="O107" s="1647"/>
      <c r="P107" s="1647"/>
      <c r="Q107" s="1171"/>
      <c r="R107" s="1171"/>
      <c r="S107" s="1171"/>
      <c r="T107" s="1171"/>
      <c r="U107" s="1647"/>
      <c r="V107" s="1171"/>
      <c r="W107" s="1171"/>
      <c r="X107" s="555"/>
      <c r="Y107" s="1171"/>
      <c r="Z107" s="1171"/>
      <c r="AA107" s="1171"/>
      <c r="AB107" s="1171"/>
      <c r="AC107" s="1171"/>
      <c r="AD107" s="1643"/>
      <c r="AE107" s="577"/>
      <c r="AF107" s="577"/>
      <c r="AG107" s="577"/>
      <c r="AH107" s="577"/>
      <c r="AI107" s="1652">
        <v>11</v>
      </c>
    </row>
    <row s="1652" customFormat="1" customHeight="1" ht="11.549999999999999">
      <c r="A108" s="998"/>
      <c r="B108" s="1647"/>
      <c r="C108" s="1647"/>
      <c r="D108" s="362"/>
      <c r="J108" s="1652"/>
      <c r="K108" s="1652"/>
      <c r="L108" s="1652"/>
      <c r="N108" s="1171"/>
      <c r="O108" s="1647"/>
      <c r="P108" s="1647"/>
      <c r="Q108" s="1171"/>
      <c r="R108" s="1171"/>
      <c r="S108" s="1171"/>
      <c r="T108" s="1171"/>
      <c r="U108" s="1647"/>
      <c r="V108" s="1171"/>
      <c r="W108" s="1171"/>
      <c r="X108" s="555"/>
      <c r="Y108" s="1171"/>
      <c r="Z108" s="1171"/>
      <c r="AA108" s="1171"/>
      <c r="AB108" s="1171"/>
      <c r="AC108" s="1171"/>
      <c r="AD108" s="1643"/>
      <c r="AE108" s="577"/>
      <c r="AF108" s="577"/>
      <c r="AG108" s="577"/>
      <c r="AH108" s="577"/>
      <c r="AI108" s="1652">
        <v>11</v>
      </c>
    </row>
    <row s="1652" customFormat="1" customHeight="1" ht="11.549999999999999">
      <c r="A109" s="998"/>
      <c r="B109" s="1647"/>
      <c r="C109" s="1647"/>
      <c r="D109" s="362"/>
      <c r="J109" s="1652"/>
      <c r="K109" s="1652"/>
      <c r="L109" s="1652"/>
      <c r="N109" s="1171"/>
      <c r="O109" s="1647"/>
      <c r="P109" s="1647"/>
      <c r="Q109" s="1171"/>
      <c r="R109" s="1171"/>
      <c r="S109" s="1171"/>
      <c r="T109" s="1171"/>
      <c r="U109" s="1647"/>
      <c r="V109" s="1171"/>
      <c r="W109" s="1171"/>
      <c r="X109" s="555"/>
      <c r="Y109" s="1171"/>
      <c r="Z109" s="1171"/>
      <c r="AA109" s="1171"/>
      <c r="AB109" s="1171"/>
      <c r="AC109" s="1171"/>
      <c r="AD109" s="1643"/>
      <c r="AE109" s="577"/>
      <c r="AF109" s="577"/>
      <c r="AG109" s="577"/>
      <c r="AH109" s="577"/>
      <c r="AI109" s="1652">
        <v>11</v>
      </c>
    </row>
    <row s="1652" customFormat="1" customHeight="1" ht="11.549999999999999">
      <c r="A110" s="998"/>
      <c r="B110" s="1647"/>
      <c r="C110" s="1647"/>
      <c r="D110" s="362"/>
      <c r="J110" s="1652"/>
      <c r="K110" s="1652"/>
      <c r="L110" s="1652"/>
      <c r="N110" s="1171"/>
      <c r="O110" s="1647"/>
      <c r="P110" s="1647"/>
      <c r="Q110" s="1171"/>
      <c r="R110" s="1171"/>
      <c r="S110" s="1171"/>
      <c r="T110" s="1171"/>
      <c r="U110" s="1647"/>
      <c r="V110" s="1171"/>
      <c r="W110" s="1171"/>
      <c r="X110" s="555"/>
      <c r="Y110" s="1171"/>
      <c r="Z110" s="1171"/>
      <c r="AA110" s="1171"/>
      <c r="AB110" s="1171"/>
      <c r="AC110" s="1171"/>
      <c r="AD110" s="1643"/>
      <c r="AE110" s="577"/>
      <c r="AF110" s="577"/>
      <c r="AG110" s="577"/>
      <c r="AH110" s="577"/>
      <c r="AI110" s="1652">
        <v>11</v>
      </c>
    </row>
    <row s="1652" customFormat="1" customHeight="1" ht="11.549999999999999">
      <c r="A111" s="998"/>
      <c r="B111" s="1647"/>
      <c r="C111" s="1647"/>
      <c r="D111" s="362"/>
      <c r="J111" s="1652"/>
      <c r="K111" s="1652"/>
      <c r="L111" s="1652"/>
      <c r="N111" s="1171"/>
      <c r="O111" s="1647"/>
      <c r="P111" s="1647"/>
      <c r="Q111" s="1171"/>
      <c r="R111" s="1171"/>
      <c r="S111" s="1171"/>
      <c r="T111" s="1171"/>
      <c r="U111" s="1647"/>
      <c r="V111" s="1171"/>
      <c r="W111" s="1171"/>
      <c r="X111" s="555"/>
      <c r="Y111" s="1171"/>
      <c r="Z111" s="1171"/>
      <c r="AA111" s="1171"/>
      <c r="AB111" s="1171"/>
      <c r="AC111" s="1171"/>
      <c r="AD111" s="1643"/>
      <c r="AE111" s="577"/>
      <c r="AF111" s="577"/>
      <c r="AG111" s="577"/>
      <c r="AH111" s="577"/>
      <c r="AI111" s="1652">
        <v>11</v>
      </c>
    </row>
    <row s="1652" customFormat="1" customHeight="1" ht="11.549999999999999">
      <c r="A112" s="998"/>
      <c r="B112" s="1647"/>
      <c r="C112" s="1647"/>
      <c r="D112" s="362"/>
      <c r="J112" s="1652"/>
      <c r="K112" s="1652"/>
      <c r="L112" s="1652"/>
      <c r="N112" s="1171"/>
      <c r="O112" s="1647"/>
      <c r="P112" s="1647"/>
      <c r="Q112" s="1171"/>
      <c r="R112" s="1171"/>
      <c r="S112" s="1171"/>
      <c r="T112" s="1171"/>
      <c r="U112" s="1647"/>
      <c r="V112" s="1171"/>
      <c r="W112" s="1171"/>
      <c r="X112" s="555"/>
      <c r="Y112" s="1171"/>
      <c r="Z112" s="1171"/>
      <c r="AA112" s="1171"/>
      <c r="AB112" s="1171"/>
      <c r="AC112" s="1171"/>
      <c r="AD112" s="1643"/>
      <c r="AE112" s="577"/>
      <c r="AF112" s="577"/>
      <c r="AG112" s="577"/>
      <c r="AH112" s="577"/>
      <c r="AI112" s="1652">
        <v>11</v>
      </c>
    </row>
    <row s="1652" customFormat="1" customHeight="1" ht="11.549999999999999">
      <c r="A113" s="998"/>
      <c r="B113" s="1647"/>
      <c r="C113" s="1647"/>
      <c r="D113" s="362"/>
      <c r="J113" s="1652"/>
      <c r="K113" s="1652"/>
      <c r="L113" s="1652"/>
      <c r="N113" s="1171"/>
      <c r="O113" s="1647"/>
      <c r="P113" s="1647"/>
      <c r="Q113" s="1171"/>
      <c r="R113" s="1171"/>
      <c r="S113" s="1171"/>
      <c r="T113" s="1171"/>
      <c r="U113" s="1647"/>
      <c r="V113" s="1171"/>
      <c r="W113" s="1171"/>
      <c r="X113" s="555"/>
      <c r="Y113" s="1171"/>
      <c r="Z113" s="1171"/>
      <c r="AA113" s="1171"/>
      <c r="AB113" s="1171"/>
      <c r="AC113" s="1171"/>
      <c r="AD113" s="1643"/>
      <c r="AE113" s="577"/>
      <c r="AF113" s="577"/>
      <c r="AG113" s="577"/>
      <c r="AH113" s="577"/>
      <c r="AI113" s="1652">
        <v>11</v>
      </c>
    </row>
    <row s="1652" customFormat="1" customHeight="1" ht="11.549999999999999">
      <c r="A114" s="998"/>
      <c r="B114" s="1647"/>
      <c r="C114" s="1647"/>
      <c r="D114" s="362"/>
      <c r="J114" s="1652"/>
      <c r="K114" s="1652"/>
      <c r="L114" s="1652"/>
      <c r="N114" s="1171"/>
      <c r="O114" s="1647"/>
      <c r="P114" s="1647"/>
      <c r="Q114" s="1171"/>
      <c r="R114" s="1171"/>
      <c r="S114" s="1171"/>
      <c r="T114" s="1171"/>
      <c r="U114" s="1647"/>
      <c r="V114" s="1171"/>
      <c r="W114" s="1171"/>
      <c r="X114" s="555"/>
      <c r="Y114" s="1171"/>
      <c r="Z114" s="1171"/>
      <c r="AA114" s="1171"/>
      <c r="AB114" s="1171"/>
      <c r="AC114" s="1171"/>
      <c r="AD114" s="1643"/>
      <c r="AE114" s="577"/>
      <c r="AF114" s="577"/>
      <c r="AG114" s="577"/>
      <c r="AH114" s="577"/>
      <c r="AI114" s="1652">
        <v>11</v>
      </c>
    </row>
    <row s="1652" customFormat="1" customHeight="1" ht="11.549999999999999">
      <c r="A115" s="998"/>
      <c r="B115" s="1647"/>
      <c r="C115" s="1647"/>
      <c r="D115" s="362"/>
      <c r="J115" s="1652"/>
      <c r="K115" s="1652"/>
      <c r="L115" s="1652"/>
      <c r="N115" s="1171"/>
      <c r="O115" s="1647"/>
      <c r="P115" s="1647"/>
      <c r="Q115" s="1171"/>
      <c r="R115" s="1171"/>
      <c r="S115" s="1171"/>
      <c r="T115" s="1171"/>
      <c r="U115" s="1647"/>
      <c r="V115" s="1171"/>
      <c r="W115" s="1171"/>
      <c r="X115" s="555"/>
      <c r="Y115" s="1171"/>
      <c r="Z115" s="1171"/>
      <c r="AA115" s="1171"/>
      <c r="AB115" s="1171"/>
      <c r="AC115" s="1171"/>
      <c r="AD115" s="1643"/>
      <c r="AE115" s="577"/>
      <c r="AF115" s="577"/>
      <c r="AG115" s="577"/>
      <c r="AH115" s="577"/>
      <c r="AI115" s="1652">
        <v>11</v>
      </c>
    </row>
    <row s="1652" customFormat="1" customHeight="1" ht="11.549999999999999">
      <c r="A116" s="998"/>
      <c r="B116" s="1647"/>
      <c r="C116" s="1647"/>
      <c r="D116" s="362"/>
      <c r="J116" s="1652"/>
      <c r="K116" s="1652"/>
      <c r="L116" s="1652"/>
      <c r="N116" s="1171"/>
      <c r="O116" s="1647"/>
      <c r="P116" s="1647"/>
      <c r="Q116" s="1171"/>
      <c r="R116" s="1171"/>
      <c r="S116" s="1171"/>
      <c r="T116" s="1171"/>
      <c r="U116" s="1647"/>
      <c r="V116" s="1171"/>
      <c r="W116" s="1171"/>
      <c r="X116" s="555"/>
      <c r="Y116" s="1171"/>
      <c r="Z116" s="1171"/>
      <c r="AA116" s="1171"/>
      <c r="AB116" s="1171"/>
      <c r="AC116" s="1171"/>
      <c r="AD116" s="1643"/>
      <c r="AE116" s="577"/>
      <c r="AF116" s="577"/>
      <c r="AG116" s="577"/>
      <c r="AH116" s="577"/>
      <c r="AI116" s="1652">
        <v>11</v>
      </c>
    </row>
    <row s="1652" customFormat="1" customHeight="1" ht="11.549999999999999">
      <c r="A117" s="998"/>
      <c r="B117" s="1647"/>
      <c r="C117" s="1647"/>
      <c r="D117" s="362"/>
      <c r="J117" s="1652"/>
      <c r="K117" s="1652"/>
      <c r="L117" s="1652"/>
      <c r="N117" s="1171"/>
      <c r="O117" s="1647"/>
      <c r="P117" s="1647"/>
      <c r="Q117" s="1171"/>
      <c r="R117" s="1171"/>
      <c r="S117" s="1171"/>
      <c r="T117" s="1171"/>
      <c r="U117" s="1647"/>
      <c r="V117" s="1171"/>
      <c r="W117" s="1171"/>
      <c r="X117" s="555"/>
      <c r="Y117" s="1171"/>
      <c r="Z117" s="1171"/>
      <c r="AA117" s="1171"/>
      <c r="AB117" s="1171"/>
      <c r="AC117" s="1171"/>
      <c r="AD117" s="1643"/>
      <c r="AE117" s="577"/>
      <c r="AF117" s="577"/>
      <c r="AG117" s="577"/>
      <c r="AH117" s="577"/>
      <c r="AI117" s="1652">
        <v>11</v>
      </c>
    </row>
    <row s="1652" customFormat="1" customHeight="1" ht="11.549999999999999">
      <c r="A118" s="998"/>
      <c r="B118" s="1647"/>
      <c r="C118" s="1647"/>
      <c r="D118" s="362"/>
      <c r="J118" s="1652"/>
      <c r="K118" s="1652"/>
      <c r="L118" s="1652"/>
      <c r="N118" s="1171"/>
      <c r="O118" s="1647"/>
      <c r="P118" s="1647"/>
      <c r="Q118" s="1171"/>
      <c r="R118" s="1171"/>
      <c r="S118" s="1171"/>
      <c r="T118" s="1171"/>
      <c r="U118" s="1647"/>
      <c r="V118" s="1171"/>
      <c r="W118" s="1171"/>
      <c r="X118" s="555"/>
      <c r="Y118" s="1171"/>
      <c r="Z118" s="1171"/>
      <c r="AA118" s="1171"/>
      <c r="AB118" s="1171"/>
      <c r="AC118" s="1171"/>
      <c r="AD118" s="1643"/>
      <c r="AE118" s="577"/>
      <c r="AF118" s="577"/>
      <c r="AG118" s="577"/>
      <c r="AH118" s="577"/>
      <c r="AI118" s="1652">
        <v>11</v>
      </c>
    </row>
    <row s="1652" customFormat="1" customHeight="1" ht="11.549999999999999">
      <c r="A119" s="998"/>
      <c r="B119" s="1647"/>
      <c r="C119" s="1647"/>
      <c r="D119" s="362"/>
      <c r="J119" s="1652"/>
      <c r="K119" s="1652"/>
      <c r="L119" s="1652"/>
      <c r="N119" s="1171"/>
      <c r="O119" s="1647"/>
      <c r="P119" s="1647"/>
      <c r="Q119" s="1171"/>
      <c r="R119" s="1171"/>
      <c r="S119" s="1171"/>
      <c r="T119" s="1171"/>
      <c r="U119" s="1647"/>
      <c r="V119" s="1171"/>
      <c r="W119" s="1171"/>
      <c r="X119" s="555"/>
      <c r="Y119" s="1171"/>
      <c r="Z119" s="1171"/>
      <c r="AA119" s="1171"/>
      <c r="AB119" s="1171"/>
      <c r="AC119" s="1171"/>
      <c r="AD119" s="1643"/>
      <c r="AE119" s="577"/>
      <c r="AF119" s="577"/>
      <c r="AG119" s="577"/>
      <c r="AH119" s="577"/>
      <c r="AI119" s="1652">
        <v>11</v>
      </c>
    </row>
    <row s="1652" customFormat="1" customHeight="1" ht="11.549999999999999">
      <c r="A120" s="998"/>
      <c r="B120" s="1647"/>
      <c r="C120" s="1647"/>
      <c r="D120" s="362"/>
      <c r="J120" s="1652"/>
      <c r="K120" s="1652"/>
      <c r="L120" s="1652"/>
      <c r="N120" s="1171"/>
      <c r="O120" s="1647"/>
      <c r="P120" s="1647"/>
      <c r="Q120" s="1171"/>
      <c r="R120" s="1171"/>
      <c r="S120" s="1171"/>
      <c r="T120" s="1171"/>
      <c r="U120" s="1647"/>
      <c r="V120" s="1171"/>
      <c r="W120" s="1171"/>
      <c r="X120" s="555"/>
      <c r="Y120" s="1171"/>
      <c r="Z120" s="1171"/>
      <c r="AA120" s="1171"/>
      <c r="AB120" s="1171"/>
      <c r="AC120" s="1171"/>
      <c r="AD120" s="1643"/>
      <c r="AE120" s="577"/>
      <c r="AF120" s="577"/>
      <c r="AG120" s="577"/>
      <c r="AH120" s="577"/>
      <c r="AI120" s="1652">
        <v>11</v>
      </c>
    </row>
    <row s="1652" customFormat="1" customHeight="1" ht="11.549999999999999">
      <c r="A121" s="998"/>
      <c r="B121" s="1647"/>
      <c r="C121" s="1647"/>
      <c r="D121" s="362"/>
      <c r="J121" s="1652"/>
      <c r="K121" s="1652"/>
      <c r="L121" s="1652"/>
      <c r="N121" s="1171"/>
      <c r="O121" s="1647"/>
      <c r="P121" s="1647"/>
      <c r="Q121" s="1171"/>
      <c r="R121" s="1171"/>
      <c r="S121" s="1171"/>
      <c r="T121" s="1171"/>
      <c r="U121" s="1647"/>
      <c r="V121" s="1171"/>
      <c r="W121" s="1171"/>
      <c r="X121" s="555"/>
      <c r="Y121" s="1171"/>
      <c r="Z121" s="1171"/>
      <c r="AA121" s="1171"/>
      <c r="AB121" s="1171"/>
      <c r="AC121" s="1171"/>
      <c r="AD121" s="1643"/>
      <c r="AE121" s="577"/>
      <c r="AF121" s="577"/>
      <c r="AG121" s="577"/>
      <c r="AH121" s="577"/>
      <c r="AI121" s="1652">
        <v>11</v>
      </c>
    </row>
    <row s="1652" customFormat="1" customHeight="1" ht="11.549999999999999">
      <c r="A122" s="998"/>
      <c r="B122" s="1647"/>
      <c r="C122" s="1647"/>
      <c r="D122" s="362"/>
      <c r="J122" s="1652"/>
      <c r="K122" s="1652"/>
      <c r="L122" s="1652"/>
      <c r="N122" s="1171"/>
      <c r="O122" s="1647"/>
      <c r="P122" s="1647"/>
      <c r="Q122" s="1171"/>
      <c r="R122" s="1171"/>
      <c r="S122" s="1171"/>
      <c r="T122" s="1171"/>
      <c r="U122" s="1647"/>
      <c r="V122" s="1171"/>
      <c r="W122" s="1171"/>
      <c r="X122" s="555"/>
      <c r="Y122" s="1171"/>
      <c r="Z122" s="1171"/>
      <c r="AA122" s="1171"/>
      <c r="AB122" s="1171"/>
      <c r="AC122" s="1171"/>
      <c r="AD122" s="1643"/>
      <c r="AE122" s="577"/>
      <c r="AF122" s="577"/>
      <c r="AG122" s="577"/>
      <c r="AH122" s="577"/>
      <c r="AI122" s="1652">
        <v>11</v>
      </c>
    </row>
    <row s="1652" customFormat="1" customHeight="1" ht="11.549999999999999">
      <c r="A123" s="998"/>
      <c r="B123" s="1647"/>
      <c r="C123" s="1647"/>
      <c r="D123" s="362"/>
      <c r="J123" s="1652"/>
      <c r="K123" s="1652"/>
      <c r="L123" s="1652"/>
      <c r="N123" s="1171"/>
      <c r="O123" s="1647"/>
      <c r="P123" s="1647"/>
      <c r="Q123" s="1171"/>
      <c r="R123" s="1171"/>
      <c r="S123" s="1171"/>
      <c r="T123" s="1171"/>
      <c r="U123" s="1647"/>
      <c r="V123" s="1171"/>
      <c r="W123" s="1171"/>
      <c r="X123" s="555"/>
      <c r="Y123" s="1171"/>
      <c r="Z123" s="1171"/>
      <c r="AA123" s="1171"/>
      <c r="AB123" s="1171"/>
      <c r="AC123" s="1171"/>
      <c r="AD123" s="1643"/>
      <c r="AE123" s="577"/>
      <c r="AF123" s="577"/>
      <c r="AG123" s="577"/>
      <c r="AH123" s="577"/>
      <c r="AI123" s="1652">
        <v>11</v>
      </c>
    </row>
    <row s="1652" customFormat="1" customHeight="1" ht="11.549999999999999">
      <c r="A124" s="998"/>
      <c r="B124" s="1647"/>
      <c r="C124" s="1647"/>
      <c r="D124" s="362"/>
      <c r="J124" s="1652"/>
      <c r="K124" s="1652"/>
      <c r="L124" s="1652"/>
      <c r="N124" s="1171"/>
      <c r="O124" s="1647"/>
      <c r="P124" s="1647"/>
      <c r="Q124" s="1171"/>
      <c r="R124" s="1171"/>
      <c r="S124" s="1171"/>
      <c r="T124" s="1171"/>
      <c r="U124" s="1647"/>
      <c r="V124" s="1171"/>
      <c r="W124" s="1171"/>
      <c r="X124" s="555"/>
      <c r="Y124" s="1171"/>
      <c r="Z124" s="1171"/>
      <c r="AA124" s="1171"/>
      <c r="AB124" s="1171"/>
      <c r="AC124" s="1171"/>
      <c r="AD124" s="1643"/>
      <c r="AE124" s="577"/>
      <c r="AF124" s="577"/>
      <c r="AG124" s="577"/>
      <c r="AH124" s="577"/>
      <c r="AI124" s="1652">
        <v>11</v>
      </c>
    </row>
    <row s="1652" customFormat="1" customHeight="1" ht="11.549999999999999">
      <c r="A125" s="998"/>
      <c r="B125" s="1647"/>
      <c r="C125" s="1647"/>
      <c r="D125" s="362"/>
      <c r="J125" s="1652"/>
      <c r="K125" s="1652"/>
      <c r="L125" s="1652"/>
      <c r="N125" s="1171"/>
      <c r="O125" s="1647"/>
      <c r="P125" s="1647"/>
      <c r="Q125" s="1171"/>
      <c r="R125" s="1171"/>
      <c r="S125" s="1171"/>
      <c r="T125" s="1171"/>
      <c r="U125" s="1647"/>
      <c r="V125" s="1171"/>
      <c r="W125" s="1171"/>
      <c r="X125" s="555"/>
      <c r="Y125" s="1171"/>
      <c r="Z125" s="1171"/>
      <c r="AA125" s="1171"/>
      <c r="AB125" s="1171"/>
      <c r="AC125" s="1171"/>
      <c r="AD125" s="1643"/>
      <c r="AE125" s="577"/>
      <c r="AF125" s="577"/>
      <c r="AG125" s="577"/>
      <c r="AH125" s="577"/>
      <c r="AI125" s="1652">
        <v>11</v>
      </c>
    </row>
    <row s="1652" customFormat="1" customHeight="1" ht="11.549999999999999">
      <c r="A126" s="998"/>
      <c r="B126" s="1647"/>
      <c r="C126" s="1647"/>
      <c r="D126" s="362"/>
      <c r="J126" s="1652"/>
      <c r="K126" s="1652"/>
      <c r="L126" s="1652"/>
      <c r="N126" s="1171"/>
      <c r="O126" s="1647"/>
      <c r="P126" s="1647"/>
      <c r="Q126" s="1171"/>
      <c r="R126" s="1171"/>
      <c r="S126" s="1171"/>
      <c r="T126" s="1171"/>
      <c r="U126" s="1647"/>
      <c r="V126" s="1171"/>
      <c r="W126" s="1171"/>
      <c r="X126" s="555"/>
      <c r="Y126" s="1171"/>
      <c r="Z126" s="1171"/>
      <c r="AA126" s="1171"/>
      <c r="AB126" s="1171"/>
      <c r="AC126" s="1171"/>
      <c r="AD126" s="1643"/>
      <c r="AE126" s="577"/>
      <c r="AF126" s="577"/>
      <c r="AG126" s="577"/>
      <c r="AH126" s="577"/>
      <c r="AI126" s="1652">
        <v>11</v>
      </c>
    </row>
    <row s="1652" customFormat="1" customHeight="1" ht="11.549999999999999">
      <c r="A127" s="998"/>
      <c r="B127" s="1647"/>
      <c r="C127" s="1647"/>
      <c r="D127" s="362"/>
      <c r="J127" s="1652"/>
      <c r="K127" s="1652"/>
      <c r="L127" s="1652"/>
      <c r="N127" s="1171"/>
      <c r="O127" s="1647"/>
      <c r="P127" s="1647"/>
      <c r="Q127" s="1171"/>
      <c r="R127" s="1171"/>
      <c r="S127" s="1171"/>
      <c r="T127" s="1171"/>
      <c r="U127" s="1647"/>
      <c r="V127" s="1171"/>
      <c r="W127" s="1171"/>
      <c r="X127" s="555"/>
      <c r="Y127" s="1171"/>
      <c r="Z127" s="1171"/>
      <c r="AA127" s="1171"/>
      <c r="AB127" s="1171"/>
      <c r="AC127" s="1171"/>
      <c r="AD127" s="1643"/>
      <c r="AE127" s="577"/>
      <c r="AF127" s="577"/>
      <c r="AG127" s="577"/>
      <c r="AH127" s="577"/>
      <c r="AI127" s="1652">
        <v>11</v>
      </c>
    </row>
    <row s="1652" customFormat="1" customHeight="1" ht="11.549999999999999">
      <c r="A128" s="998"/>
      <c r="B128" s="1647"/>
      <c r="C128" s="1647"/>
      <c r="D128" s="362"/>
      <c r="J128" s="1652"/>
      <c r="K128" s="1652"/>
      <c r="L128" s="1652"/>
      <c r="N128" s="1171"/>
      <c r="O128" s="1647"/>
      <c r="P128" s="1647"/>
      <c r="Q128" s="1171"/>
      <c r="R128" s="1171"/>
      <c r="S128" s="1171"/>
      <c r="T128" s="1171"/>
      <c r="U128" s="1647"/>
      <c r="V128" s="1171"/>
      <c r="W128" s="1171"/>
      <c r="X128" s="555"/>
      <c r="Y128" s="1171"/>
      <c r="Z128" s="1171"/>
      <c r="AA128" s="1171"/>
      <c r="AB128" s="1171"/>
      <c r="AC128" s="1171"/>
      <c r="AD128" s="1643"/>
      <c r="AE128" s="577"/>
      <c r="AF128" s="577"/>
      <c r="AG128" s="577"/>
      <c r="AH128" s="577"/>
      <c r="AI128" s="1652">
        <v>11</v>
      </c>
    </row>
    <row s="1652" customFormat="1" customHeight="1" ht="11.549999999999999">
      <c r="A129" s="998"/>
      <c r="B129" s="1647"/>
      <c r="C129" s="1647"/>
      <c r="D129" s="362"/>
      <c r="J129" s="1652"/>
      <c r="K129" s="1652"/>
      <c r="L129" s="1652"/>
      <c r="N129" s="1171"/>
      <c r="O129" s="1647"/>
      <c r="P129" s="1647"/>
      <c r="Q129" s="1171"/>
      <c r="R129" s="1171"/>
      <c r="S129" s="1171"/>
      <c r="T129" s="1171"/>
      <c r="U129" s="1647"/>
      <c r="V129" s="1171"/>
      <c r="W129" s="1171"/>
      <c r="X129" s="555"/>
      <c r="Y129" s="1171"/>
      <c r="Z129" s="1171"/>
      <c r="AA129" s="1171"/>
      <c r="AB129" s="1171"/>
      <c r="AC129" s="1171"/>
      <c r="AD129" s="1643"/>
      <c r="AE129" s="577"/>
      <c r="AF129" s="577"/>
      <c r="AG129" s="577"/>
      <c r="AH129" s="577"/>
      <c r="AI129" s="1652">
        <v>11</v>
      </c>
    </row>
    <row s="1652" customFormat="1" customHeight="1" ht="11.549999999999999">
      <c r="A130" s="998"/>
      <c r="B130" s="1647"/>
      <c r="C130" s="1647"/>
      <c r="D130" s="362"/>
      <c r="J130" s="1652"/>
      <c r="K130" s="1652"/>
      <c r="L130" s="1652"/>
      <c r="N130" s="1171"/>
      <c r="O130" s="1647"/>
      <c r="P130" s="1647"/>
      <c r="Q130" s="1171"/>
      <c r="R130" s="1171"/>
      <c r="S130" s="1171"/>
      <c r="T130" s="1171"/>
      <c r="U130" s="1647"/>
      <c r="V130" s="1171"/>
      <c r="W130" s="1171"/>
      <c r="X130" s="555"/>
      <c r="Y130" s="1171"/>
      <c r="Z130" s="1171"/>
      <c r="AA130" s="1171"/>
      <c r="AB130" s="1171"/>
      <c r="AC130" s="1171"/>
      <c r="AD130" s="1643"/>
      <c r="AE130" s="577"/>
      <c r="AF130" s="577"/>
      <c r="AG130" s="577"/>
      <c r="AH130" s="577"/>
      <c r="AI130" s="1652">
        <v>11</v>
      </c>
    </row>
    <row s="1652" customFormat="1" customHeight="1" ht="11.549999999999999">
      <c r="A131" s="998"/>
      <c r="B131" s="1647"/>
      <c r="C131" s="1647"/>
      <c r="D131" s="362"/>
      <c r="J131" s="1652"/>
      <c r="K131" s="1652"/>
      <c r="L131" s="1652"/>
      <c r="N131" s="1171"/>
      <c r="O131" s="1647"/>
      <c r="P131" s="1647"/>
      <c r="Q131" s="1171"/>
      <c r="R131" s="1171"/>
      <c r="S131" s="1171"/>
      <c r="T131" s="1171"/>
      <c r="U131" s="1647"/>
      <c r="V131" s="1171"/>
      <c r="W131" s="1171"/>
      <c r="X131" s="555"/>
      <c r="Y131" s="1171"/>
      <c r="Z131" s="1171"/>
      <c r="AA131" s="1171"/>
      <c r="AB131" s="1171"/>
      <c r="AC131" s="1171"/>
      <c r="AD131" s="1643"/>
      <c r="AE131" s="577"/>
      <c r="AF131" s="577"/>
      <c r="AG131" s="577"/>
      <c r="AH131" s="577"/>
      <c r="AI131" s="1652">
        <v>11</v>
      </c>
    </row>
    <row s="1652" customFormat="1" customHeight="1" ht="11.549999999999999">
      <c r="A132" s="998"/>
      <c r="B132" s="1647"/>
      <c r="C132" s="1647"/>
      <c r="D132" s="362"/>
      <c r="J132" s="1652"/>
      <c r="K132" s="1652"/>
      <c r="L132" s="1652"/>
      <c r="N132" s="1171"/>
      <c r="O132" s="1647"/>
      <c r="P132" s="1647"/>
      <c r="Q132" s="1171"/>
      <c r="R132" s="1171"/>
      <c r="S132" s="1171"/>
      <c r="T132" s="1171"/>
      <c r="U132" s="1647"/>
      <c r="V132" s="1171"/>
      <c r="W132" s="1171"/>
      <c r="X132" s="555"/>
      <c r="Y132" s="1171"/>
      <c r="Z132" s="1171"/>
      <c r="AA132" s="1171"/>
      <c r="AB132" s="1171"/>
      <c r="AC132" s="1171"/>
      <c r="AD132" s="1643"/>
      <c r="AE132" s="577"/>
      <c r="AF132" s="577"/>
      <c r="AG132" s="577"/>
      <c r="AH132" s="577"/>
      <c r="AI132" s="1652">
        <v>11</v>
      </c>
    </row>
    <row s="1652" customFormat="1" customHeight="1" ht="11.549999999999999">
      <c r="A133" s="998"/>
      <c r="B133" s="1647"/>
      <c r="C133" s="1647"/>
      <c r="D133" s="362"/>
      <c r="J133" s="1652"/>
      <c r="K133" s="1652"/>
      <c r="L133" s="1652"/>
      <c r="N133" s="1171"/>
      <c r="O133" s="1647"/>
      <c r="P133" s="1647"/>
      <c r="Q133" s="1171"/>
      <c r="R133" s="1171"/>
      <c r="S133" s="1171"/>
      <c r="T133" s="1171"/>
      <c r="U133" s="1647"/>
      <c r="V133" s="1171"/>
      <c r="W133" s="1171"/>
      <c r="X133" s="555"/>
      <c r="Y133" s="1171"/>
      <c r="Z133" s="1171"/>
      <c r="AA133" s="1171"/>
      <c r="AB133" s="1171"/>
      <c r="AC133" s="1171"/>
      <c r="AD133" s="1643"/>
      <c r="AE133" s="577"/>
      <c r="AF133" s="577"/>
      <c r="AG133" s="577"/>
      <c r="AH133" s="577"/>
      <c r="AI133" s="1652">
        <v>11</v>
      </c>
    </row>
    <row s="1652" customFormat="1" customHeight="1" ht="11.549999999999999">
      <c r="A134" s="998"/>
      <c r="B134" s="1647"/>
      <c r="C134" s="1647"/>
      <c r="D134" s="362"/>
      <c r="J134" s="1652"/>
      <c r="K134" s="1652"/>
      <c r="L134" s="1652"/>
      <c r="N134" s="1171"/>
      <c r="O134" s="1647"/>
      <c r="P134" s="1647"/>
      <c r="Q134" s="1171"/>
      <c r="R134" s="1171"/>
      <c r="S134" s="1171"/>
      <c r="T134" s="1171"/>
      <c r="U134" s="1647"/>
      <c r="V134" s="1171"/>
      <c r="W134" s="1171"/>
      <c r="X134" s="555"/>
      <c r="Y134" s="1171"/>
      <c r="Z134" s="1171"/>
      <c r="AA134" s="1171"/>
      <c r="AB134" s="1171"/>
      <c r="AC134" s="1171"/>
      <c r="AD134" s="1643"/>
      <c r="AE134" s="577"/>
      <c r="AF134" s="577"/>
      <c r="AG134" s="577"/>
      <c r="AH134" s="577"/>
      <c r="AI134" s="1652">
        <v>11</v>
      </c>
    </row>
    <row s="1652" customFormat="1" customHeight="1" ht="11.549999999999999">
      <c r="A135" s="998"/>
      <c r="B135" s="1647"/>
      <c r="C135" s="1647"/>
      <c r="D135" s="362"/>
      <c r="J135" s="1652"/>
      <c r="K135" s="1652"/>
      <c r="L135" s="1652"/>
      <c r="N135" s="1171"/>
      <c r="O135" s="1647"/>
      <c r="P135" s="1647"/>
      <c r="Q135" s="1171"/>
      <c r="R135" s="1171"/>
      <c r="S135" s="1171"/>
      <c r="T135" s="1171"/>
      <c r="U135" s="1647"/>
      <c r="V135" s="1171"/>
      <c r="W135" s="1171"/>
      <c r="X135" s="555"/>
      <c r="Y135" s="1171"/>
      <c r="Z135" s="1171"/>
      <c r="AA135" s="1171"/>
      <c r="AB135" s="1171"/>
      <c r="AC135" s="1171"/>
      <c r="AD135" s="1643"/>
      <c r="AE135" s="577"/>
      <c r="AF135" s="577"/>
      <c r="AG135" s="577"/>
      <c r="AH135" s="577"/>
      <c r="AI135" s="1652">
        <v>11</v>
      </c>
    </row>
    <row s="1652" customFormat="1" customHeight="1" ht="11.549999999999999">
      <c r="A136" s="998"/>
      <c r="B136" s="1647"/>
      <c r="C136" s="1647"/>
      <c r="D136" s="362"/>
      <c r="J136" s="1652"/>
      <c r="K136" s="1652"/>
      <c r="L136" s="1652"/>
      <c r="N136" s="1171"/>
      <c r="O136" s="1647"/>
      <c r="P136" s="1647"/>
      <c r="Q136" s="1171"/>
      <c r="R136" s="1171"/>
      <c r="S136" s="1171"/>
      <c r="T136" s="1171"/>
      <c r="U136" s="1647"/>
      <c r="V136" s="1171"/>
      <c r="W136" s="1171"/>
      <c r="X136" s="555"/>
      <c r="Y136" s="1171"/>
      <c r="Z136" s="1171"/>
      <c r="AA136" s="1171"/>
      <c r="AB136" s="1171"/>
      <c r="AC136" s="1171"/>
      <c r="AD136" s="1643"/>
      <c r="AE136" s="577"/>
      <c r="AF136" s="577"/>
      <c r="AG136" s="577"/>
      <c r="AH136" s="577"/>
      <c r="AI136" s="1652">
        <v>11</v>
      </c>
    </row>
    <row s="1652" customFormat="1" customHeight="1" ht="11.549999999999999">
      <c r="A137" s="998"/>
      <c r="B137" s="1647"/>
      <c r="C137" s="1647"/>
      <c r="D137" s="362"/>
      <c r="J137" s="1652"/>
      <c r="K137" s="1652"/>
      <c r="L137" s="1652"/>
      <c r="N137" s="1171"/>
      <c r="O137" s="1647"/>
      <c r="P137" s="1647"/>
      <c r="Q137" s="1171"/>
      <c r="R137" s="1171"/>
      <c r="S137" s="1171"/>
      <c r="T137" s="1171"/>
      <c r="U137" s="1647"/>
      <c r="V137" s="1171"/>
      <c r="W137" s="1171"/>
      <c r="X137" s="555"/>
      <c r="Y137" s="1171"/>
      <c r="Z137" s="1171"/>
      <c r="AA137" s="1171"/>
      <c r="AB137" s="1171"/>
      <c r="AC137" s="1171"/>
      <c r="AD137" s="1643"/>
      <c r="AE137" s="577"/>
      <c r="AF137" s="577"/>
      <c r="AG137" s="577"/>
      <c r="AH137" s="577"/>
      <c r="AI137" s="1652">
        <v>11</v>
      </c>
    </row>
    <row s="1652" customFormat="1" customHeight="1" ht="11.549999999999999">
      <c r="A138" s="998"/>
      <c r="B138" s="1647"/>
      <c r="C138" s="1647"/>
      <c r="D138" s="362"/>
      <c r="J138" s="1652"/>
      <c r="K138" s="1652"/>
      <c r="L138" s="1652"/>
      <c r="N138" s="1171"/>
      <c r="O138" s="1647"/>
      <c r="P138" s="1647"/>
      <c r="Q138" s="1171"/>
      <c r="R138" s="1171"/>
      <c r="S138" s="1171"/>
      <c r="T138" s="1171"/>
      <c r="U138" s="1647"/>
      <c r="V138" s="1171"/>
      <c r="W138" s="1171"/>
      <c r="X138" s="555"/>
      <c r="Y138" s="1171"/>
      <c r="Z138" s="1171"/>
      <c r="AA138" s="1171"/>
      <c r="AB138" s="1171"/>
      <c r="AC138" s="1171"/>
      <c r="AD138" s="1643"/>
      <c r="AE138" s="577"/>
      <c r="AF138" s="577"/>
      <c r="AG138" s="577"/>
      <c r="AH138" s="577"/>
      <c r="AI138" s="1652">
        <v>11</v>
      </c>
    </row>
    <row s="1652" customFormat="1" customHeight="1" ht="11.549999999999999">
      <c r="A139" s="998"/>
      <c r="B139" s="1647"/>
      <c r="C139" s="1647"/>
      <c r="D139" s="362"/>
      <c r="J139" s="1652"/>
      <c r="K139" s="1652"/>
      <c r="L139" s="1652"/>
      <c r="N139" s="1171"/>
      <c r="O139" s="1647"/>
      <c r="P139" s="1647"/>
      <c r="Q139" s="1171"/>
      <c r="R139" s="1171"/>
      <c r="S139" s="1171"/>
      <c r="T139" s="1171"/>
      <c r="U139" s="1647"/>
      <c r="V139" s="1171"/>
      <c r="W139" s="1171"/>
      <c r="X139" s="555"/>
      <c r="Y139" s="1171"/>
      <c r="Z139" s="1171"/>
      <c r="AA139" s="1171"/>
      <c r="AB139" s="1171"/>
      <c r="AC139" s="1171"/>
      <c r="AD139" s="1643"/>
      <c r="AE139" s="577"/>
      <c r="AF139" s="577"/>
      <c r="AG139" s="577"/>
      <c r="AH139" s="577"/>
      <c r="AI139" s="1652">
        <v>11</v>
      </c>
    </row>
    <row s="1652" customFormat="1" customHeight="1" ht="11.549999999999999">
      <c r="A140" s="998"/>
      <c r="B140" s="1647"/>
      <c r="C140" s="1647"/>
      <c r="D140" s="362"/>
      <c r="J140" s="1652"/>
      <c r="K140" s="1652"/>
      <c r="L140" s="1652"/>
      <c r="N140" s="1171"/>
      <c r="O140" s="1647"/>
      <c r="P140" s="1647"/>
      <c r="Q140" s="1171"/>
      <c r="R140" s="1171"/>
      <c r="S140" s="1171"/>
      <c r="T140" s="1171"/>
      <c r="U140" s="1647"/>
      <c r="V140" s="1171"/>
      <c r="W140" s="1171"/>
      <c r="X140" s="555"/>
      <c r="Y140" s="1171"/>
      <c r="Z140" s="1171"/>
      <c r="AA140" s="1171"/>
      <c r="AB140" s="1171"/>
      <c r="AC140" s="1171"/>
      <c r="AD140" s="1643"/>
      <c r="AE140" s="577"/>
      <c r="AF140" s="577"/>
      <c r="AG140" s="577"/>
      <c r="AH140" s="577"/>
      <c r="AI140" s="1652">
        <v>11</v>
      </c>
    </row>
    <row s="1652" customFormat="1" customHeight="1" ht="11.549999999999999">
      <c r="A141" s="998"/>
      <c r="B141" s="1647"/>
      <c r="C141" s="1647"/>
      <c r="D141" s="362"/>
      <c r="J141" s="1652"/>
      <c r="K141" s="1652"/>
      <c r="L141" s="1652"/>
      <c r="N141" s="1171"/>
      <c r="O141" s="1647"/>
      <c r="P141" s="1647"/>
      <c r="Q141" s="1171"/>
      <c r="R141" s="1171"/>
      <c r="S141" s="1171"/>
      <c r="T141" s="1171"/>
      <c r="U141" s="1647"/>
      <c r="V141" s="1171"/>
      <c r="W141" s="1171"/>
      <c r="X141" s="555"/>
      <c r="Y141" s="1171"/>
      <c r="Z141" s="1171"/>
      <c r="AA141" s="1171"/>
      <c r="AB141" s="1171"/>
      <c r="AC141" s="1171"/>
      <c r="AD141" s="1643"/>
      <c r="AE141" s="577"/>
      <c r="AF141" s="577"/>
      <c r="AG141" s="577"/>
      <c r="AH141" s="577"/>
      <c r="AI141" s="1652">
        <v>11</v>
      </c>
    </row>
    <row s="1652" customFormat="1" customHeight="1" ht="11.549999999999999">
      <c r="A142" s="998"/>
      <c r="B142" s="1647"/>
      <c r="C142" s="1647"/>
      <c r="D142" s="362"/>
      <c r="J142" s="1652"/>
      <c r="K142" s="1652"/>
      <c r="L142" s="1652"/>
      <c r="N142" s="1171"/>
      <c r="O142" s="1647"/>
      <c r="P142" s="1647"/>
      <c r="Q142" s="1171"/>
      <c r="R142" s="1171"/>
      <c r="S142" s="1171"/>
      <c r="T142" s="1171"/>
      <c r="U142" s="1647"/>
      <c r="V142" s="1171"/>
      <c r="W142" s="1171"/>
      <c r="X142" s="555"/>
      <c r="Y142" s="1171"/>
      <c r="Z142" s="1171"/>
      <c r="AA142" s="1171"/>
      <c r="AB142" s="1171"/>
      <c r="AC142" s="1171"/>
      <c r="AD142" s="1643"/>
      <c r="AE142" s="577"/>
      <c r="AF142" s="577"/>
      <c r="AG142" s="577"/>
      <c r="AH142" s="577"/>
      <c r="AI142" s="1652">
        <v>11</v>
      </c>
    </row>
    <row s="1652" customFormat="1" customHeight="1" ht="11.549999999999999">
      <c r="A143" s="998"/>
      <c r="B143" s="1647"/>
      <c r="C143" s="1647"/>
      <c r="D143" s="362"/>
      <c r="J143" s="1652"/>
      <c r="K143" s="1652"/>
      <c r="L143" s="1652"/>
      <c r="N143" s="1171"/>
      <c r="O143" s="1647"/>
      <c r="P143" s="1647"/>
      <c r="Q143" s="1171"/>
      <c r="R143" s="1171"/>
      <c r="S143" s="1171"/>
      <c r="T143" s="1171"/>
      <c r="U143" s="1647"/>
      <c r="V143" s="1171"/>
      <c r="W143" s="1171"/>
      <c r="X143" s="555"/>
      <c r="Y143" s="1171"/>
      <c r="Z143" s="1171"/>
      <c r="AA143" s="1171"/>
      <c r="AB143" s="1171"/>
      <c r="AC143" s="1171"/>
      <c r="AD143" s="1643"/>
      <c r="AE143" s="577"/>
      <c r="AF143" s="577"/>
      <c r="AG143" s="577"/>
      <c r="AH143" s="577"/>
      <c r="AI143" s="1652">
        <v>11</v>
      </c>
    </row>
    <row s="1652" customFormat="1" customHeight="1" ht="11.549999999999999">
      <c r="A144" s="998"/>
      <c r="B144" s="1647"/>
      <c r="C144" s="1647"/>
      <c r="D144" s="362"/>
      <c r="J144" s="1652"/>
      <c r="K144" s="1652"/>
      <c r="L144" s="1652"/>
      <c r="N144" s="1171"/>
      <c r="O144" s="1647"/>
      <c r="P144" s="1647"/>
      <c r="Q144" s="1171"/>
      <c r="R144" s="1171"/>
      <c r="S144" s="1171"/>
      <c r="T144" s="1171"/>
      <c r="U144" s="1647"/>
      <c r="V144" s="1171"/>
      <c r="W144" s="1171"/>
      <c r="X144" s="555"/>
      <c r="Y144" s="1171"/>
      <c r="Z144" s="1171"/>
      <c r="AA144" s="1171"/>
      <c r="AB144" s="1171"/>
      <c r="AC144" s="1171"/>
      <c r="AD144" s="1643"/>
      <c r="AE144" s="577"/>
      <c r="AF144" s="577"/>
      <c r="AG144" s="577"/>
      <c r="AH144" s="577"/>
      <c r="AI144" s="1652">
        <v>11</v>
      </c>
    </row>
    <row s="1652" customFormat="1" customHeight="1" ht="11.549999999999999">
      <c r="A145" s="998"/>
      <c r="B145" s="1647"/>
      <c r="C145" s="1647"/>
      <c r="D145" s="362"/>
      <c r="J145" s="1652"/>
      <c r="K145" s="1652"/>
      <c r="L145" s="1652"/>
      <c r="N145" s="1171"/>
      <c r="O145" s="1647"/>
      <c r="P145" s="1647"/>
      <c r="Q145" s="1171"/>
      <c r="R145" s="1171"/>
      <c r="S145" s="1171"/>
      <c r="T145" s="1171"/>
      <c r="U145" s="1647"/>
      <c r="V145" s="1171"/>
      <c r="W145" s="1171"/>
      <c r="X145" s="555"/>
      <c r="Y145" s="1171"/>
      <c r="Z145" s="1171"/>
      <c r="AA145" s="1171"/>
      <c r="AB145" s="1171"/>
      <c r="AC145" s="1171"/>
      <c r="AD145" s="1643"/>
      <c r="AE145" s="577"/>
      <c r="AF145" s="577"/>
      <c r="AG145" s="577"/>
      <c r="AH145" s="577"/>
      <c r="AI145" s="1652">
        <v>11</v>
      </c>
    </row>
    <row s="1652" customFormat="1" customHeight="1" ht="11.549999999999999">
      <c r="A146" s="998"/>
      <c r="B146" s="1647"/>
      <c r="C146" s="1647"/>
      <c r="D146" s="362"/>
      <c r="J146" s="1652"/>
      <c r="K146" s="1652"/>
      <c r="L146" s="1652"/>
      <c r="N146" s="1171"/>
      <c r="O146" s="1647"/>
      <c r="P146" s="1647"/>
      <c r="Q146" s="1171"/>
      <c r="R146" s="1171"/>
      <c r="S146" s="1171"/>
      <c r="T146" s="1171"/>
      <c r="U146" s="1647"/>
      <c r="V146" s="1171"/>
      <c r="W146" s="1171"/>
      <c r="X146" s="555"/>
      <c r="Y146" s="1171"/>
      <c r="Z146" s="1171"/>
      <c r="AA146" s="1171"/>
      <c r="AB146" s="1171"/>
      <c r="AC146" s="1171"/>
      <c r="AD146" s="1643"/>
      <c r="AE146" s="577"/>
      <c r="AF146" s="577"/>
      <c r="AG146" s="577"/>
      <c r="AH146" s="577"/>
      <c r="AI146" s="1652">
        <v>11</v>
      </c>
    </row>
    <row s="1652" customFormat="1" customHeight="1" ht="11.549999999999999">
      <c r="A147" s="998"/>
      <c r="B147" s="1647"/>
      <c r="C147" s="1647"/>
      <c r="D147" s="362"/>
      <c r="J147" s="1652"/>
      <c r="K147" s="1652"/>
      <c r="L147" s="1652"/>
      <c r="N147" s="1171"/>
      <c r="O147" s="1647"/>
      <c r="P147" s="1647"/>
      <c r="Q147" s="1171"/>
      <c r="R147" s="1171"/>
      <c r="S147" s="1171"/>
      <c r="T147" s="1171"/>
      <c r="U147" s="1647"/>
      <c r="V147" s="1171"/>
      <c r="W147" s="1171"/>
      <c r="X147" s="555"/>
      <c r="Y147" s="1171"/>
      <c r="Z147" s="1171"/>
      <c r="AA147" s="1171"/>
      <c r="AB147" s="1171"/>
      <c r="AC147" s="1171"/>
      <c r="AD147" s="1643"/>
      <c r="AE147" s="577"/>
      <c r="AF147" s="577"/>
      <c r="AG147" s="577"/>
      <c r="AH147" s="577"/>
      <c r="AI147" s="1652">
        <v>11</v>
      </c>
    </row>
    <row s="1652" customFormat="1" customHeight="1" ht="11.549999999999999">
      <c r="A148" s="998"/>
      <c r="B148" s="1647"/>
      <c r="C148" s="1647"/>
      <c r="D148" s="362"/>
      <c r="J148" s="1652"/>
      <c r="K148" s="1652"/>
      <c r="L148" s="1652"/>
      <c r="N148" s="1171"/>
      <c r="O148" s="1647"/>
      <c r="P148" s="1647"/>
      <c r="Q148" s="1171"/>
      <c r="R148" s="1171"/>
      <c r="S148" s="1171"/>
      <c r="T148" s="1171"/>
      <c r="U148" s="1647"/>
      <c r="V148" s="1171"/>
      <c r="W148" s="1171"/>
      <c r="X148" s="555"/>
      <c r="Y148" s="1171"/>
      <c r="Z148" s="1171"/>
      <c r="AA148" s="1171"/>
      <c r="AB148" s="1171"/>
      <c r="AC148" s="1171"/>
      <c r="AD148" s="1643"/>
      <c r="AE148" s="577"/>
      <c r="AF148" s="577"/>
      <c r="AG148" s="577"/>
      <c r="AH148" s="577"/>
      <c r="AI148" s="1652">
        <v>11</v>
      </c>
    </row>
    <row s="1652" customFormat="1" customHeight="1" ht="11.549999999999999">
      <c r="A149" s="998"/>
      <c r="B149" s="1647"/>
      <c r="C149" s="1647"/>
      <c r="D149" s="362"/>
      <c r="J149" s="1652"/>
      <c r="K149" s="1652"/>
      <c r="L149" s="1652"/>
      <c r="N149" s="1171"/>
      <c r="O149" s="1647"/>
      <c r="P149" s="1647"/>
      <c r="Q149" s="1171"/>
      <c r="R149" s="1171"/>
      <c r="S149" s="1171"/>
      <c r="T149" s="1171"/>
      <c r="U149" s="1647"/>
      <c r="V149" s="1171"/>
      <c r="W149" s="1171"/>
      <c r="X149" s="555"/>
      <c r="Y149" s="1171"/>
      <c r="Z149" s="1171"/>
      <c r="AA149" s="1171"/>
      <c r="AB149" s="1171"/>
      <c r="AC149" s="1171"/>
      <c r="AD149" s="1643"/>
      <c r="AE149" s="577"/>
      <c r="AF149" s="577"/>
      <c r="AG149" s="577"/>
      <c r="AH149" s="577"/>
      <c r="AI149" s="1652">
        <v>11</v>
      </c>
    </row>
    <row s="1652" customFormat="1" customHeight="1" ht="11.549999999999999">
      <c r="A150" s="998"/>
      <c r="B150" s="1647"/>
      <c r="C150" s="1647"/>
      <c r="D150" s="362"/>
      <c r="J150" s="1652"/>
      <c r="K150" s="1652"/>
      <c r="L150" s="1652"/>
      <c r="N150" s="1171"/>
      <c r="O150" s="1647"/>
      <c r="P150" s="1647"/>
      <c r="Q150" s="1171"/>
      <c r="R150" s="1171"/>
      <c r="S150" s="1171"/>
      <c r="T150" s="1171"/>
      <c r="U150" s="1647"/>
      <c r="V150" s="1171"/>
      <c r="W150" s="1171"/>
      <c r="X150" s="555"/>
      <c r="Y150" s="1171"/>
      <c r="Z150" s="1171"/>
      <c r="AA150" s="1171"/>
      <c r="AB150" s="1171"/>
      <c r="AC150" s="1171"/>
      <c r="AD150" s="1643"/>
      <c r="AE150" s="577"/>
      <c r="AF150" s="577"/>
      <c r="AG150" s="577"/>
      <c r="AH150" s="577"/>
      <c r="AI150" s="1652">
        <v>11</v>
      </c>
    </row>
    <row s="1652" customFormat="1" customHeight="1" ht="11.549999999999999">
      <c r="A151" s="998"/>
      <c r="B151" s="1647"/>
      <c r="C151" s="1647"/>
      <c r="D151" s="362"/>
      <c r="J151" s="1652"/>
      <c r="K151" s="1652"/>
      <c r="L151" s="1652"/>
      <c r="N151" s="1171"/>
      <c r="O151" s="1647"/>
      <c r="P151" s="1647"/>
      <c r="Q151" s="1171"/>
      <c r="R151" s="1171"/>
      <c r="S151" s="1171"/>
      <c r="T151" s="1171"/>
      <c r="U151" s="1647"/>
      <c r="V151" s="1171"/>
      <c r="W151" s="1171"/>
      <c r="X151" s="555"/>
      <c r="Y151" s="1171"/>
      <c r="Z151" s="1171"/>
      <c r="AA151" s="1171"/>
      <c r="AB151" s="1171"/>
      <c r="AC151" s="1171"/>
      <c r="AD151" s="1643"/>
      <c r="AE151" s="577"/>
      <c r="AF151" s="577"/>
      <c r="AG151" s="577"/>
      <c r="AH151" s="577"/>
      <c r="AI151" s="1652">
        <v>11</v>
      </c>
    </row>
    <row s="1652" customFormat="1" customHeight="1" ht="11.549999999999999">
      <c r="A152" s="998"/>
      <c r="B152" s="1647"/>
      <c r="C152" s="1647"/>
      <c r="D152" s="362"/>
      <c r="J152" s="1652"/>
      <c r="K152" s="1652"/>
      <c r="L152" s="1652"/>
      <c r="N152" s="1171"/>
      <c r="O152" s="1647"/>
      <c r="P152" s="1647"/>
      <c r="Q152" s="1171"/>
      <c r="R152" s="1171"/>
      <c r="S152" s="1171"/>
      <c r="T152" s="1171"/>
      <c r="U152" s="1647"/>
      <c r="V152" s="1171"/>
      <c r="W152" s="1171"/>
      <c r="X152" s="555"/>
      <c r="Y152" s="1171"/>
      <c r="Z152" s="1171"/>
      <c r="AA152" s="1171"/>
      <c r="AB152" s="1171"/>
      <c r="AC152" s="1171"/>
      <c r="AD152" s="1643"/>
      <c r="AE152" s="577"/>
      <c r="AF152" s="577"/>
      <c r="AG152" s="577"/>
      <c r="AH152" s="577"/>
      <c r="AI152" s="1652">
        <v>11</v>
      </c>
    </row>
    <row s="1652" customFormat="1" customHeight="1" ht="11.549999999999999">
      <c r="A153" s="998"/>
      <c r="B153" s="1647"/>
      <c r="C153" s="1647"/>
      <c r="D153" s="362"/>
      <c r="J153" s="1652"/>
      <c r="K153" s="1652"/>
      <c r="L153" s="1652"/>
      <c r="N153" s="1171"/>
      <c r="O153" s="1647"/>
      <c r="P153" s="1647"/>
      <c r="Q153" s="1171"/>
      <c r="R153" s="1171"/>
      <c r="S153" s="1171"/>
      <c r="T153" s="1171"/>
      <c r="U153" s="1647"/>
      <c r="V153" s="1171"/>
      <c r="W153" s="1171"/>
      <c r="X153" s="555"/>
      <c r="Y153" s="1171"/>
      <c r="Z153" s="1171"/>
      <c r="AA153" s="1171"/>
      <c r="AB153" s="1171"/>
      <c r="AC153" s="1171"/>
      <c r="AD153" s="1643"/>
      <c r="AE153" s="577"/>
      <c r="AF153" s="577"/>
      <c r="AG153" s="577"/>
      <c r="AH153" s="577"/>
      <c r="AI153" s="1652">
        <v>11</v>
      </c>
    </row>
    <row s="1652" customFormat="1" customHeight="1" ht="11.549999999999999">
      <c r="A154" s="998"/>
      <c r="B154" s="1647"/>
      <c r="C154" s="1647"/>
      <c r="D154" s="362"/>
      <c r="J154" s="1652"/>
      <c r="K154" s="1652"/>
      <c r="L154" s="1652"/>
      <c r="N154" s="1171"/>
      <c r="O154" s="1647"/>
      <c r="P154" s="1647"/>
      <c r="Q154" s="1171"/>
      <c r="R154" s="1171"/>
      <c r="S154" s="1171"/>
      <c r="T154" s="1171"/>
      <c r="U154" s="1647"/>
      <c r="V154" s="1171"/>
      <c r="W154" s="1171"/>
      <c r="X154" s="555"/>
      <c r="Y154" s="1171"/>
      <c r="Z154" s="1171"/>
      <c r="AA154" s="1171"/>
      <c r="AB154" s="1171"/>
      <c r="AC154" s="1171"/>
      <c r="AD154" s="1643"/>
      <c r="AE154" s="577"/>
      <c r="AF154" s="577"/>
      <c r="AG154" s="577"/>
      <c r="AH154" s="577"/>
      <c r="AI154" s="1652">
        <v>11</v>
      </c>
    </row>
    <row s="1652" customFormat="1" customHeight="1" ht="11.549999999999999">
      <c r="A155" s="998"/>
      <c r="B155" s="1647"/>
      <c r="C155" s="1647"/>
      <c r="D155" s="362"/>
      <c r="J155" s="1652"/>
      <c r="K155" s="1652"/>
      <c r="L155" s="1652"/>
      <c r="N155" s="1171"/>
      <c r="O155" s="1647"/>
      <c r="P155" s="1647"/>
      <c r="Q155" s="1171"/>
      <c r="R155" s="1171"/>
      <c r="S155" s="1171"/>
      <c r="T155" s="1171"/>
      <c r="U155" s="1647"/>
      <c r="V155" s="1171"/>
      <c r="W155" s="1171"/>
      <c r="X155" s="555"/>
      <c r="Y155" s="1171"/>
      <c r="Z155" s="1171"/>
      <c r="AA155" s="1171"/>
      <c r="AB155" s="1171"/>
      <c r="AC155" s="1171"/>
      <c r="AD155" s="1643"/>
      <c r="AE155" s="577"/>
      <c r="AF155" s="577"/>
      <c r="AG155" s="577"/>
      <c r="AH155" s="577"/>
      <c r="AI155" s="1652">
        <v>11</v>
      </c>
    </row>
    <row s="1652" customFormat="1" customHeight="1" ht="11.549999999999999">
      <c r="A156" s="998"/>
      <c r="B156" s="1647"/>
      <c r="C156" s="1647"/>
      <c r="D156" s="362"/>
      <c r="J156" s="1652"/>
      <c r="K156" s="1652"/>
      <c r="L156" s="1652"/>
      <c r="N156" s="1171"/>
      <c r="O156" s="1647"/>
      <c r="P156" s="1647"/>
      <c r="Q156" s="1171"/>
      <c r="R156" s="1171"/>
      <c r="S156" s="1171"/>
      <c r="T156" s="1171"/>
      <c r="U156" s="1647"/>
      <c r="V156" s="1171"/>
      <c r="W156" s="1171"/>
      <c r="X156" s="555"/>
      <c r="Y156" s="1171"/>
      <c r="Z156" s="1171"/>
      <c r="AA156" s="1171"/>
      <c r="AB156" s="1171"/>
      <c r="AC156" s="1171"/>
      <c r="AD156" s="1643"/>
      <c r="AE156" s="577"/>
      <c r="AF156" s="577"/>
      <c r="AG156" s="577"/>
      <c r="AH156" s="577"/>
      <c r="AI156" s="1652">
        <v>11</v>
      </c>
    </row>
    <row s="1652" customFormat="1" customHeight="1" ht="11.549999999999999">
      <c r="A157" s="998"/>
      <c r="B157" s="1647"/>
      <c r="C157" s="1647"/>
      <c r="D157" s="362"/>
      <c r="J157" s="1652"/>
      <c r="K157" s="1652"/>
      <c r="L157" s="1652"/>
      <c r="N157" s="1171"/>
      <c r="O157" s="1647"/>
      <c r="P157" s="1647"/>
      <c r="Q157" s="1171"/>
      <c r="R157" s="1171"/>
      <c r="S157" s="1171"/>
      <c r="T157" s="1171"/>
      <c r="U157" s="1647"/>
      <c r="V157" s="1171"/>
      <c r="W157" s="1171"/>
      <c r="X157" s="555"/>
      <c r="Y157" s="1171"/>
      <c r="Z157" s="1171"/>
      <c r="AA157" s="1171"/>
      <c r="AB157" s="1171"/>
      <c r="AC157" s="1171"/>
      <c r="AD157" s="1643"/>
      <c r="AE157" s="577"/>
      <c r="AF157" s="577"/>
      <c r="AG157" s="577"/>
      <c r="AH157" s="577"/>
      <c r="AI157" s="1652">
        <v>11</v>
      </c>
    </row>
    <row s="1652" customFormat="1" customHeight="1" ht="11.549999999999999">
      <c r="A158" s="998"/>
      <c r="B158" s="1647"/>
      <c r="C158" s="1647"/>
      <c r="D158" s="362"/>
      <c r="J158" s="1652"/>
      <c r="K158" s="1652"/>
      <c r="L158" s="1652"/>
      <c r="N158" s="1171"/>
      <c r="O158" s="1647"/>
      <c r="P158" s="1647"/>
      <c r="Q158" s="1171"/>
      <c r="R158" s="1171"/>
      <c r="S158" s="1171"/>
      <c r="T158" s="1171"/>
      <c r="U158" s="1647"/>
      <c r="V158" s="1171"/>
      <c r="W158" s="1171"/>
      <c r="X158" s="555"/>
      <c r="Y158" s="1171"/>
      <c r="Z158" s="1171"/>
      <c r="AA158" s="1171"/>
      <c r="AB158" s="1171"/>
      <c r="AC158" s="1171"/>
      <c r="AD158" s="1643"/>
      <c r="AE158" s="577"/>
      <c r="AF158" s="577"/>
      <c r="AG158" s="577"/>
      <c r="AH158" s="577"/>
      <c r="AI158" s="1652">
        <v>11</v>
      </c>
    </row>
    <row s="1652" customFormat="1" customHeight="1" ht="11.549999999999999">
      <c r="A159" s="998"/>
      <c r="B159" s="1647"/>
      <c r="C159" s="1647"/>
      <c r="D159" s="362"/>
      <c r="J159" s="1652"/>
      <c r="K159" s="1652"/>
      <c r="L159" s="1652"/>
      <c r="N159" s="1171"/>
      <c r="O159" s="1647"/>
      <c r="P159" s="1647"/>
      <c r="Q159" s="1171"/>
      <c r="R159" s="1171"/>
      <c r="S159" s="1171"/>
      <c r="T159" s="1171"/>
      <c r="U159" s="1647"/>
      <c r="V159" s="1171"/>
      <c r="W159" s="1171"/>
      <c r="X159" s="555"/>
      <c r="Y159" s="1171"/>
      <c r="Z159" s="1171"/>
      <c r="AA159" s="1171"/>
      <c r="AB159" s="1171"/>
      <c r="AC159" s="1171"/>
      <c r="AD159" s="1643"/>
      <c r="AE159" s="577"/>
      <c r="AF159" s="577"/>
      <c r="AG159" s="577"/>
      <c r="AH159" s="577"/>
      <c r="AI159" s="1652">
        <v>11</v>
      </c>
    </row>
    <row s="1652" customFormat="1" customHeight="1" ht="11.549999999999999">
      <c r="A160" s="998"/>
      <c r="B160" s="1647"/>
      <c r="C160" s="1647"/>
      <c r="D160" s="362"/>
      <c r="J160" s="1652"/>
      <c r="K160" s="1652"/>
      <c r="L160" s="1652"/>
      <c r="N160" s="1171"/>
      <c r="O160" s="1647"/>
      <c r="P160" s="1647"/>
      <c r="Q160" s="1171"/>
      <c r="R160" s="1171"/>
      <c r="S160" s="1171"/>
      <c r="T160" s="1171"/>
      <c r="U160" s="1647"/>
      <c r="V160" s="1171"/>
      <c r="W160" s="1171"/>
      <c r="X160" s="555"/>
      <c r="Y160" s="1171"/>
      <c r="Z160" s="1171"/>
      <c r="AA160" s="1171"/>
      <c r="AB160" s="1171"/>
      <c r="AC160" s="1171"/>
      <c r="AD160" s="1643"/>
      <c r="AE160" s="577"/>
      <c r="AF160" s="577"/>
      <c r="AG160" s="577"/>
      <c r="AH160" s="577"/>
      <c r="AI160" s="1652">
        <v>11</v>
      </c>
    </row>
    <row s="1652" customFormat="1" customHeight="1" ht="11.549999999999999">
      <c r="A161" s="998"/>
      <c r="B161" s="1647"/>
      <c r="C161" s="1647"/>
      <c r="D161" s="362"/>
      <c r="J161" s="1652"/>
      <c r="K161" s="1652"/>
      <c r="L161" s="1652"/>
      <c r="N161" s="1171"/>
      <c r="O161" s="1647"/>
      <c r="P161" s="1647"/>
      <c r="Q161" s="1171"/>
      <c r="R161" s="1171"/>
      <c r="S161" s="1171"/>
      <c r="T161" s="1171"/>
      <c r="U161" s="1647"/>
      <c r="V161" s="1171"/>
      <c r="W161" s="1171"/>
      <c r="X161" s="555"/>
      <c r="Y161" s="1171"/>
      <c r="Z161" s="1171"/>
      <c r="AA161" s="1171"/>
      <c r="AB161" s="1171"/>
      <c r="AC161" s="1171"/>
      <c r="AD161" s="1643"/>
      <c r="AE161" s="577"/>
      <c r="AF161" s="577"/>
      <c r="AG161" s="577"/>
      <c r="AH161" s="577"/>
      <c r="AI161" s="1652">
        <v>11</v>
      </c>
    </row>
    <row s="1652" customFormat="1" customHeight="1" ht="11.549999999999999">
      <c r="A162" s="998"/>
      <c r="B162" s="1647"/>
      <c r="C162" s="1647"/>
      <c r="D162" s="362"/>
      <c r="J162" s="1652"/>
      <c r="K162" s="1652"/>
      <c r="L162" s="1652"/>
      <c r="N162" s="1171"/>
      <c r="O162" s="1647"/>
      <c r="P162" s="1647"/>
      <c r="Q162" s="1171"/>
      <c r="R162" s="1171"/>
      <c r="S162" s="1171"/>
      <c r="T162" s="1171"/>
      <c r="U162" s="1647"/>
      <c r="V162" s="1171"/>
      <c r="W162" s="1171"/>
      <c r="X162" s="555"/>
      <c r="Y162" s="1171"/>
      <c r="Z162" s="1171"/>
      <c r="AA162" s="1171"/>
      <c r="AB162" s="1171"/>
      <c r="AC162" s="1171"/>
      <c r="AD162" s="1643"/>
      <c r="AE162" s="577"/>
      <c r="AF162" s="577"/>
      <c r="AG162" s="577"/>
      <c r="AH162" s="577"/>
      <c r="AI162" s="1652">
        <v>11</v>
      </c>
    </row>
    <row s="1652" customFormat="1" customHeight="1" ht="11.549999999999999">
      <c r="A163" s="998"/>
      <c r="B163" s="1647"/>
      <c r="C163" s="1647"/>
      <c r="D163" s="362"/>
      <c r="J163" s="1652"/>
      <c r="K163" s="1652"/>
      <c r="L163" s="1652"/>
      <c r="N163" s="1171"/>
      <c r="O163" s="1647"/>
      <c r="P163" s="1647"/>
      <c r="Q163" s="1171"/>
      <c r="R163" s="1171"/>
      <c r="S163" s="1171"/>
      <c r="T163" s="1171"/>
      <c r="U163" s="1647"/>
      <c r="V163" s="1171"/>
      <c r="W163" s="1171"/>
      <c r="X163" s="555"/>
      <c r="Y163" s="1171"/>
      <c r="Z163" s="1171"/>
      <c r="AA163" s="1171"/>
      <c r="AB163" s="1171"/>
      <c r="AC163" s="1171"/>
      <c r="AD163" s="1643"/>
      <c r="AE163" s="577"/>
      <c r="AF163" s="577"/>
      <c r="AG163" s="577"/>
      <c r="AH163" s="577"/>
      <c r="AI163" s="1652">
        <v>11</v>
      </c>
    </row>
    <row s="1652" customFormat="1" customHeight="1" ht="11.549999999999999">
      <c r="A164" s="998"/>
      <c r="B164" s="1647"/>
      <c r="C164" s="1647"/>
      <c r="D164" s="362"/>
      <c r="J164" s="1652"/>
      <c r="K164" s="1652"/>
      <c r="L164" s="1652"/>
      <c r="N164" s="1171"/>
      <c r="O164" s="1647"/>
      <c r="P164" s="1647"/>
      <c r="Q164" s="1171"/>
      <c r="R164" s="1171"/>
      <c r="S164" s="1171"/>
      <c r="T164" s="1171"/>
      <c r="U164" s="1647"/>
      <c r="V164" s="1171"/>
      <c r="W164" s="1171"/>
      <c r="X164" s="555"/>
      <c r="Y164" s="1171"/>
      <c r="Z164" s="1171"/>
      <c r="AA164" s="1171"/>
      <c r="AB164" s="1171"/>
      <c r="AC164" s="1171"/>
      <c r="AD164" s="1643"/>
      <c r="AE164" s="577"/>
      <c r="AF164" s="577"/>
      <c r="AG164" s="577"/>
      <c r="AH164" s="577"/>
      <c r="AI164" s="1652">
        <v>11</v>
      </c>
    </row>
    <row s="1652" customFormat="1" customHeight="1" ht="11.549999999999999">
      <c r="A165" s="998"/>
      <c r="B165" s="1647"/>
      <c r="C165" s="1647"/>
      <c r="D165" s="362"/>
      <c r="J165" s="1652"/>
      <c r="K165" s="1652"/>
      <c r="L165" s="1652"/>
      <c r="N165" s="1171"/>
      <c r="O165" s="1647"/>
      <c r="P165" s="1647"/>
      <c r="Q165" s="1171"/>
      <c r="R165" s="1171"/>
      <c r="S165" s="1171"/>
      <c r="T165" s="1171"/>
      <c r="U165" s="1647"/>
      <c r="V165" s="1171"/>
      <c r="W165" s="1171"/>
      <c r="X165" s="555"/>
      <c r="Y165" s="1171"/>
      <c r="Z165" s="1171"/>
      <c r="AA165" s="1171"/>
      <c r="AB165" s="1171"/>
      <c r="AC165" s="1171"/>
      <c r="AD165" s="1643"/>
      <c r="AE165" s="577"/>
      <c r="AF165" s="577"/>
      <c r="AG165" s="577"/>
      <c r="AH165" s="577"/>
      <c r="AI165" s="1652">
        <v>11</v>
      </c>
    </row>
    <row s="1652" customFormat="1" customHeight="1" ht="11.549999999999999">
      <c r="A166" s="998"/>
      <c r="B166" s="1647"/>
      <c r="C166" s="1647"/>
      <c r="D166" s="362"/>
      <c r="J166" s="1652"/>
      <c r="K166" s="1652"/>
      <c r="L166" s="1652"/>
      <c r="N166" s="1171"/>
      <c r="O166" s="1647"/>
      <c r="P166" s="1647"/>
      <c r="Q166" s="1171"/>
      <c r="R166" s="1171"/>
      <c r="S166" s="1171"/>
      <c r="T166" s="1171"/>
      <c r="U166" s="1647"/>
      <c r="V166" s="1171"/>
      <c r="W166" s="1171"/>
      <c r="X166" s="555"/>
      <c r="Y166" s="1171"/>
      <c r="Z166" s="1171"/>
      <c r="AA166" s="1171"/>
      <c r="AB166" s="1171"/>
      <c r="AC166" s="1171"/>
      <c r="AD166" s="1643"/>
      <c r="AE166" s="577"/>
      <c r="AF166" s="577"/>
      <c r="AG166" s="577"/>
      <c r="AH166" s="577"/>
      <c r="AI166" s="1652">
        <v>11</v>
      </c>
    </row>
    <row s="1652" customFormat="1" customHeight="1" ht="11.549999999999999">
      <c r="A167" s="998"/>
      <c r="B167" s="1647"/>
      <c r="C167" s="1647"/>
      <c r="D167" s="362"/>
      <c r="J167" s="1652"/>
      <c r="K167" s="1652"/>
      <c r="L167" s="1652"/>
      <c r="N167" s="1171"/>
      <c r="O167" s="1647"/>
      <c r="P167" s="1647"/>
      <c r="Q167" s="1171"/>
      <c r="R167" s="1171"/>
      <c r="S167" s="1171"/>
      <c r="T167" s="1171"/>
      <c r="U167" s="1647"/>
      <c r="V167" s="1171"/>
      <c r="W167" s="1171"/>
      <c r="X167" s="555"/>
      <c r="Y167" s="1171"/>
      <c r="Z167" s="1171"/>
      <c r="AA167" s="1171"/>
      <c r="AB167" s="1171"/>
      <c r="AC167" s="1171"/>
      <c r="AD167" s="1643"/>
      <c r="AE167" s="577"/>
      <c r="AF167" s="577"/>
      <c r="AG167" s="577"/>
      <c r="AH167" s="577"/>
      <c r="AI167" s="1652">
        <v>11</v>
      </c>
    </row>
    <row s="1652" customFormat="1" customHeight="1" ht="11.549999999999999">
      <c r="A168" s="998"/>
      <c r="B168" s="1647"/>
      <c r="C168" s="1647"/>
      <c r="D168" s="362"/>
      <c r="J168" s="1652"/>
      <c r="K168" s="1652"/>
      <c r="L168" s="1652"/>
      <c r="N168" s="1171"/>
      <c r="O168" s="1647"/>
      <c r="P168" s="1647"/>
      <c r="Q168" s="1171"/>
      <c r="R168" s="1171"/>
      <c r="S168" s="1171"/>
      <c r="T168" s="1171"/>
      <c r="U168" s="1647"/>
      <c r="V168" s="1171"/>
      <c r="W168" s="1171"/>
      <c r="X168" s="555"/>
      <c r="Y168" s="1171"/>
      <c r="Z168" s="1171"/>
      <c r="AA168" s="1171"/>
      <c r="AB168" s="1171"/>
      <c r="AC168" s="1171"/>
      <c r="AD168" s="1643"/>
      <c r="AE168" s="577"/>
      <c r="AF168" s="577"/>
      <c r="AG168" s="577"/>
      <c r="AH168" s="577"/>
      <c r="AI168" s="1652">
        <v>11</v>
      </c>
    </row>
    <row s="1652" customFormat="1" customHeight="1" ht="11.549999999999999">
      <c r="A169" s="998"/>
      <c r="B169" s="1647"/>
      <c r="C169" s="1647"/>
      <c r="D169" s="362"/>
      <c r="J169" s="1652"/>
      <c r="K169" s="1652"/>
      <c r="L169" s="1652"/>
      <c r="N169" s="1171"/>
      <c r="O169" s="1647"/>
      <c r="P169" s="1647"/>
      <c r="Q169" s="1171"/>
      <c r="R169" s="1171"/>
      <c r="S169" s="1171"/>
      <c r="T169" s="1171"/>
      <c r="U169" s="1647"/>
      <c r="V169" s="1171"/>
      <c r="W169" s="1171"/>
      <c r="X169" s="555"/>
      <c r="Y169" s="1171"/>
      <c r="Z169" s="1171"/>
      <c r="AA169" s="1171"/>
      <c r="AB169" s="1171"/>
      <c r="AC169" s="1171"/>
      <c r="AD169" s="1643"/>
      <c r="AE169" s="577"/>
      <c r="AF169" s="577"/>
      <c r="AG169" s="577"/>
      <c r="AH169" s="577"/>
      <c r="AI169" s="1652">
        <v>11</v>
      </c>
    </row>
    <row s="1652" customFormat="1" customHeight="1" ht="11.549999999999999">
      <c r="A170" s="998"/>
      <c r="B170" s="1647"/>
      <c r="C170" s="1647"/>
      <c r="D170" s="362"/>
      <c r="J170" s="1652"/>
      <c r="K170" s="1652"/>
      <c r="L170" s="1652"/>
      <c r="N170" s="1171"/>
      <c r="O170" s="1647"/>
      <c r="P170" s="1647"/>
      <c r="Q170" s="1171"/>
      <c r="R170" s="1171"/>
      <c r="S170" s="1171"/>
      <c r="T170" s="1171"/>
      <c r="U170" s="1647"/>
      <c r="V170" s="1171"/>
      <c r="W170" s="1171"/>
      <c r="X170" s="555"/>
      <c r="Y170" s="1171"/>
      <c r="Z170" s="1171"/>
      <c r="AA170" s="1171"/>
      <c r="AB170" s="1171"/>
      <c r="AC170" s="1171"/>
      <c r="AD170" s="1643"/>
      <c r="AE170" s="577"/>
      <c r="AF170" s="577"/>
      <c r="AG170" s="577"/>
      <c r="AH170" s="577"/>
      <c r="AI170" s="1652">
        <v>11</v>
      </c>
    </row>
    <row s="1652" customFormat="1" customHeight="1" ht="11.549999999999999">
      <c r="A171" s="998"/>
      <c r="B171" s="1647"/>
      <c r="C171" s="1647"/>
      <c r="D171" s="362"/>
      <c r="J171" s="1652"/>
      <c r="K171" s="1652"/>
      <c r="L171" s="1652"/>
      <c r="N171" s="1171"/>
      <c r="O171" s="1647"/>
      <c r="P171" s="1647"/>
      <c r="Q171" s="1171"/>
      <c r="R171" s="1171"/>
      <c r="S171" s="1171"/>
      <c r="T171" s="1171"/>
      <c r="U171" s="1647"/>
      <c r="V171" s="1171"/>
      <c r="W171" s="1171"/>
      <c r="X171" s="555"/>
      <c r="Y171" s="1171"/>
      <c r="Z171" s="1171"/>
      <c r="AA171" s="1171"/>
      <c r="AB171" s="1171"/>
      <c r="AC171" s="1171"/>
      <c r="AD171" s="1643"/>
      <c r="AE171" s="577"/>
      <c r="AF171" s="577"/>
      <c r="AG171" s="577"/>
      <c r="AH171" s="577"/>
      <c r="AI171" s="1652">
        <v>11</v>
      </c>
    </row>
    <row s="1652" customFormat="1" customHeight="1" ht="11.549999999999999">
      <c r="A172" s="998"/>
      <c r="B172" s="1647"/>
      <c r="C172" s="1647"/>
      <c r="D172" s="362"/>
      <c r="J172" s="1652"/>
      <c r="K172" s="1652"/>
      <c r="L172" s="1652"/>
      <c r="N172" s="1171"/>
      <c r="O172" s="1647"/>
      <c r="P172" s="1647"/>
      <c r="Q172" s="1171"/>
      <c r="R172" s="1171"/>
      <c r="S172" s="1171"/>
      <c r="T172" s="1171"/>
      <c r="U172" s="1647"/>
      <c r="V172" s="1171"/>
      <c r="W172" s="1171"/>
      <c r="X172" s="555"/>
      <c r="Y172" s="1171"/>
      <c r="Z172" s="1171"/>
      <c r="AA172" s="1171"/>
      <c r="AB172" s="1171"/>
      <c r="AC172" s="1171"/>
      <c r="AD172" s="1643"/>
      <c r="AE172" s="577"/>
      <c r="AF172" s="577"/>
      <c r="AG172" s="577"/>
      <c r="AH172" s="577"/>
      <c r="AI172" s="1652">
        <v>11</v>
      </c>
    </row>
    <row s="1652" customFormat="1" customHeight="1" ht="11.549999999999999">
      <c r="A173" s="998"/>
      <c r="B173" s="1647"/>
      <c r="C173" s="1647"/>
      <c r="D173" s="362"/>
      <c r="J173" s="1652"/>
      <c r="K173" s="1652"/>
      <c r="L173" s="1652"/>
      <c r="N173" s="1171"/>
      <c r="O173" s="1647"/>
      <c r="P173" s="1647"/>
      <c r="Q173" s="1171"/>
      <c r="R173" s="1171"/>
      <c r="S173" s="1171"/>
      <c r="T173" s="1171"/>
      <c r="U173" s="1647"/>
      <c r="V173" s="1171"/>
      <c r="W173" s="1171"/>
      <c r="X173" s="555"/>
      <c r="Y173" s="1171"/>
      <c r="Z173" s="1171"/>
      <c r="AA173" s="1171"/>
      <c r="AB173" s="1171"/>
      <c r="AC173" s="1171"/>
      <c r="AD173" s="1643"/>
      <c r="AE173" s="577"/>
      <c r="AF173" s="577"/>
      <c r="AG173" s="577"/>
      <c r="AH173" s="577"/>
      <c r="AI173" s="1652">
        <v>11</v>
      </c>
    </row>
    <row s="1652" customFormat="1" customHeight="1" ht="11.549999999999999">
      <c r="A174" s="998"/>
      <c r="B174" s="1647"/>
      <c r="C174" s="1647"/>
      <c r="D174" s="362"/>
      <c r="J174" s="1652"/>
      <c r="K174" s="1652"/>
      <c r="L174" s="1652"/>
      <c r="N174" s="1171"/>
      <c r="O174" s="1647"/>
      <c r="P174" s="1647"/>
      <c r="Q174" s="1171"/>
      <c r="R174" s="1171"/>
      <c r="S174" s="1171"/>
      <c r="T174" s="1171"/>
      <c r="U174" s="1647"/>
      <c r="V174" s="1171"/>
      <c r="W174" s="1171"/>
      <c r="X174" s="555"/>
      <c r="Y174" s="1171"/>
      <c r="Z174" s="1171"/>
      <c r="AA174" s="1171"/>
      <c r="AB174" s="1171"/>
      <c r="AC174" s="1171"/>
      <c r="AD174" s="1643"/>
      <c r="AE174" s="577"/>
      <c r="AF174" s="577"/>
      <c r="AG174" s="577"/>
      <c r="AH174" s="577"/>
      <c r="AI174" s="1652">
        <v>11</v>
      </c>
    </row>
    <row s="1652" customFormat="1" customHeight="1" ht="11.549999999999999">
      <c r="A175" s="998"/>
      <c r="B175" s="1647"/>
      <c r="C175" s="1647"/>
      <c r="D175" s="362"/>
      <c r="J175" s="1652"/>
      <c r="K175" s="1652"/>
      <c r="L175" s="1652"/>
      <c r="N175" s="1171"/>
      <c r="O175" s="1647"/>
      <c r="P175" s="1647"/>
      <c r="Q175" s="1171"/>
      <c r="R175" s="1171"/>
      <c r="S175" s="1171"/>
      <c r="T175" s="1171"/>
      <c r="U175" s="1647"/>
      <c r="V175" s="1171"/>
      <c r="W175" s="1171"/>
      <c r="X175" s="555"/>
      <c r="Y175" s="1171"/>
      <c r="Z175" s="1171"/>
      <c r="AA175" s="1171"/>
      <c r="AB175" s="1171"/>
      <c r="AC175" s="1171"/>
      <c r="AD175" s="1643"/>
      <c r="AE175" s="577"/>
      <c r="AF175" s="577"/>
      <c r="AG175" s="577"/>
      <c r="AH175" s="577"/>
      <c r="AI175" s="1652">
        <v>11</v>
      </c>
    </row>
    <row s="1652" customFormat="1" customHeight="1" ht="11.549999999999999">
      <c r="A176" s="998"/>
      <c r="B176" s="1647"/>
      <c r="C176" s="1647"/>
      <c r="D176" s="362"/>
      <c r="J176" s="1652"/>
      <c r="K176" s="1652"/>
      <c r="L176" s="1652"/>
      <c r="N176" s="1171"/>
      <c r="O176" s="1647"/>
      <c r="P176" s="1647"/>
      <c r="Q176" s="1171"/>
      <c r="R176" s="1171"/>
      <c r="S176" s="1171"/>
      <c r="T176" s="1171"/>
      <c r="U176" s="1647"/>
      <c r="V176" s="1171"/>
      <c r="W176" s="1171"/>
      <c r="X176" s="555"/>
      <c r="Y176" s="1171"/>
      <c r="Z176" s="1171"/>
      <c r="AA176" s="1171"/>
      <c r="AB176" s="1171"/>
      <c r="AC176" s="1171"/>
      <c r="AD176" s="1643"/>
      <c r="AE176" s="577"/>
      <c r="AF176" s="577"/>
      <c r="AG176" s="577"/>
      <c r="AH176" s="577"/>
      <c r="AI176" s="1652">
        <v>11</v>
      </c>
    </row>
    <row s="1652" customFormat="1" customHeight="1" ht="11.549999999999999">
      <c r="A177" s="998"/>
      <c r="B177" s="1647"/>
      <c r="C177" s="1647"/>
      <c r="D177" s="362"/>
      <c r="J177" s="1652"/>
      <c r="K177" s="1652"/>
      <c r="L177" s="1652"/>
      <c r="N177" s="1171"/>
      <c r="O177" s="1647"/>
      <c r="P177" s="1647"/>
      <c r="Q177" s="1171"/>
      <c r="R177" s="1171"/>
      <c r="S177" s="1171"/>
      <c r="T177" s="1171"/>
      <c r="U177" s="1647"/>
      <c r="V177" s="1171"/>
      <c r="W177" s="1171"/>
      <c r="X177" s="555"/>
      <c r="Y177" s="1171"/>
      <c r="Z177" s="1171"/>
      <c r="AA177" s="1171"/>
      <c r="AB177" s="1171"/>
      <c r="AC177" s="1171"/>
      <c r="AD177" s="1643"/>
      <c r="AE177" s="577"/>
      <c r="AF177" s="577"/>
      <c r="AG177" s="577"/>
      <c r="AH177" s="577"/>
      <c r="AI177" s="1652">
        <v>11</v>
      </c>
    </row>
    <row s="1652" customFormat="1" customHeight="1" ht="11.549999999999999">
      <c r="A178" s="998"/>
      <c r="B178" s="1647"/>
      <c r="C178" s="1647"/>
      <c r="D178" s="362"/>
      <c r="J178" s="1652"/>
      <c r="K178" s="1652"/>
      <c r="L178" s="1652"/>
      <c r="N178" s="1171"/>
      <c r="O178" s="1647"/>
      <c r="P178" s="1647"/>
      <c r="Q178" s="1171"/>
      <c r="R178" s="1171"/>
      <c r="S178" s="1171"/>
      <c r="T178" s="1171"/>
      <c r="U178" s="1647"/>
      <c r="V178" s="1171"/>
      <c r="W178" s="1171"/>
      <c r="X178" s="555"/>
      <c r="Y178" s="1171"/>
      <c r="Z178" s="1171"/>
      <c r="AA178" s="1171"/>
      <c r="AB178" s="1171"/>
      <c r="AC178" s="1171"/>
      <c r="AD178" s="1643"/>
      <c r="AE178" s="577"/>
      <c r="AF178" s="577"/>
      <c r="AG178" s="577"/>
      <c r="AH178" s="577"/>
      <c r="AI178" s="1652">
        <v>11</v>
      </c>
    </row>
    <row s="1652" customFormat="1" customHeight="1" ht="11.549999999999999">
      <c r="A179" s="998"/>
      <c r="B179" s="1647"/>
      <c r="C179" s="1647"/>
      <c r="D179" s="362"/>
      <c r="J179" s="1652"/>
      <c r="K179" s="1652"/>
      <c r="L179" s="1652"/>
      <c r="N179" s="1171"/>
      <c r="O179" s="1647"/>
      <c r="P179" s="1647"/>
      <c r="Q179" s="1171"/>
      <c r="R179" s="1171"/>
      <c r="S179" s="1171"/>
      <c r="T179" s="1171"/>
      <c r="U179" s="1647"/>
      <c r="V179" s="1171"/>
      <c r="W179" s="1171"/>
      <c r="X179" s="555"/>
      <c r="Y179" s="1171"/>
      <c r="Z179" s="1171"/>
      <c r="AA179" s="1171"/>
      <c r="AB179" s="1171"/>
      <c r="AC179" s="1171"/>
      <c r="AD179" s="1643"/>
      <c r="AE179" s="577"/>
      <c r="AF179" s="577"/>
      <c r="AG179" s="577"/>
      <c r="AH179" s="577"/>
      <c r="AI179" s="1652">
        <v>11</v>
      </c>
    </row>
    <row s="1652" customFormat="1" customHeight="1" ht="11.549999999999999">
      <c r="A180" s="998"/>
      <c r="B180" s="1647"/>
      <c r="C180" s="1647"/>
      <c r="D180" s="362"/>
      <c r="J180" s="1652"/>
      <c r="K180" s="1652"/>
      <c r="L180" s="1652"/>
      <c r="N180" s="1171"/>
      <c r="O180" s="1647"/>
      <c r="P180" s="1647"/>
      <c r="Q180" s="1171"/>
      <c r="R180" s="1171"/>
      <c r="S180" s="1171"/>
      <c r="T180" s="1171"/>
      <c r="U180" s="1647"/>
      <c r="V180" s="1171"/>
      <c r="W180" s="1171"/>
      <c r="X180" s="555"/>
      <c r="Y180" s="1171"/>
      <c r="Z180" s="1171"/>
      <c r="AA180" s="1171"/>
      <c r="AB180" s="1171"/>
      <c r="AC180" s="1171"/>
      <c r="AD180" s="1643"/>
      <c r="AE180" s="577"/>
      <c r="AF180" s="577"/>
      <c r="AG180" s="577"/>
      <c r="AH180" s="577"/>
      <c r="AI180" s="1652">
        <v>11</v>
      </c>
    </row>
    <row s="1652" customFormat="1" customHeight="1" ht="11.549999999999999">
      <c r="A181" s="998"/>
      <c r="B181" s="1647"/>
      <c r="C181" s="1647"/>
      <c r="D181" s="362"/>
      <c r="J181" s="1652"/>
      <c r="K181" s="1652"/>
      <c r="L181" s="1652"/>
      <c r="N181" s="1171"/>
      <c r="O181" s="1647"/>
      <c r="P181" s="1647"/>
      <c r="Q181" s="1171"/>
      <c r="R181" s="1171"/>
      <c r="S181" s="1171"/>
      <c r="T181" s="1171"/>
      <c r="U181" s="1647"/>
      <c r="V181" s="1171"/>
      <c r="W181" s="1171"/>
      <c r="X181" s="555"/>
      <c r="Y181" s="1171"/>
      <c r="Z181" s="1171"/>
      <c r="AA181" s="1171"/>
      <c r="AB181" s="1171"/>
      <c r="AC181" s="1171"/>
      <c r="AD181" s="1643"/>
      <c r="AE181" s="577"/>
      <c r="AF181" s="577"/>
      <c r="AG181" s="577"/>
      <c r="AH181" s="577"/>
      <c r="AI181" s="1652">
        <v>11</v>
      </c>
    </row>
    <row s="1652" customFormat="1" customHeight="1" ht="11.549999999999999">
      <c r="A182" s="998"/>
      <c r="B182" s="1647"/>
      <c r="C182" s="1647"/>
      <c r="D182" s="362"/>
      <c r="J182" s="1652"/>
      <c r="K182" s="1652"/>
      <c r="L182" s="1652"/>
      <c r="N182" s="1171"/>
      <c r="O182" s="1647"/>
      <c r="P182" s="1647"/>
      <c r="Q182" s="1171"/>
      <c r="R182" s="1171"/>
      <c r="S182" s="1171"/>
      <c r="T182" s="1171"/>
      <c r="U182" s="1647"/>
      <c r="V182" s="1171"/>
      <c r="W182" s="1171"/>
      <c r="X182" s="555"/>
      <c r="Y182" s="1171"/>
      <c r="Z182" s="1171"/>
      <c r="AA182" s="1171"/>
      <c r="AB182" s="1171"/>
      <c r="AC182" s="1171"/>
      <c r="AD182" s="1643"/>
      <c r="AE182" s="577"/>
      <c r="AF182" s="577"/>
      <c r="AG182" s="577"/>
      <c r="AH182" s="577"/>
      <c r="AI182" s="1652">
        <v>11</v>
      </c>
    </row>
    <row s="1652" customFormat="1" customHeight="1" ht="11.549999999999999">
      <c r="A183" s="998"/>
      <c r="B183" s="1647"/>
      <c r="C183" s="1647"/>
      <c r="D183" s="362"/>
      <c r="J183" s="1652"/>
      <c r="K183" s="1652"/>
      <c r="L183" s="1652"/>
      <c r="N183" s="1171"/>
      <c r="O183" s="1647"/>
      <c r="P183" s="1647"/>
      <c r="Q183" s="1171"/>
      <c r="R183" s="1171"/>
      <c r="S183" s="1171"/>
      <c r="T183" s="1171"/>
      <c r="U183" s="1647"/>
      <c r="V183" s="1171"/>
      <c r="W183" s="1171"/>
      <c r="X183" s="555"/>
      <c r="Y183" s="1171"/>
      <c r="Z183" s="1171"/>
      <c r="AA183" s="1171"/>
      <c r="AB183" s="1171"/>
      <c r="AC183" s="1171"/>
      <c r="AD183" s="1643"/>
      <c r="AE183" s="577"/>
      <c r="AF183" s="577"/>
      <c r="AG183" s="577"/>
      <c r="AH183" s="577"/>
      <c r="AI183" s="1652">
        <v>11</v>
      </c>
    </row>
    <row s="1652" customFormat="1" customHeight="1" ht="11.549999999999999">
      <c r="A184" s="998"/>
      <c r="B184" s="1647"/>
      <c r="C184" s="1647"/>
      <c r="D184" s="362"/>
      <c r="J184" s="1652"/>
      <c r="K184" s="1652"/>
      <c r="L184" s="1652"/>
      <c r="N184" s="1171"/>
      <c r="O184" s="1647"/>
      <c r="P184" s="1647"/>
      <c r="Q184" s="1171"/>
      <c r="R184" s="1171"/>
      <c r="S184" s="1171"/>
      <c r="T184" s="1171"/>
      <c r="U184" s="1647"/>
      <c r="V184" s="1171"/>
      <c r="W184" s="1171"/>
      <c r="X184" s="555"/>
      <c r="Y184" s="1171"/>
      <c r="Z184" s="1171"/>
      <c r="AA184" s="1171"/>
      <c r="AB184" s="1171"/>
      <c r="AC184" s="1171"/>
      <c r="AD184" s="1643"/>
      <c r="AE184" s="577"/>
      <c r="AF184" s="577"/>
      <c r="AG184" s="577"/>
      <c r="AH184" s="577"/>
      <c r="AI184" s="1652">
        <v>11</v>
      </c>
    </row>
    <row s="1652" customFormat="1" customHeight="1" ht="11.549999999999999">
      <c r="A185" s="998"/>
      <c r="B185" s="1647"/>
      <c r="C185" s="1647"/>
      <c r="D185" s="362"/>
      <c r="J185" s="1652"/>
      <c r="K185" s="1652"/>
      <c r="L185" s="1652"/>
      <c r="N185" s="1171"/>
      <c r="O185" s="1647"/>
      <c r="P185" s="1647"/>
      <c r="Q185" s="1171"/>
      <c r="R185" s="1171"/>
      <c r="S185" s="1171"/>
      <c r="T185" s="1171"/>
      <c r="U185" s="1647"/>
      <c r="V185" s="1171"/>
      <c r="W185" s="1171"/>
      <c r="X185" s="555"/>
      <c r="Y185" s="1171"/>
      <c r="Z185" s="1171"/>
      <c r="AA185" s="1171"/>
      <c r="AB185" s="1171"/>
      <c r="AC185" s="1171"/>
      <c r="AD185" s="1643"/>
      <c r="AE185" s="577"/>
      <c r="AF185" s="577"/>
      <c r="AG185" s="577"/>
      <c r="AH185" s="577"/>
      <c r="AI185" s="1652">
        <v>11</v>
      </c>
    </row>
    <row s="1652" customFormat="1" customHeight="1" ht="11.549999999999999">
      <c r="A186" s="998"/>
      <c r="B186" s="1647"/>
      <c r="C186" s="1647"/>
      <c r="D186" s="362"/>
      <c r="J186" s="1652"/>
      <c r="K186" s="1652"/>
      <c r="L186" s="1652"/>
      <c r="N186" s="1171"/>
      <c r="O186" s="1647"/>
      <c r="P186" s="1647"/>
      <c r="Q186" s="1171"/>
      <c r="R186" s="1171"/>
      <c r="S186" s="1171"/>
      <c r="T186" s="1171"/>
      <c r="U186" s="1647"/>
      <c r="V186" s="1171"/>
      <c r="W186" s="1171"/>
      <c r="X186" s="555"/>
      <c r="Y186" s="1171"/>
      <c r="Z186" s="1171"/>
      <c r="AA186" s="1171"/>
      <c r="AB186" s="1171"/>
      <c r="AC186" s="1171"/>
      <c r="AD186" s="1643"/>
      <c r="AE186" s="577"/>
      <c r="AF186" s="577"/>
      <c r="AG186" s="577"/>
      <c r="AH186" s="577"/>
      <c r="AI186" s="1652">
        <v>11</v>
      </c>
    </row>
    <row s="1652" customFormat="1" customHeight="1" ht="11.549999999999999">
      <c r="A187" s="998"/>
      <c r="B187" s="1647"/>
      <c r="C187" s="1647"/>
      <c r="D187" s="362"/>
      <c r="J187" s="1652"/>
      <c r="K187" s="1652"/>
      <c r="L187" s="1652"/>
      <c r="N187" s="1171"/>
      <c r="O187" s="1647"/>
      <c r="P187" s="1647"/>
      <c r="Q187" s="1171"/>
      <c r="R187" s="1171"/>
      <c r="S187" s="1171"/>
      <c r="T187" s="1171"/>
      <c r="U187" s="1647"/>
      <c r="V187" s="1171"/>
      <c r="W187" s="1171"/>
      <c r="X187" s="555"/>
      <c r="Y187" s="1171"/>
      <c r="Z187" s="1171"/>
      <c r="AA187" s="1171"/>
      <c r="AB187" s="1171"/>
      <c r="AC187" s="1171"/>
      <c r="AD187" s="1643"/>
      <c r="AE187" s="577"/>
      <c r="AF187" s="577"/>
      <c r="AG187" s="577"/>
      <c r="AH187" s="577"/>
      <c r="AI187" s="1652">
        <v>11</v>
      </c>
    </row>
    <row s="1652" customFormat="1" customHeight="1" ht="11.549999999999999">
      <c r="A188" s="998"/>
      <c r="B188" s="1647"/>
      <c r="C188" s="1647"/>
      <c r="D188" s="362"/>
      <c r="J188" s="1652"/>
      <c r="K188" s="1652"/>
      <c r="L188" s="1652"/>
      <c r="N188" s="1171"/>
      <c r="O188" s="1647"/>
      <c r="P188" s="1647"/>
      <c r="Q188" s="1171"/>
      <c r="R188" s="1171"/>
      <c r="S188" s="1171"/>
      <c r="T188" s="1171"/>
      <c r="U188" s="1647"/>
      <c r="V188" s="1171"/>
      <c r="W188" s="1171"/>
      <c r="X188" s="555"/>
      <c r="Y188" s="1171"/>
      <c r="Z188" s="1171"/>
      <c r="AA188" s="1171"/>
      <c r="AB188" s="1171"/>
      <c r="AC188" s="1171"/>
      <c r="AD188" s="1643"/>
      <c r="AE188" s="577"/>
      <c r="AF188" s="577"/>
      <c r="AG188" s="577"/>
      <c r="AH188" s="577"/>
      <c r="AI188" s="1652">
        <v>11</v>
      </c>
    </row>
    <row s="1652" customFormat="1" customHeight="1" ht="11.549999999999999">
      <c r="A189" s="998"/>
      <c r="B189" s="1647"/>
      <c r="C189" s="1647"/>
      <c r="D189" s="362"/>
      <c r="J189" s="1652"/>
      <c r="K189" s="1652"/>
      <c r="L189" s="1652"/>
      <c r="N189" s="1171"/>
      <c r="O189" s="1647"/>
      <c r="P189" s="1647"/>
      <c r="Q189" s="1171"/>
      <c r="R189" s="1171"/>
      <c r="S189" s="1171"/>
      <c r="T189" s="1171"/>
      <c r="U189" s="1647"/>
      <c r="V189" s="1171"/>
      <c r="W189" s="1171"/>
      <c r="X189" s="555"/>
      <c r="Y189" s="1171"/>
      <c r="Z189" s="1171"/>
      <c r="AA189" s="1171"/>
      <c r="AB189" s="1171"/>
      <c r="AC189" s="1171"/>
      <c r="AD189" s="1643"/>
      <c r="AE189" s="577"/>
      <c r="AF189" s="577"/>
      <c r="AG189" s="577"/>
      <c r="AH189" s="577"/>
      <c r="AI189" s="1652">
        <v>11</v>
      </c>
    </row>
    <row s="1652" customFormat="1" customHeight="1" ht="11.549999999999999">
      <c r="A190" s="998"/>
      <c r="B190" s="1647"/>
      <c r="C190" s="1647"/>
      <c r="D190" s="362"/>
      <c r="J190" s="1652"/>
      <c r="K190" s="1652"/>
      <c r="L190" s="1652"/>
      <c r="N190" s="1171"/>
      <c r="O190" s="1647"/>
      <c r="P190" s="1647"/>
      <c r="Q190" s="1171"/>
      <c r="R190" s="1171"/>
      <c r="S190" s="1171"/>
      <c r="T190" s="1171"/>
      <c r="U190" s="1647"/>
      <c r="V190" s="1171"/>
      <c r="W190" s="1171"/>
      <c r="X190" s="555"/>
      <c r="Y190" s="1171"/>
      <c r="Z190" s="1171"/>
      <c r="AA190" s="1171"/>
      <c r="AB190" s="1171"/>
      <c r="AC190" s="1171"/>
      <c r="AD190" s="1643"/>
      <c r="AE190" s="577"/>
      <c r="AF190" s="577"/>
      <c r="AG190" s="577"/>
      <c r="AH190" s="577"/>
      <c r="AI190" s="1652">
        <v>11</v>
      </c>
    </row>
    <row s="1652" customFormat="1" customHeight="1" ht="11.549999999999999">
      <c r="A191" s="998"/>
      <c r="B191" s="1647"/>
      <c r="C191" s="1647"/>
      <c r="D191" s="362"/>
      <c r="J191" s="1652"/>
      <c r="K191" s="1652"/>
      <c r="L191" s="1652"/>
      <c r="N191" s="1171"/>
      <c r="O191" s="1647"/>
      <c r="P191" s="1647"/>
      <c r="Q191" s="1171"/>
      <c r="R191" s="1171"/>
      <c r="S191" s="1171"/>
      <c r="T191" s="1171"/>
      <c r="U191" s="1647"/>
      <c r="V191" s="1171"/>
      <c r="W191" s="1171"/>
      <c r="X191" s="555"/>
      <c r="Y191" s="1171"/>
      <c r="Z191" s="1171"/>
      <c r="AA191" s="1171"/>
      <c r="AB191" s="1171"/>
      <c r="AC191" s="1171"/>
      <c r="AD191" s="1643"/>
      <c r="AE191" s="577"/>
      <c r="AF191" s="577"/>
      <c r="AG191" s="577"/>
      <c r="AH191" s="577"/>
      <c r="AI191" s="1652">
        <v>11</v>
      </c>
    </row>
    <row s="1652" customFormat="1" customHeight="1" ht="11.549999999999999">
      <c r="A192" s="998"/>
      <c r="B192" s="1647"/>
      <c r="C192" s="1647"/>
      <c r="D192" s="362"/>
      <c r="J192" s="1652"/>
      <c r="K192" s="1652"/>
      <c r="L192" s="1652"/>
      <c r="N192" s="1171"/>
      <c r="O192" s="1647"/>
      <c r="P192" s="1647"/>
      <c r="Q192" s="1171"/>
      <c r="R192" s="1171"/>
      <c r="S192" s="1171"/>
      <c r="T192" s="1171"/>
      <c r="U192" s="1647"/>
      <c r="V192" s="1171"/>
      <c r="W192" s="1171"/>
      <c r="X192" s="555"/>
      <c r="Y192" s="1171"/>
      <c r="Z192" s="1171"/>
      <c r="AA192" s="1171"/>
      <c r="AB192" s="1171"/>
      <c r="AC192" s="1171"/>
      <c r="AD192" s="1643"/>
      <c r="AE192" s="577"/>
      <c r="AF192" s="577"/>
      <c r="AG192" s="577"/>
      <c r="AH192" s="577"/>
      <c r="AI192" s="1652">
        <v>11</v>
      </c>
    </row>
    <row s="1652" customFormat="1" customHeight="1" ht="11.549999999999999">
      <c r="A193" s="998"/>
      <c r="B193" s="1647"/>
      <c r="C193" s="1647"/>
      <c r="D193" s="362"/>
      <c r="J193" s="1652"/>
      <c r="K193" s="1652"/>
      <c r="L193" s="1652"/>
      <c r="N193" s="1171"/>
      <c r="O193" s="1647"/>
      <c r="P193" s="1647"/>
      <c r="Q193" s="1171"/>
      <c r="R193" s="1171"/>
      <c r="S193" s="1171"/>
      <c r="T193" s="1171"/>
      <c r="U193" s="1647"/>
      <c r="V193" s="1171"/>
      <c r="W193" s="1171"/>
      <c r="X193" s="555"/>
      <c r="Y193" s="1171"/>
      <c r="Z193" s="1171"/>
      <c r="AA193" s="1171"/>
      <c r="AB193" s="1171"/>
      <c r="AC193" s="1171"/>
      <c r="AD193" s="1643"/>
      <c r="AE193" s="577"/>
      <c r="AF193" s="577"/>
      <c r="AG193" s="577"/>
      <c r="AH193" s="577"/>
      <c r="AI193" s="1652">
        <v>11</v>
      </c>
    </row>
    <row s="1652" customFormat="1" customHeight="1" ht="11.549999999999999">
      <c r="A194" s="998"/>
      <c r="B194" s="1647"/>
      <c r="C194" s="1647"/>
      <c r="D194" s="362"/>
      <c r="J194" s="1652"/>
      <c r="K194" s="1652"/>
      <c r="L194" s="1652"/>
      <c r="N194" s="1171"/>
      <c r="O194" s="1647"/>
      <c r="P194" s="1647"/>
      <c r="Q194" s="1171"/>
      <c r="R194" s="1171"/>
      <c r="S194" s="1171"/>
      <c r="T194" s="1171"/>
      <c r="U194" s="1647"/>
      <c r="V194" s="1171"/>
      <c r="W194" s="1171"/>
      <c r="X194" s="555"/>
      <c r="Y194" s="1171"/>
      <c r="Z194" s="1171"/>
      <c r="AA194" s="1171"/>
      <c r="AB194" s="1171"/>
      <c r="AC194" s="1171"/>
      <c r="AD194" s="1643"/>
      <c r="AE194" s="577"/>
      <c r="AF194" s="577"/>
      <c r="AG194" s="577"/>
      <c r="AH194" s="577"/>
      <c r="AI194" s="1652">
        <v>11</v>
      </c>
    </row>
    <row s="1652" customFormat="1" customHeight="1" ht="11.549999999999999">
      <c r="A195" s="998"/>
      <c r="B195" s="1647"/>
      <c r="C195" s="1647"/>
      <c r="D195" s="362"/>
      <c r="J195" s="1652"/>
      <c r="K195" s="1652"/>
      <c r="L195" s="1652"/>
      <c r="N195" s="1171"/>
      <c r="O195" s="1647"/>
      <c r="P195" s="1647"/>
      <c r="Q195" s="1171"/>
      <c r="R195" s="1171"/>
      <c r="S195" s="1171"/>
      <c r="T195" s="1171"/>
      <c r="U195" s="1647"/>
      <c r="V195" s="1171"/>
      <c r="W195" s="1171"/>
      <c r="X195" s="555"/>
      <c r="Y195" s="1171"/>
      <c r="Z195" s="1171"/>
      <c r="AA195" s="1171"/>
      <c r="AB195" s="1171"/>
      <c r="AC195" s="1171"/>
      <c r="AD195" s="1643"/>
      <c r="AE195" s="577"/>
      <c r="AF195" s="577"/>
      <c r="AG195" s="577"/>
      <c r="AH195" s="577"/>
      <c r="AI195" s="1652">
        <v>11</v>
      </c>
    </row>
    <row s="1652" customFormat="1" customHeight="1" ht="11.549999999999999">
      <c r="A196" s="998"/>
      <c r="B196" s="1647"/>
      <c r="C196" s="1647"/>
      <c r="D196" s="362"/>
      <c r="J196" s="1652"/>
      <c r="K196" s="1652"/>
      <c r="L196" s="1652"/>
      <c r="N196" s="1171"/>
      <c r="O196" s="1647"/>
      <c r="P196" s="1647"/>
      <c r="Q196" s="1171"/>
      <c r="R196" s="1171"/>
      <c r="S196" s="1171"/>
      <c r="T196" s="1171"/>
      <c r="U196" s="1647"/>
      <c r="V196" s="1171"/>
      <c r="W196" s="1171"/>
      <c r="X196" s="555"/>
      <c r="Y196" s="1171"/>
      <c r="Z196" s="1171"/>
      <c r="AA196" s="1171"/>
      <c r="AB196" s="1171"/>
      <c r="AC196" s="1171"/>
      <c r="AD196" s="1643"/>
      <c r="AE196" s="577"/>
      <c r="AF196" s="577"/>
      <c r="AG196" s="577"/>
      <c r="AH196" s="577"/>
      <c r="AI196" s="1652">
        <v>11</v>
      </c>
    </row>
    <row s="1652" customFormat="1" customHeight="1" ht="11.549999999999999">
      <c r="A197" s="998"/>
      <c r="B197" s="1647"/>
      <c r="C197" s="1647"/>
      <c r="D197" s="362"/>
      <c r="J197" s="1652"/>
      <c r="K197" s="1652"/>
      <c r="L197" s="1652"/>
      <c r="N197" s="1171"/>
      <c r="O197" s="1647"/>
      <c r="P197" s="1647"/>
      <c r="Q197" s="1171"/>
      <c r="R197" s="1171"/>
      <c r="S197" s="1171"/>
      <c r="T197" s="1171"/>
      <c r="U197" s="1647"/>
      <c r="V197" s="1171"/>
      <c r="W197" s="1171"/>
      <c r="X197" s="555"/>
      <c r="Y197" s="1171"/>
      <c r="Z197" s="1171"/>
      <c r="AA197" s="1171"/>
      <c r="AB197" s="1171"/>
      <c r="AC197" s="1171"/>
      <c r="AD197" s="1643"/>
      <c r="AE197" s="577"/>
      <c r="AF197" s="577"/>
      <c r="AG197" s="577"/>
      <c r="AH197" s="577"/>
      <c r="AI197" s="1652">
        <v>11</v>
      </c>
    </row>
    <row s="1652" customFormat="1" customHeight="1" ht="11.549999999999999">
      <c r="A198" s="998"/>
      <c r="B198" s="1647"/>
      <c r="C198" s="1647"/>
      <c r="D198" s="362"/>
      <c r="J198" s="1652"/>
      <c r="K198" s="1652"/>
      <c r="L198" s="1652"/>
      <c r="N198" s="1171"/>
      <c r="O198" s="1647"/>
      <c r="P198" s="1647"/>
      <c r="Q198" s="1171"/>
      <c r="R198" s="1171"/>
      <c r="S198" s="1171"/>
      <c r="T198" s="1171"/>
      <c r="U198" s="1647"/>
      <c r="V198" s="1171"/>
      <c r="W198" s="1171"/>
      <c r="X198" s="555"/>
      <c r="Y198" s="1171"/>
      <c r="Z198" s="1171"/>
      <c r="AA198" s="1171"/>
      <c r="AB198" s="1171"/>
      <c r="AC198" s="1171"/>
      <c r="AD198" s="1643"/>
      <c r="AE198" s="577"/>
      <c r="AF198" s="577"/>
      <c r="AG198" s="577"/>
      <c r="AH198" s="577"/>
      <c r="AI198" s="1652">
        <v>11</v>
      </c>
    </row>
    <row s="1652" customFormat="1" customHeight="1" ht="11.549999999999999">
      <c r="A199" s="998"/>
      <c r="B199" s="1647"/>
      <c r="C199" s="1647"/>
      <c r="D199" s="362"/>
      <c r="J199" s="1652"/>
      <c r="K199" s="1652"/>
      <c r="L199" s="1652"/>
      <c r="N199" s="1171"/>
      <c r="O199" s="1647"/>
      <c r="P199" s="1647"/>
      <c r="Q199" s="1171"/>
      <c r="R199" s="1171"/>
      <c r="S199" s="1171"/>
      <c r="T199" s="1171"/>
      <c r="U199" s="1647"/>
      <c r="V199" s="1171"/>
      <c r="W199" s="1171"/>
      <c r="X199" s="555"/>
      <c r="Y199" s="1171"/>
      <c r="Z199" s="1171"/>
      <c r="AA199" s="1171"/>
      <c r="AB199" s="1171"/>
      <c r="AC199" s="1171"/>
      <c r="AD199" s="1643"/>
      <c r="AE199" s="577"/>
      <c r="AF199" s="577"/>
      <c r="AG199" s="577"/>
      <c r="AH199" s="577"/>
      <c r="AI199" s="1652">
        <v>11</v>
      </c>
    </row>
    <row s="1652" customFormat="1" customHeight="1" ht="11.549999999999999">
      <c r="A200" s="998"/>
      <c r="B200" s="1647"/>
      <c r="C200" s="1647"/>
      <c r="D200" s="362"/>
      <c r="J200" s="1652"/>
      <c r="K200" s="1652"/>
      <c r="L200" s="1652"/>
      <c r="N200" s="1171"/>
      <c r="O200" s="1647"/>
      <c r="P200" s="1647"/>
      <c r="Q200" s="1171"/>
      <c r="R200" s="1171"/>
      <c r="S200" s="1171"/>
      <c r="T200" s="1171"/>
      <c r="U200" s="1647"/>
      <c r="V200" s="1171"/>
      <c r="W200" s="1171"/>
      <c r="X200" s="555"/>
      <c r="Y200" s="1171"/>
      <c r="Z200" s="1171"/>
      <c r="AA200" s="1171"/>
      <c r="AB200" s="1171"/>
      <c r="AC200" s="1171"/>
      <c r="AD200" s="1643"/>
      <c r="AE200" s="577"/>
      <c r="AF200" s="577"/>
      <c r="AG200" s="577"/>
      <c r="AH200" s="577"/>
      <c r="AI200" s="1652">
        <v>11</v>
      </c>
    </row>
    <row s="1652" customFormat="1" customHeight="1" ht="11.549999999999999">
      <c r="A201" s="998"/>
      <c r="B201" s="1647"/>
      <c r="C201" s="1647"/>
      <c r="D201" s="362"/>
      <c r="J201" s="1652"/>
      <c r="K201" s="1652"/>
      <c r="L201" s="1652"/>
      <c r="N201" s="1171"/>
      <c r="O201" s="1647"/>
      <c r="P201" s="1647"/>
      <c r="Q201" s="1171"/>
      <c r="R201" s="1171"/>
      <c r="S201" s="1171"/>
      <c r="T201" s="1171"/>
      <c r="U201" s="1647"/>
      <c r="V201" s="1171"/>
      <c r="W201" s="1171"/>
      <c r="X201" s="555"/>
      <c r="Y201" s="1171"/>
      <c r="Z201" s="1171"/>
      <c r="AA201" s="1171"/>
      <c r="AB201" s="1171"/>
      <c r="AC201" s="1171"/>
      <c r="AD201" s="1643"/>
      <c r="AE201" s="577"/>
      <c r="AF201" s="577"/>
      <c r="AG201" s="577"/>
      <c r="AH201" s="577"/>
      <c r="AI201" s="1652">
        <v>11</v>
      </c>
    </row>
    <row s="1652" customFormat="1" customHeight="1" ht="11.549999999999999">
      <c r="A202" s="998"/>
      <c r="B202" s="1647"/>
      <c r="C202" s="1647"/>
      <c r="D202" s="362"/>
      <c r="J202" s="1652"/>
      <c r="K202" s="1652"/>
      <c r="L202" s="1652"/>
      <c r="N202" s="1171"/>
      <c r="O202" s="1647"/>
      <c r="P202" s="1647"/>
      <c r="Q202" s="1171"/>
      <c r="R202" s="1171"/>
      <c r="S202" s="1171"/>
      <c r="T202" s="1171"/>
      <c r="U202" s="1647"/>
      <c r="V202" s="1171"/>
      <c r="W202" s="1171"/>
      <c r="X202" s="555"/>
      <c r="Y202" s="1171"/>
      <c r="Z202" s="1171"/>
      <c r="AA202" s="1171"/>
      <c r="AB202" s="1171"/>
      <c r="AC202" s="1171"/>
      <c r="AD202" s="1643"/>
      <c r="AE202" s="577"/>
      <c r="AF202" s="577"/>
      <c r="AG202" s="577"/>
      <c r="AH202" s="577"/>
      <c r="AI202" s="1652">
        <v>11</v>
      </c>
    </row>
    <row s="1652" customFormat="1" customHeight="1" ht="11.549999999999999">
      <c r="A203" s="998"/>
      <c r="B203" s="1647"/>
      <c r="C203" s="1647"/>
      <c r="D203" s="362"/>
      <c r="J203" s="1652"/>
      <c r="K203" s="1652"/>
      <c r="L203" s="1652"/>
      <c r="N203" s="1171"/>
      <c r="O203" s="1647"/>
      <c r="P203" s="1647"/>
      <c r="Q203" s="1171"/>
      <c r="R203" s="1171"/>
      <c r="S203" s="1171"/>
      <c r="T203" s="1171"/>
      <c r="U203" s="1647"/>
      <c r="V203" s="1171"/>
      <c r="W203" s="1171"/>
      <c r="X203" s="555"/>
      <c r="Y203" s="1171"/>
      <c r="Z203" s="1171"/>
      <c r="AA203" s="1171"/>
      <c r="AB203" s="1171"/>
      <c r="AC203" s="1171"/>
      <c r="AD203" s="1643"/>
      <c r="AE203" s="577"/>
      <c r="AF203" s="577"/>
      <c r="AG203" s="577"/>
      <c r="AH203" s="577"/>
      <c r="AI203" s="1652">
        <v>11</v>
      </c>
    </row>
    <row s="1652" customFormat="1" customHeight="1" ht="11.549999999999999">
      <c r="A204" s="998"/>
      <c r="B204" s="1647"/>
      <c r="C204" s="1647"/>
      <c r="D204" s="362"/>
      <c r="J204" s="1652"/>
      <c r="K204" s="1652"/>
      <c r="L204" s="1652"/>
      <c r="N204" s="1171"/>
      <c r="O204" s="1647"/>
      <c r="P204" s="1647"/>
      <c r="Q204" s="1171"/>
      <c r="R204" s="1171"/>
      <c r="S204" s="1171"/>
      <c r="T204" s="1171"/>
      <c r="U204" s="1647"/>
      <c r="V204" s="1171"/>
      <c r="W204" s="1171"/>
      <c r="X204" s="555"/>
      <c r="Y204" s="1171"/>
      <c r="Z204" s="1171"/>
      <c r="AA204" s="1171"/>
      <c r="AB204" s="1171"/>
      <c r="AC204" s="1171"/>
      <c r="AD204" s="1643"/>
      <c r="AE204" s="577"/>
      <c r="AF204" s="577"/>
      <c r="AG204" s="577"/>
      <c r="AH204" s="577"/>
      <c r="AI204" s="1652">
        <v>11</v>
      </c>
    </row>
    <row customHeight="1" ht="11.549999999999999">
      <c r="J205" s="1646"/>
      <c r="K205" s="1646"/>
      <c r="L205" s="1646"/>
      <c r="AI205" s="1642">
        <v>11</v>
      </c>
    </row>
    <row customHeight="1" ht="11.549999999999999">
      <c r="J206" s="1646"/>
      <c r="K206" s="1646"/>
      <c r="L206" s="1646"/>
      <c r="AI206" s="1642">
        <v>11</v>
      </c>
    </row>
    <row customHeight="1" ht="11.549999999999999">
      <c r="J207" s="1646"/>
      <c r="K207" s="1646"/>
      <c r="L207" s="1646"/>
      <c r="AI207" s="1642">
        <v>11</v>
      </c>
    </row>
    <row customHeight="1" ht="11.549999999999999">
      <c r="A208" s="1001"/>
      <c r="B208" s="1642"/>
      <c r="D208" s="1642"/>
      <c r="J208" s="1646"/>
      <c r="K208" s="1646"/>
      <c r="L208" s="1646"/>
      <c r="N208" s="1642"/>
      <c r="Q208" s="1642"/>
      <c r="R208" s="1642"/>
      <c r="S208" s="1642"/>
      <c r="T208" s="1642"/>
      <c r="V208" s="1642"/>
      <c r="W208" s="1642"/>
      <c r="X208" s="1642"/>
      <c r="Y208" s="1642"/>
      <c r="Z208" s="1642"/>
      <c r="AA208" s="1642"/>
      <c r="AB208" s="1642"/>
      <c r="AC208" s="1642"/>
      <c r="AD208" s="1642"/>
      <c r="AE208" s="1642"/>
      <c r="AF208" s="1642"/>
      <c r="AG208" s="1642"/>
      <c r="AH208" s="1642"/>
      <c r="AI208" s="1642">
        <v>11</v>
      </c>
    </row>
    <row customHeight="1" ht="11.549999999999999">
      <c r="A209" s="1001"/>
      <c r="B209" s="1642"/>
      <c r="D209" s="1642"/>
      <c r="J209" s="1646"/>
      <c r="K209" s="1646"/>
      <c r="L209" s="1646"/>
      <c r="N209" s="1642"/>
      <c r="Q209" s="1642"/>
      <c r="R209" s="1642"/>
      <c r="S209" s="1642"/>
      <c r="T209" s="1642"/>
      <c r="V209" s="1642"/>
      <c r="W209" s="1642"/>
      <c r="X209" s="1642"/>
      <c r="Y209" s="1642"/>
      <c r="Z209" s="1642"/>
      <c r="AA209" s="1642"/>
      <c r="AB209" s="1642"/>
      <c r="AC209" s="1642"/>
      <c r="AD209" s="1642"/>
      <c r="AE209" s="1642"/>
      <c r="AF209" s="1642"/>
      <c r="AG209" s="1642"/>
      <c r="AH209" s="1642"/>
      <c r="AI209" s="1642">
        <v>11</v>
      </c>
    </row>
    <row customHeight="1" ht="11.549999999999999">
      <c r="A210" s="1001"/>
      <c r="B210" s="1642"/>
      <c r="D210" s="1642"/>
      <c r="J210" s="1646"/>
      <c r="K210" s="1646"/>
      <c r="L210" s="1646"/>
      <c r="N210" s="1642"/>
      <c r="Q210" s="1642"/>
      <c r="R210" s="1642"/>
      <c r="S210" s="1642"/>
      <c r="T210" s="1642"/>
      <c r="V210" s="1642"/>
      <c r="W210" s="1642"/>
      <c r="X210" s="1642"/>
      <c r="Y210" s="1642"/>
      <c r="Z210" s="1642"/>
      <c r="AA210" s="1642"/>
      <c r="AB210" s="1642"/>
      <c r="AC210" s="1642"/>
      <c r="AD210" s="1642"/>
      <c r="AE210" s="1642"/>
      <c r="AF210" s="1642"/>
      <c r="AG210" s="1642"/>
      <c r="AH210" s="1642"/>
      <c r="AI210" s="1642">
        <v>11</v>
      </c>
    </row>
    <row customHeight="1" ht="11.549999999999999">
      <c r="A211" s="1001"/>
      <c r="B211" s="1642"/>
      <c r="D211" s="1642"/>
      <c r="J211" s="1646"/>
      <c r="K211" s="1646"/>
      <c r="L211" s="1646"/>
      <c r="N211" s="1642"/>
      <c r="Q211" s="1642"/>
      <c r="R211" s="1642"/>
      <c r="S211" s="1642"/>
      <c r="T211" s="1642"/>
      <c r="V211" s="1642"/>
      <c r="W211" s="1642"/>
      <c r="X211" s="1642"/>
      <c r="Y211" s="1642"/>
      <c r="Z211" s="1642"/>
      <c r="AA211" s="1642"/>
      <c r="AB211" s="1642"/>
      <c r="AC211" s="1642"/>
      <c r="AD211" s="1642"/>
      <c r="AE211" s="1642"/>
      <c r="AF211" s="1642"/>
      <c r="AG211" s="1642"/>
      <c r="AH211" s="1642"/>
      <c r="AI211" s="1642">
        <v>11</v>
      </c>
    </row>
    <row customHeight="1" ht="11.549999999999999">
      <c r="A212" s="1001"/>
      <c r="B212" s="1642"/>
      <c r="D212" s="1642"/>
      <c r="J212" s="1646"/>
      <c r="K212" s="1646"/>
      <c r="L212" s="1646"/>
      <c r="N212" s="1642"/>
      <c r="Q212" s="1642"/>
      <c r="R212" s="1642"/>
      <c r="S212" s="1642"/>
      <c r="T212" s="1642"/>
      <c r="V212" s="1642"/>
      <c r="W212" s="1642"/>
      <c r="X212" s="1642"/>
      <c r="Y212" s="1642"/>
      <c r="Z212" s="1642"/>
      <c r="AA212" s="1642"/>
      <c r="AB212" s="1642"/>
      <c r="AC212" s="1642"/>
      <c r="AD212" s="1642"/>
      <c r="AE212" s="1642"/>
      <c r="AF212" s="1642"/>
      <c r="AG212" s="1642"/>
      <c r="AH212" s="1642"/>
      <c r="AI212" s="1642">
        <v>11</v>
      </c>
    </row>
    <row customHeight="1" ht="11.549999999999999">
      <c r="A213" s="1001"/>
      <c r="B213" s="1642"/>
      <c r="D213" s="1642"/>
      <c r="J213" s="1646"/>
      <c r="K213" s="1646"/>
      <c r="L213" s="1646"/>
      <c r="N213" s="1642"/>
      <c r="Q213" s="1642"/>
      <c r="R213" s="1642"/>
      <c r="S213" s="1642"/>
      <c r="T213" s="1642"/>
      <c r="V213" s="1642"/>
      <c r="W213" s="1642"/>
      <c r="X213" s="1642"/>
      <c r="Y213" s="1642"/>
      <c r="Z213" s="1642"/>
      <c r="AA213" s="1642"/>
      <c r="AB213" s="1642"/>
      <c r="AC213" s="1642"/>
      <c r="AD213" s="1642"/>
      <c r="AE213" s="1642"/>
      <c r="AF213" s="1642"/>
      <c r="AG213" s="1642"/>
      <c r="AH213" s="1642"/>
      <c r="AI213" s="1642">
        <v>11</v>
      </c>
    </row>
    <row customHeight="1" ht="11.549999999999999">
      <c r="A214" s="1001"/>
      <c r="B214" s="1642"/>
      <c r="D214" s="1642"/>
      <c r="J214" s="1646"/>
      <c r="K214" s="1646"/>
      <c r="L214" s="1646"/>
      <c r="N214" s="1642"/>
      <c r="Q214" s="1642"/>
      <c r="R214" s="1642"/>
      <c r="S214" s="1642"/>
      <c r="T214" s="1642"/>
      <c r="V214" s="1642"/>
      <c r="W214" s="1642"/>
      <c r="X214" s="1642"/>
      <c r="Y214" s="1642"/>
      <c r="Z214" s="1642"/>
      <c r="AA214" s="1642"/>
      <c r="AB214" s="1642"/>
      <c r="AC214" s="1642"/>
      <c r="AD214" s="1642"/>
      <c r="AE214" s="1642"/>
      <c r="AF214" s="1642"/>
      <c r="AG214" s="1642"/>
      <c r="AH214" s="1642"/>
      <c r="AI214" s="1642">
        <v>11</v>
      </c>
    </row>
    <row customHeight="1" ht="11.549999999999999">
      <c r="A215" s="1001"/>
      <c r="B215" s="1642"/>
      <c r="D215" s="1642"/>
      <c r="J215" s="1646"/>
      <c r="K215" s="1646"/>
      <c r="L215" s="1646"/>
      <c r="N215" s="1642"/>
      <c r="Q215" s="1642"/>
      <c r="R215" s="1642"/>
      <c r="S215" s="1642"/>
      <c r="T215" s="1642"/>
      <c r="V215" s="1642"/>
      <c r="W215" s="1642"/>
      <c r="X215" s="1642"/>
      <c r="Y215" s="1642"/>
      <c r="Z215" s="1642"/>
      <c r="AA215" s="1642"/>
      <c r="AB215" s="1642"/>
      <c r="AC215" s="1642"/>
      <c r="AD215" s="1642"/>
      <c r="AE215" s="1642"/>
      <c r="AF215" s="1642"/>
      <c r="AG215" s="1642"/>
      <c r="AH215" s="1642"/>
      <c r="AI215" s="1642">
        <v>11</v>
      </c>
    </row>
    <row customHeight="1" ht="11.549999999999999">
      <c r="A216" s="1001"/>
      <c r="B216" s="1642"/>
      <c r="D216" s="1642"/>
      <c r="J216" s="1646"/>
      <c r="K216" s="1646"/>
      <c r="L216" s="1646"/>
      <c r="N216" s="1642"/>
      <c r="Q216" s="1642"/>
      <c r="R216" s="1642"/>
      <c r="S216" s="1642"/>
      <c r="T216" s="1642"/>
      <c r="V216" s="1642"/>
      <c r="W216" s="1642"/>
      <c r="X216" s="1642"/>
      <c r="Y216" s="1642"/>
      <c r="Z216" s="1642"/>
      <c r="AA216" s="1642"/>
      <c r="AB216" s="1642"/>
      <c r="AC216" s="1642"/>
      <c r="AD216" s="1642"/>
      <c r="AE216" s="1642"/>
      <c r="AF216" s="1642"/>
      <c r="AG216" s="1642"/>
      <c r="AH216" s="1642"/>
      <c r="AI216" s="1642">
        <v>11</v>
      </c>
    </row>
    <row customHeight="1" ht="11.549999999999999">
      <c r="A217" s="1001"/>
      <c r="B217" s="1642"/>
      <c r="D217" s="1642"/>
      <c r="J217" s="1646"/>
      <c r="K217" s="1646"/>
      <c r="L217" s="1646"/>
      <c r="N217" s="1642"/>
      <c r="Q217" s="1642"/>
      <c r="R217" s="1642"/>
      <c r="S217" s="1642"/>
      <c r="T217" s="1642"/>
      <c r="V217" s="1642"/>
      <c r="W217" s="1642"/>
      <c r="X217" s="1642"/>
      <c r="Y217" s="1642"/>
      <c r="Z217" s="1642"/>
      <c r="AA217" s="1642"/>
      <c r="AB217" s="1642"/>
      <c r="AC217" s="1642"/>
      <c r="AD217" s="1642"/>
      <c r="AE217" s="1642"/>
      <c r="AF217" s="1642"/>
      <c r="AG217" s="1642"/>
      <c r="AH217" s="1642"/>
      <c r="AI217" s="1642">
        <v>11</v>
      </c>
    </row>
    <row customHeight="1" ht="11.549999999999999">
      <c r="A218" s="1001"/>
      <c r="B218" s="1642"/>
      <c r="D218" s="1642"/>
      <c r="J218" s="1646"/>
      <c r="K218" s="1646"/>
      <c r="L218" s="1646"/>
      <c r="N218" s="1642"/>
      <c r="Q218" s="1642"/>
      <c r="R218" s="1642"/>
      <c r="S218" s="1642"/>
      <c r="T218" s="1642"/>
      <c r="V218" s="1642"/>
      <c r="W218" s="1642"/>
      <c r="X218" s="1642"/>
      <c r="Y218" s="1642"/>
      <c r="Z218" s="1642"/>
      <c r="AA218" s="1642"/>
      <c r="AB218" s="1642"/>
      <c r="AC218" s="1642"/>
      <c r="AD218" s="1642"/>
      <c r="AE218" s="1642"/>
      <c r="AF218" s="1642"/>
      <c r="AG218" s="1642"/>
      <c r="AH218" s="1642"/>
      <c r="AI218" s="1642">
        <v>11</v>
      </c>
    </row>
    <row customHeight="1" ht="11.25" hidden="1">
      <c r="A219" s="998" t="s">
        <v>83</v>
      </c>
      <c r="B219" s="1171">
        <v>0</v>
      </c>
      <c r="C219" s="1647">
        <v>0</v>
      </c>
      <c r="D219" s="1646">
        <v>3</v>
      </c>
      <c r="E219" s="1642">
        <v>7</v>
      </c>
      <c r="F219" s="1642">
        <v>56</v>
      </c>
      <c r="G219" s="1642">
        <v>10</v>
      </c>
      <c r="H219" s="1642">
        <v>0</v>
      </c>
      <c r="I219" s="1642">
        <v>40</v>
      </c>
      <c r="J219" s="1646">
        <v>0</v>
      </c>
      <c r="K219" s="1646">
        <v>0</v>
      </c>
      <c r="L219" s="1646">
        <v>0</v>
      </c>
      <c r="M219" s="1642">
        <v>102</v>
      </c>
      <c r="N219" s="1171">
        <v>9</v>
      </c>
      <c r="O219" s="1647">
        <v>5</v>
      </c>
      <c r="P219" s="1647">
        <v>3</v>
      </c>
      <c r="Q219" s="1171">
        <v>3</v>
      </c>
      <c r="R219" s="1171">
        <v>3</v>
      </c>
      <c r="S219" s="1171">
        <v>3</v>
      </c>
      <c r="T219" s="1171">
        <v>3</v>
      </c>
      <c r="U219" s="1647">
        <v>10</v>
      </c>
      <c r="V219" s="1171">
        <v>34</v>
      </c>
      <c r="W219" s="1171">
        <v>9</v>
      </c>
      <c r="X219" s="555">
        <v>8</v>
      </c>
      <c r="Y219" s="1171">
        <v>8</v>
      </c>
      <c r="Z219" s="1171">
        <v>8</v>
      </c>
      <c r="AA219" s="1171">
        <v>8</v>
      </c>
      <c r="AB219" s="1171">
        <v>8</v>
      </c>
      <c r="AC219" s="1171">
        <v>8</v>
      </c>
      <c r="AD219" s="1643">
        <v>8</v>
      </c>
      <c r="AE219" s="1643">
        <v>8</v>
      </c>
      <c r="AF219" s="1643">
        <v>8</v>
      </c>
      <c r="AG219" s="1643">
        <v>8</v>
      </c>
      <c r="AH219" s="1643">
        <v>8</v>
      </c>
      <c r="AI219" s="1642">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40:L41 H2:L2 H15:L15 H17:L32 H46:L48 H35: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L45">
      <formula1>900</formula1>
    </dataValidation>
    <dataValidation type="decimal" allowBlank="1" showErrorMessage="1" errorTitle="Ошибка" error="Допускается ввод только действительных чисел!" sqref="H38:L39">
      <formula1>-9.99999999999999E+23</formula1>
      <formula2>9.99999999999999E+23</formula2>
    </dataValidation>
    <dataValidation type="decimal" allowBlank="1" showErrorMessage="1" errorTitle="Ошибка" error="Допускается ввод только действительных чисел!" sqref="H42:L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1A997-2078-2A68-2092-4B3902727D08}" mc:Ignorable="x14ac xr xr2 xr3">
  <sheetPr>
    <tabColor theme="9" tint="-0.25"/>
  </sheetPr>
  <dimension ref="A1:AI215"/>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8" width="10.7109375" hidden="1" customWidth="1"/>
    <col min="2" max="2" style="1377" width="16.8515625" hidden="1" customWidth="1"/>
    <col min="3" max="3" style="1653" width="5.57421875" hidden="1" customWidth="1"/>
    <col min="4" max="4" style="1646" width="3.00390625" customWidth="1"/>
    <col min="5" max="5" style="1646" width="7.00390625" customWidth="1"/>
    <col min="6" max="6" style="1646" width="54.00390625" customWidth="1"/>
    <col min="7" max="7" style="1646" width="10.00390625" customWidth="1"/>
    <col min="8" max="8" style="1646" width="40.7109375" hidden="1" customWidth="1"/>
    <col min="9" max="9" style="1646" width="40.00390625" customWidth="1"/>
    <col min="10" max="12" style="1646" width="40.7109375" customWidth="1"/>
    <col min="13" max="13" style="1646" width="102.00390625" customWidth="1"/>
    <col min="14" max="14" style="1377" width="9.00390625" customWidth="1"/>
    <col min="15" max="15" style="1653" width="5.00390625" customWidth="1"/>
    <col min="16" max="16" style="1653" width="3.00390625" customWidth="1"/>
    <col min="17" max="20" style="1377" width="3.00390625" customWidth="1"/>
    <col min="21" max="21" style="1653" width="10.00390625" customWidth="1"/>
    <col min="22" max="22" style="1377" width="34.00390625" customWidth="1"/>
    <col min="23" max="23" style="1377" width="9.00390625" customWidth="1"/>
    <col min="24" max="24" style="747" width="8.00390625" customWidth="1"/>
    <col min="25" max="29" style="1377" width="8.00390625" customWidth="1"/>
    <col min="30" max="34" style="1643" width="8.00390625" customWidth="1"/>
    <col min="35" max="35" style="1646" width="9.140625" hidden="1"/>
  </cols>
  <sheetData>
    <row s="1377" customFormat="1" customHeight="1" ht="22.5" hidden="1">
      <c r="A1" s="998"/>
      <c r="C1" s="1647"/>
      <c r="D1" s="548"/>
      <c r="H1" s="1171">
        <v>4</v>
      </c>
      <c r="I1" s="1171">
        <v>4</v>
      </c>
      <c r="J1" s="1377" t="s">
        <v>91</v>
      </c>
      <c r="K1" s="1377">
        <v>4</v>
      </c>
      <c r="L1" s="1377">
        <v>4</v>
      </c>
      <c r="O1" s="1647"/>
      <c r="P1" s="1647"/>
      <c r="U1" s="1647"/>
      <c r="AI1" s="1171" t="s">
        <v>14</v>
      </c>
    </row>
    <row s="1377" customFormat="1" customHeight="1" ht="22.5" hidden="1">
      <c r="A2" s="998"/>
      <c r="C2" s="1647"/>
      <c r="D2" s="549"/>
      <c r="E2" s="1669"/>
      <c r="F2" s="551"/>
      <c r="G2" s="1668" t="s">
        <v>564</v>
      </c>
      <c r="H2" s="552"/>
      <c r="I2" s="552"/>
      <c r="J2" s="762"/>
      <c r="K2" s="762"/>
      <c r="L2" s="762"/>
      <c r="M2" s="553" t="s">
        <v>567</v>
      </c>
      <c r="N2" s="554"/>
      <c r="O2" s="1647"/>
      <c r="P2" s="1647"/>
      <c r="U2" s="1647"/>
      <c r="X2" s="555"/>
      <c r="AD2" s="1643"/>
      <c r="AE2" s="1643"/>
      <c r="AF2" s="1643"/>
      <c r="AG2" s="1643"/>
      <c r="AH2" s="1643"/>
      <c r="AI2" s="1171">
        <v>0</v>
      </c>
    </row>
    <row customHeight="1" ht="11.25" hidden="1">
      <c r="J3" s="1646"/>
      <c r="K3" s="1646"/>
      <c r="L3" s="1646"/>
      <c r="AI3" s="1642">
        <v>0</v>
      </c>
    </row>
    <row s="1643" customFormat="1" customHeight="1" ht="11.25" hidden="1">
      <c r="A4" s="998"/>
      <c r="B4" s="1171"/>
      <c r="C4" s="1647"/>
      <c r="D4" s="373"/>
      <c r="J4" s="1643"/>
      <c r="K4" s="1643"/>
      <c r="L4" s="1643"/>
      <c r="M4" s="1643">
        <v>4</v>
      </c>
      <c r="N4" s="1171"/>
      <c r="O4" s="1647"/>
      <c r="P4" s="1647"/>
      <c r="Q4" s="1171"/>
      <c r="R4" s="1171"/>
      <c r="S4" s="1171"/>
      <c r="T4" s="1171"/>
      <c r="U4" s="1647"/>
      <c r="V4" s="1171"/>
      <c r="W4" s="1171"/>
      <c r="X4" s="555"/>
      <c r="Y4" s="1171"/>
      <c r="Z4" s="1171"/>
      <c r="AA4" s="1171"/>
      <c r="AB4" s="1171"/>
      <c r="AC4" s="1171"/>
      <c r="AI4" s="1643">
        <v>0</v>
      </c>
    </row>
    <row customHeight="1" ht="11.549999999999999">
      <c r="J5" s="1646"/>
      <c r="K5" s="1646"/>
      <c r="L5" s="1646"/>
      <c r="AI5" s="1642">
        <v>11</v>
      </c>
    </row>
    <row customHeight="1" ht="33.75">
      <c r="E6" s="2278" t="s">
        <v>855</v>
      </c>
      <c r="F6" s="2278"/>
      <c r="G6" s="2278"/>
      <c r="H6" s="2278"/>
      <c r="I6" s="2278"/>
      <c r="J6" s="2278"/>
      <c r="K6" s="2278"/>
      <c r="L6" s="2278"/>
      <c r="M6" s="567"/>
      <c r="AI6" s="1642">
        <v>32</v>
      </c>
    </row>
    <row customHeight="1" ht="25.2">
      <c r="E7" s="2279" t="str">
        <f>IF(org=0,"Не определено",org)</f>
        <v>ПАО "КГК"</v>
      </c>
      <c r="F7" s="2279"/>
      <c r="G7" s="2279"/>
      <c r="H7" s="2279"/>
      <c r="I7" s="2279"/>
      <c r="J7" s="2279"/>
      <c r="K7" s="2279"/>
      <c r="L7" s="2279"/>
      <c r="AI7" s="1642">
        <v>24</v>
      </c>
    </row>
    <row customHeight="1" ht="11.549999999999999">
      <c r="E8" s="1146"/>
      <c r="F8" s="1146"/>
      <c r="G8" s="1146"/>
      <c r="H8" s="1146"/>
      <c r="I8" s="1146"/>
      <c r="J8" s="1147" t="s">
        <v>22</v>
      </c>
      <c r="K8" s="1147" t="s">
        <v>22</v>
      </c>
      <c r="L8" s="1147" t="s">
        <v>22</v>
      </c>
      <c r="AI8" s="1642">
        <v>11</v>
      </c>
    </row>
    <row s="1653" customFormat="1" customHeight="1" ht="1.05">
      <c r="A9" s="1178"/>
      <c r="D9" s="1653"/>
      <c r="H9" s="900"/>
      <c r="I9" s="900" t="s">
        <v>128</v>
      </c>
      <c r="J9" s="900" t="s">
        <v>132</v>
      </c>
      <c r="K9" s="900" t="s">
        <v>134</v>
      </c>
      <c r="L9" s="900" t="s">
        <v>135</v>
      </c>
      <c r="AI9" s="1647">
        <v>1</v>
      </c>
    </row>
    <row customHeight="1" ht="11.549999999999999">
      <c r="E10" s="722"/>
      <c r="F10" s="2397" t="s">
        <v>116</v>
      </c>
      <c r="G10" s="2398"/>
      <c r="H10" s="1670" t="str">
        <f>IF(H9="","",INDEX(DIFFERENTIATION_UNMERGE_VD,MATCH(H9,DIFFERENTIATION_ID_DIFF,0)))</f>
        <v/>
      </c>
      <c r="I10" s="1670"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423" t="str">
        <f>IF(J9="","",INDEX(DIFFERENTIATION_UNMERGE_VD,MATCH(J9,DIFFERENTIATION_ID_DIFF,0)))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K10" s="2423" t="str">
        <f>IF(K9="","",INDEX(DIFFERENTIATION_UNMERGE_VD,MATCH(K9,DIFFERENTIATION_ID_DIFF,0)))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10" s="2423" t="str">
        <f>IF(L9="","",INDEX(DIFFERENTIATION_UNMERGE_VD,MATCH(L9,DIFFERENTIATION_ID_DIFF,0)))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M10" s="2157" t="s">
        <v>315</v>
      </c>
      <c r="AI10" s="1642">
        <v>11</v>
      </c>
    </row>
    <row customHeight="1" ht="11.549999999999999">
      <c r="E11" s="722"/>
      <c r="F11" s="2397" t="s">
        <v>576</v>
      </c>
      <c r="G11" s="2398"/>
      <c r="H11" s="1670" t="str">
        <f>IF(H9="","",INDEX(DIFFERENTIATION_UNMERGE_AREA,MATCH(H9,DIFFERENTIATION_ID_DIFF,0)))</f>
        <v/>
      </c>
      <c r="I11" s="1670" t="str">
        <f>IF(I9="","",INDEX(DIFFERENTIATION_UNMERGE_AREA,MATCH(I9,DIFFERENTIATION_ID_DIFF,0)))</f>
        <v>Территория 1</v>
      </c>
      <c r="J11" s="2423" t="str">
        <f>IF(J9="","",INDEX(DIFFERENTIATION_UNMERGE_AREA,MATCH(J9,DIFFERENTIATION_ID_DIFF,0)))</f>
        <v>Территория 1</v>
      </c>
      <c r="K11" s="2423" t="str">
        <f>IF(K9="","",INDEX(DIFFERENTIATION_UNMERGE_AREA,MATCH(K9,DIFFERENTIATION_ID_DIFF,0)))</f>
        <v>Территория 2</v>
      </c>
      <c r="L11" s="2423" t="str">
        <f>IF(L9="","",INDEX(DIFFERENTIATION_UNMERGE_AREA,MATCH(L9,DIFFERENTIATION_ID_DIFF,0)))</f>
        <v>Территория 3</v>
      </c>
      <c r="M11" s="2157"/>
      <c r="AI11" s="1642">
        <v>11</v>
      </c>
    </row>
    <row customHeight="1" ht="11.25" hidden="1">
      <c r="E12" s="1673"/>
      <c r="F12" s="2420" t="s">
        <v>577</v>
      </c>
      <c r="G12" s="2421"/>
      <c r="H12" s="1674" t="str">
        <f>IF(H9="","",INDEX(DIFFERENTIATION_UNMERGE_SYSTEM,MATCH(H9,DIFFERENTIATION_ID_DIFF,0)))</f>
        <v/>
      </c>
      <c r="I12" s="1674" t="str">
        <f>IF(I9="","",INDEX(DIFFERENTIATION_UNMERGE_SYSTEM,MATCH(I9,DIFFERENTIATION_ID_DIFF,0)))</f>
        <v>СП "Тепловые сети"</v>
      </c>
      <c r="J12" s="1674" t="str">
        <f>IF(J9="","",INDEX(DIFFERENTIATION_UNMERGE_SYSTEM,MATCH(J9,DIFFERENTIATION_ID_DIFF,0)))</f>
        <v>ОП "Энергетические сети"</v>
      </c>
      <c r="K12" s="1674" t="str">
        <f>IF(K9="","",INDEX(DIFFERENTIATION_UNMERGE_SYSTEM,MATCH(K9,DIFFERENTIATION_ID_DIFF,0)))</f>
        <v>без дифференциации</v>
      </c>
      <c r="L12" s="1674" t="str">
        <f>IF(L9="","",INDEX(DIFFERENTIATION_UNMERGE_SYSTEM,MATCH(L9,DIFFERENTIATION_ID_DIFF,0)))</f>
        <v>без дифференциации</v>
      </c>
      <c r="M12" s="2157"/>
      <c r="AI12" s="1642">
        <v>0</v>
      </c>
    </row>
    <row customHeight="1" ht="11.549999999999999">
      <c r="E13" s="2399" t="s">
        <v>314</v>
      </c>
      <c r="F13" s="2400"/>
      <c r="G13" s="2400"/>
      <c r="H13" s="1667"/>
      <c r="I13" s="1667"/>
      <c r="J13" s="2397"/>
      <c r="K13" s="2397"/>
      <c r="L13" s="2397"/>
      <c r="M13" s="2157"/>
      <c r="AI13" s="1642">
        <v>11</v>
      </c>
    </row>
    <row customHeight="1" ht="24">
      <c r="E14" s="1668" t="s">
        <v>89</v>
      </c>
      <c r="F14" s="1671" t="s">
        <v>316</v>
      </c>
      <c r="G14" s="1671" t="s">
        <v>578</v>
      </c>
      <c r="H14" s="1671" t="s">
        <v>317</v>
      </c>
      <c r="I14" s="1671" t="s">
        <v>317</v>
      </c>
      <c r="J14" s="2342" t="s">
        <v>317</v>
      </c>
      <c r="K14" s="2342" t="s">
        <v>317</v>
      </c>
      <c r="L14" s="2342" t="s">
        <v>317</v>
      </c>
      <c r="M14" s="2157"/>
      <c r="AI14" s="1642">
        <v>23</v>
      </c>
    </row>
    <row customHeight="1" ht="19.95">
      <c r="D15" s="1649"/>
      <c r="E15" s="1641" t="s">
        <v>120</v>
      </c>
      <c r="F15" s="718" t="s">
        <v>856</v>
      </c>
      <c r="G15" s="1668" t="s">
        <v>564</v>
      </c>
      <c r="H15" s="568"/>
      <c r="I15" s="568"/>
      <c r="J15" s="568"/>
      <c r="K15" s="568"/>
      <c r="L15" s="568"/>
      <c r="M15" s="300" t="s">
        <v>857</v>
      </c>
      <c r="N15" s="554" t="s">
        <v>705</v>
      </c>
      <c r="AI15" s="1642">
        <v>19</v>
      </c>
    </row>
    <row customHeight="1" ht="24">
      <c r="D16" s="1649"/>
      <c r="E16" s="1641" t="s">
        <v>104</v>
      </c>
      <c r="F16" s="2095" t="s">
        <v>858</v>
      </c>
      <c r="G16" s="1668" t="s">
        <v>564</v>
      </c>
      <c r="H16" s="569">
        <f>SUM(H17,H20:H27)</f>
        <v>0</v>
      </c>
      <c r="I16" s="569">
        <f>SUM(I17,I20:I27)</f>
        <v>0</v>
      </c>
      <c r="J16" s="569">
        <f>SUM(J17,J20:J27)</f>
        <v>0</v>
      </c>
      <c r="K16" s="569">
        <f>SUM(K17,K20:K27)</f>
        <v>0</v>
      </c>
      <c r="L16" s="569">
        <f>SUM(L17,L20:L27)</f>
        <v>0</v>
      </c>
      <c r="M16" s="2092" t="s">
        <v>859</v>
      </c>
      <c r="N16" s="554" t="s">
        <v>705</v>
      </c>
      <c r="AI16" s="1642">
        <v>23</v>
      </c>
    </row>
    <row customHeight="1" ht="35.699999999999996">
      <c r="D17" s="1649"/>
      <c r="E17" s="1675" t="s">
        <v>783</v>
      </c>
      <c r="F17" s="1677" t="s">
        <v>860</v>
      </c>
      <c r="G17" s="1665" t="s">
        <v>564</v>
      </c>
      <c r="H17" s="568"/>
      <c r="I17" s="568"/>
      <c r="J17" s="568"/>
      <c r="K17" s="568"/>
      <c r="L17" s="568"/>
      <c r="M17" s="300" t="s">
        <v>861</v>
      </c>
      <c r="N17" s="554"/>
      <c r="AI17" s="1642">
        <v>34</v>
      </c>
    </row>
    <row customHeight="1" ht="19.95">
      <c r="D18" s="1649"/>
      <c r="E18" s="1675" t="s">
        <v>786</v>
      </c>
      <c r="F18" s="1678" t="s">
        <v>862</v>
      </c>
      <c r="G18" s="1665" t="s">
        <v>564</v>
      </c>
      <c r="H18" s="568"/>
      <c r="I18" s="568"/>
      <c r="J18" s="568"/>
      <c r="K18" s="568"/>
      <c r="L18" s="568"/>
      <c r="M18" s="300"/>
      <c r="N18" s="554"/>
      <c r="AI18" s="1642">
        <v>19</v>
      </c>
    </row>
    <row customHeight="1" ht="24">
      <c r="D19" s="1649"/>
      <c r="E19" s="1675" t="s">
        <v>789</v>
      </c>
      <c r="F19" s="1678" t="s">
        <v>863</v>
      </c>
      <c r="G19" s="1665" t="s">
        <v>564</v>
      </c>
      <c r="H19" s="568"/>
      <c r="I19" s="568"/>
      <c r="J19" s="568"/>
      <c r="K19" s="568"/>
      <c r="L19" s="568"/>
      <c r="M19" s="300"/>
      <c r="N19" s="554"/>
      <c r="AI19" s="1642">
        <v>23</v>
      </c>
    </row>
    <row customHeight="1" ht="35.699999999999996">
      <c r="D20" s="1649"/>
      <c r="E20" s="1675" t="s">
        <v>321</v>
      </c>
      <c r="F20" s="1677" t="s">
        <v>864</v>
      </c>
      <c r="G20" s="1665" t="s">
        <v>564</v>
      </c>
      <c r="H20" s="568"/>
      <c r="I20" s="568"/>
      <c r="J20" s="568"/>
      <c r="K20" s="568"/>
      <c r="L20" s="568"/>
      <c r="M20" s="300"/>
      <c r="N20" s="554"/>
      <c r="AI20" s="1642">
        <v>34</v>
      </c>
    </row>
    <row customHeight="1" ht="48.29999999999999">
      <c r="D21" s="1649"/>
      <c r="E21" s="1675" t="s">
        <v>324</v>
      </c>
      <c r="F21" s="1677" t="s">
        <v>865</v>
      </c>
      <c r="G21" s="1665" t="s">
        <v>564</v>
      </c>
      <c r="H21" s="568"/>
      <c r="I21" s="568"/>
      <c r="J21" s="568"/>
      <c r="K21" s="568"/>
      <c r="L21" s="568"/>
      <c r="M21" s="300"/>
      <c r="N21" s="554"/>
      <c r="AI21" s="1642">
        <v>46</v>
      </c>
    </row>
    <row customHeight="1" ht="60">
      <c r="D22" s="1649"/>
      <c r="E22" s="1675" t="s">
        <v>803</v>
      </c>
      <c r="F22" s="1677" t="s">
        <v>866</v>
      </c>
      <c r="G22" s="1665" t="s">
        <v>564</v>
      </c>
      <c r="H22" s="568"/>
      <c r="I22" s="568"/>
      <c r="J22" s="568"/>
      <c r="K22" s="568"/>
      <c r="L22" s="568"/>
      <c r="M22" s="300"/>
      <c r="N22" s="554"/>
      <c r="AI22" s="1642">
        <v>57</v>
      </c>
    </row>
    <row customHeight="1" ht="35.699999999999996">
      <c r="D23" s="1649"/>
      <c r="E23" s="1675" t="s">
        <v>810</v>
      </c>
      <c r="F23" s="1677" t="s">
        <v>867</v>
      </c>
      <c r="G23" s="1665" t="s">
        <v>564</v>
      </c>
      <c r="H23" s="568"/>
      <c r="I23" s="568"/>
      <c r="J23" s="568"/>
      <c r="K23" s="568"/>
      <c r="L23" s="568"/>
      <c r="M23" s="300"/>
      <c r="N23" s="554"/>
      <c r="AI23" s="1642">
        <v>34</v>
      </c>
    </row>
    <row customHeight="1" ht="35.699999999999996">
      <c r="D24" s="1649"/>
      <c r="E24" s="1675" t="s">
        <v>812</v>
      </c>
      <c r="F24" s="1677" t="s">
        <v>868</v>
      </c>
      <c r="G24" s="1665" t="s">
        <v>564</v>
      </c>
      <c r="H24" s="568"/>
      <c r="I24" s="568"/>
      <c r="J24" s="568"/>
      <c r="K24" s="568"/>
      <c r="L24" s="568"/>
      <c r="M24" s="300"/>
      <c r="N24" s="554"/>
      <c r="AI24" s="1642">
        <v>34</v>
      </c>
    </row>
    <row customHeight="1" ht="24">
      <c r="D25" s="1649"/>
      <c r="E25" s="1675" t="s">
        <v>814</v>
      </c>
      <c r="F25" s="1677" t="s">
        <v>869</v>
      </c>
      <c r="G25" s="1665" t="s">
        <v>564</v>
      </c>
      <c r="H25" s="568"/>
      <c r="I25" s="568"/>
      <c r="J25" s="568"/>
      <c r="K25" s="568"/>
      <c r="L25" s="568"/>
      <c r="M25" s="300"/>
      <c r="N25" s="554"/>
      <c r="AI25" s="1642">
        <v>23</v>
      </c>
    </row>
    <row customHeight="1" ht="76.5">
      <c r="D26" s="1649"/>
      <c r="E26" s="1675" t="s">
        <v>816</v>
      </c>
      <c r="F26" s="1677" t="s">
        <v>870</v>
      </c>
      <c r="G26" s="1665" t="s">
        <v>564</v>
      </c>
      <c r="H26" s="568"/>
      <c r="I26" s="568"/>
      <c r="J26" s="568"/>
      <c r="K26" s="568"/>
      <c r="L26" s="568"/>
      <c r="M26" s="300"/>
      <c r="N26" s="554"/>
      <c r="AI26" s="1642">
        <v>73</v>
      </c>
    </row>
    <row s="1377" customFormat="1" customHeight="1" ht="35.699999999999996">
      <c r="A27" s="998"/>
      <c r="C27" s="1647"/>
      <c r="D27" s="1649"/>
      <c r="E27" s="1640" t="s">
        <v>820</v>
      </c>
      <c r="F27" s="1639" t="s">
        <v>871</v>
      </c>
      <c r="G27" s="1666" t="s">
        <v>564</v>
      </c>
      <c r="H27" s="590">
        <f>SUM(H28:H29)</f>
        <v>0</v>
      </c>
      <c r="I27" s="590">
        <f>SUM(I28:I29)</f>
        <v>0</v>
      </c>
      <c r="J27" s="590">
        <f>SUM(J28:J29)</f>
        <v>0</v>
      </c>
      <c r="K27" s="590">
        <f>SUM(K28:K29)</f>
        <v>0</v>
      </c>
      <c r="L27" s="590">
        <f>SUM(L28:L29)</f>
        <v>0</v>
      </c>
      <c r="M27" s="300" t="s">
        <v>818</v>
      </c>
      <c r="N27" s="554"/>
      <c r="O27" s="1647"/>
      <c r="P27" s="1647"/>
      <c r="U27" s="1647"/>
      <c r="X27" s="555"/>
      <c r="AD27" s="1643"/>
      <c r="AE27" s="1643"/>
      <c r="AF27" s="1643"/>
      <c r="AG27" s="1643"/>
      <c r="AH27" s="1643"/>
      <c r="AI27" s="1171">
        <v>34</v>
      </c>
    </row>
    <row s="1653" customFormat="1" customHeight="1" ht="1.05">
      <c r="A28" s="1178"/>
      <c r="D28" s="559"/>
      <c r="E28" s="813" t="str">
        <f>E27&amp;".0"</f>
        <v>2.9.0</v>
      </c>
      <c r="F28" s="1002"/>
      <c r="G28" s="562"/>
      <c r="H28" s="1003"/>
      <c r="I28" s="1003"/>
      <c r="J28" s="1003"/>
      <c r="K28" s="1003"/>
      <c r="L28" s="1003"/>
      <c r="M28" s="1004"/>
      <c r="AI28" s="1647">
        <v>1</v>
      </c>
    </row>
    <row s="1377" customFormat="1" customHeight="1" ht="19.95">
      <c r="A29" s="998"/>
      <c r="C29" s="1647"/>
      <c r="D29" s="1644"/>
      <c r="E29" s="581"/>
      <c r="F29" s="1676" t="s">
        <v>603</v>
      </c>
      <c r="G29" s="583"/>
      <c r="H29" s="584"/>
      <c r="I29" s="584"/>
      <c r="J29" s="2691"/>
      <c r="K29" s="2692"/>
      <c r="L29" s="2693"/>
      <c r="M29" s="312" t="s">
        <v>819</v>
      </c>
      <c r="N29" s="554"/>
      <c r="O29" s="1647"/>
      <c r="P29" s="1647"/>
      <c r="U29" s="1647"/>
      <c r="X29" s="555"/>
      <c r="AD29" s="1643"/>
      <c r="AE29" s="1643"/>
      <c r="AF29" s="1643"/>
      <c r="AG29" s="1643"/>
      <c r="AH29" s="1643"/>
      <c r="AI29" s="1171">
        <v>19</v>
      </c>
    </row>
    <row customHeight="1" ht="76.5">
      <c r="B30" s="1377"/>
      <c r="D30" s="2086"/>
      <c r="E30" s="1675" t="s">
        <v>872</v>
      </c>
      <c r="F30" s="2094" t="s">
        <v>827</v>
      </c>
      <c r="G30" s="2085" t="s">
        <v>564</v>
      </c>
      <c r="H30" s="568"/>
      <c r="I30" s="568"/>
      <c r="J30" s="568"/>
      <c r="K30" s="568"/>
      <c r="L30" s="568"/>
      <c r="M30" s="2092" t="s">
        <v>873</v>
      </c>
      <c r="N30" s="554"/>
      <c r="Q30" s="1377"/>
      <c r="R30" s="1377"/>
      <c r="S30" s="1377"/>
      <c r="T30" s="1377"/>
      <c r="V30" s="1377"/>
      <c r="W30" s="1377"/>
      <c r="Y30" s="1377"/>
      <c r="Z30" s="1377"/>
      <c r="AA30" s="1377"/>
      <c r="AB30" s="1377"/>
      <c r="AC30" s="1377"/>
      <c r="AI30" s="1642">
        <v>73</v>
      </c>
    </row>
    <row s="1377" customFormat="1" customHeight="1" ht="24">
      <c r="A31" s="998"/>
      <c r="C31" s="1647"/>
      <c r="D31" s="1649"/>
      <c r="E31" s="1675" t="s">
        <v>91</v>
      </c>
      <c r="F31" s="1672" t="s">
        <v>874</v>
      </c>
      <c r="G31" s="1665" t="s">
        <v>564</v>
      </c>
      <c r="H31" s="568"/>
      <c r="I31" s="568"/>
      <c r="J31" s="568"/>
      <c r="K31" s="568"/>
      <c r="L31" s="568"/>
      <c r="M31" s="300"/>
      <c r="N31" s="554"/>
      <c r="O31" s="1647"/>
      <c r="P31" s="1647"/>
      <c r="U31" s="1647"/>
      <c r="X31" s="555"/>
      <c r="AD31" s="1643"/>
      <c r="AE31" s="1643"/>
      <c r="AF31" s="1643"/>
      <c r="AG31" s="1643"/>
      <c r="AH31" s="1643"/>
      <c r="AI31" s="1171">
        <v>23</v>
      </c>
    </row>
    <row s="1377" customFormat="1" customHeight="1" ht="35.699999999999996">
      <c r="A32" s="998"/>
      <c r="C32" s="1647"/>
      <c r="D32" s="586"/>
      <c r="E32" s="1675" t="s">
        <v>92</v>
      </c>
      <c r="F32" s="1672" t="s">
        <v>875</v>
      </c>
      <c r="G32" s="1665" t="s">
        <v>564</v>
      </c>
      <c r="H32" s="568"/>
      <c r="I32" s="568"/>
      <c r="J32" s="568"/>
      <c r="K32" s="568"/>
      <c r="L32" s="568"/>
      <c r="M32" s="300" t="s">
        <v>876</v>
      </c>
      <c r="N32" s="554"/>
      <c r="O32" s="1647"/>
      <c r="P32" s="1647"/>
      <c r="U32" s="1647"/>
      <c r="X32" s="555"/>
      <c r="AD32" s="1643"/>
      <c r="AE32" s="1643"/>
      <c r="AF32" s="1643"/>
      <c r="AG32" s="1643"/>
      <c r="AH32" s="1643"/>
      <c r="AI32" s="1171">
        <v>34</v>
      </c>
    </row>
    <row s="1377" customFormat="1" customHeight="1" ht="24">
      <c r="A33" s="998"/>
      <c r="C33" s="1647"/>
      <c r="D33" s="1649"/>
      <c r="E33" s="1675" t="s">
        <v>834</v>
      </c>
      <c r="F33" s="701" t="s">
        <v>838</v>
      </c>
      <c r="G33" s="1665" t="s">
        <v>564</v>
      </c>
      <c r="H33" s="568"/>
      <c r="I33" s="568"/>
      <c r="J33" s="568"/>
      <c r="K33" s="568"/>
      <c r="L33" s="568"/>
      <c r="M33" s="300" t="s">
        <v>877</v>
      </c>
      <c r="N33" s="554"/>
      <c r="O33" s="1647"/>
      <c r="P33" s="1647"/>
      <c r="U33" s="1647"/>
      <c r="X33" s="555"/>
      <c r="AD33" s="1643"/>
      <c r="AE33" s="1643"/>
      <c r="AF33" s="1643"/>
      <c r="AG33" s="1643"/>
      <c r="AH33" s="1643"/>
      <c r="AI33" s="1171">
        <v>23</v>
      </c>
    </row>
    <row s="1377" customFormat="1" customHeight="1" ht="24">
      <c r="A34" s="998"/>
      <c r="C34" s="1647"/>
      <c r="D34" s="1649"/>
      <c r="E34" s="1675" t="s">
        <v>878</v>
      </c>
      <c r="F34" s="701" t="s">
        <v>879</v>
      </c>
      <c r="G34" s="1665" t="s">
        <v>564</v>
      </c>
      <c r="H34" s="568"/>
      <c r="I34" s="568"/>
      <c r="J34" s="568"/>
      <c r="K34" s="568"/>
      <c r="L34" s="568"/>
      <c r="M34" s="300" t="s">
        <v>880</v>
      </c>
      <c r="N34" s="554"/>
      <c r="O34" s="1647"/>
      <c r="P34" s="1647"/>
      <c r="U34" s="1647"/>
      <c r="X34" s="555"/>
      <c r="AD34" s="1643"/>
      <c r="AE34" s="1643"/>
      <c r="AF34" s="1643"/>
      <c r="AG34" s="1643"/>
      <c r="AH34" s="1643"/>
      <c r="AI34" s="1171">
        <v>23</v>
      </c>
    </row>
    <row s="1377" customFormat="1" customHeight="1" ht="24">
      <c r="A35" s="998"/>
      <c r="C35" s="1647"/>
      <c r="D35" s="1649"/>
      <c r="E35" s="1675" t="s">
        <v>881</v>
      </c>
      <c r="F35" s="701" t="s">
        <v>844</v>
      </c>
      <c r="G35" s="1665" t="s">
        <v>564</v>
      </c>
      <c r="H35" s="568"/>
      <c r="I35" s="568"/>
      <c r="J35" s="568"/>
      <c r="K35" s="568"/>
      <c r="L35" s="568"/>
      <c r="M35" s="300" t="s">
        <v>882</v>
      </c>
      <c r="N35" s="554"/>
      <c r="O35" s="1647"/>
      <c r="P35" s="1647"/>
      <c r="U35" s="1647"/>
      <c r="X35" s="555"/>
      <c r="AD35" s="1643"/>
      <c r="AE35" s="1643"/>
      <c r="AF35" s="1643"/>
      <c r="AG35" s="1643"/>
      <c r="AH35" s="1643"/>
      <c r="AI35" s="1171">
        <v>23</v>
      </c>
    </row>
    <row s="1377" customFormat="1" customHeight="1" ht="35.699999999999996">
      <c r="A36" s="998"/>
      <c r="C36" s="1647" t="s">
        <v>606</v>
      </c>
      <c r="D36" s="1649"/>
      <c r="E36" s="1675" t="s">
        <v>121</v>
      </c>
      <c r="F36" s="1672" t="s">
        <v>704</v>
      </c>
      <c r="G36" s="1668" t="s">
        <v>320</v>
      </c>
      <c r="H36" s="412"/>
      <c r="I36" s="412"/>
      <c r="J36" s="829"/>
      <c r="K36" s="829"/>
      <c r="L36" s="829"/>
      <c r="M36" s="300" t="s">
        <v>883</v>
      </c>
      <c r="N36" s="554"/>
      <c r="O36" s="1647"/>
      <c r="P36" s="1647"/>
      <c r="U36" s="1647"/>
      <c r="X36" s="555"/>
      <c r="AD36" s="1643"/>
      <c r="AE36" s="1643"/>
      <c r="AF36" s="1643"/>
      <c r="AG36" s="1643"/>
      <c r="AH36" s="1643"/>
      <c r="AI36" s="1171">
        <v>34</v>
      </c>
    </row>
    <row s="1377" customFormat="1" customHeight="1" ht="35.699999999999996">
      <c r="A37" s="998"/>
      <c r="C37" s="1647"/>
      <c r="D37" s="1649"/>
      <c r="E37" s="1675" t="s">
        <v>93</v>
      </c>
      <c r="F37" s="1672" t="s">
        <v>884</v>
      </c>
      <c r="G37" s="1665" t="s">
        <v>849</v>
      </c>
      <c r="H37" s="2093"/>
      <c r="I37" s="2093"/>
      <c r="J37" s="2093"/>
      <c r="K37" s="2093"/>
      <c r="L37" s="2093"/>
      <c r="M37" s="300" t="s">
        <v>850</v>
      </c>
      <c r="N37" s="554"/>
      <c r="O37" s="1647"/>
      <c r="P37" s="1647"/>
      <c r="U37" s="1647"/>
      <c r="X37" s="555"/>
      <c r="AD37" s="1643"/>
      <c r="AE37" s="1643"/>
      <c r="AF37" s="1643"/>
      <c r="AG37" s="1643"/>
      <c r="AH37" s="1643"/>
      <c r="AI37" s="1171">
        <v>34</v>
      </c>
    </row>
    <row s="1377" customFormat="1" customHeight="1" ht="33.75">
      <c r="A38" s="998"/>
      <c r="C38" s="1647"/>
      <c r="D38" s="2086"/>
      <c r="E38" s="1675" t="s">
        <v>727</v>
      </c>
      <c r="F38" s="2094" t="s">
        <v>885</v>
      </c>
      <c r="G38" s="2085" t="s">
        <v>849</v>
      </c>
      <c r="H38" s="556"/>
      <c r="I38" s="556"/>
      <c r="J38" s="556"/>
      <c r="K38" s="556"/>
      <c r="L38" s="556"/>
      <c r="M38" s="2092" t="s">
        <v>886</v>
      </c>
      <c r="N38" s="554"/>
      <c r="O38" s="1647"/>
      <c r="P38" s="1647"/>
      <c r="U38" s="1647"/>
      <c r="X38" s="555"/>
      <c r="AD38" s="1643"/>
      <c r="AE38" s="1643"/>
      <c r="AF38" s="1643"/>
      <c r="AG38" s="1643"/>
      <c r="AH38" s="1643"/>
    </row>
    <row s="1377" customFormat="1" customHeight="1" ht="33.75">
      <c r="A39" s="998"/>
      <c r="C39" s="1647"/>
      <c r="D39" s="2086"/>
      <c r="E39" s="1675" t="s">
        <v>731</v>
      </c>
      <c r="F39" s="2094" t="s">
        <v>887</v>
      </c>
      <c r="G39" s="2085" t="s">
        <v>849</v>
      </c>
      <c r="H39" s="556"/>
      <c r="I39" s="556"/>
      <c r="J39" s="556"/>
      <c r="K39" s="556"/>
      <c r="L39" s="556"/>
      <c r="M39" s="2092" t="s">
        <v>888</v>
      </c>
      <c r="N39" s="554"/>
      <c r="O39" s="1647"/>
      <c r="P39" s="1647"/>
      <c r="U39" s="1647"/>
      <c r="X39" s="555"/>
      <c r="AD39" s="1643"/>
      <c r="AE39" s="1643"/>
      <c r="AF39" s="1643"/>
      <c r="AG39" s="1643"/>
      <c r="AH39" s="1643"/>
    </row>
    <row s="1377" customFormat="1" customHeight="1" ht="24">
      <c r="A40" s="998"/>
      <c r="C40" s="1647"/>
      <c r="D40" s="1649"/>
      <c r="E40" s="1675" t="s">
        <v>94</v>
      </c>
      <c r="F40" s="1672" t="s">
        <v>889</v>
      </c>
      <c r="G40" s="1665" t="s">
        <v>852</v>
      </c>
      <c r="H40" s="2093"/>
      <c r="I40" s="2093"/>
      <c r="J40" s="2093"/>
      <c r="K40" s="2093"/>
      <c r="L40" s="2093"/>
      <c r="M40" s="300" t="s">
        <v>853</v>
      </c>
      <c r="N40" s="554"/>
      <c r="O40" s="1647"/>
      <c r="P40" s="1647"/>
      <c r="U40" s="1647"/>
      <c r="X40" s="555"/>
      <c r="AD40" s="1643"/>
      <c r="AE40" s="1643"/>
      <c r="AF40" s="1643"/>
      <c r="AG40" s="1643"/>
      <c r="AH40" s="1643"/>
      <c r="AI40" s="1171">
        <v>23</v>
      </c>
    </row>
    <row s="1377" customFormat="1" customHeight="1" ht="24">
      <c r="A41" s="998"/>
      <c r="C41" s="1647"/>
      <c r="D41" s="2086"/>
      <c r="E41" s="1675" t="s">
        <v>890</v>
      </c>
      <c r="F41" s="2094" t="s">
        <v>891</v>
      </c>
      <c r="G41" s="2085" t="s">
        <v>852</v>
      </c>
      <c r="H41" s="556"/>
      <c r="I41" s="556"/>
      <c r="J41" s="556"/>
      <c r="K41" s="556"/>
      <c r="L41" s="556"/>
      <c r="M41" s="2092" t="s">
        <v>892</v>
      </c>
      <c r="N41" s="554"/>
      <c r="O41" s="1647"/>
      <c r="P41" s="1647"/>
      <c r="U41" s="1647"/>
      <c r="X41" s="555"/>
      <c r="AD41" s="1643"/>
      <c r="AE41" s="1643"/>
      <c r="AF41" s="1643"/>
      <c r="AG41" s="1643"/>
      <c r="AH41" s="1643"/>
      <c r="AI41" s="1377">
        <v>23</v>
      </c>
    </row>
    <row s="1377" customFormat="1" customHeight="1" ht="24">
      <c r="A42" s="998"/>
      <c r="C42" s="1647"/>
      <c r="D42" s="2086"/>
      <c r="E42" s="1675" t="s">
        <v>893</v>
      </c>
      <c r="F42" s="2094" t="s">
        <v>894</v>
      </c>
      <c r="G42" s="2085" t="s">
        <v>852</v>
      </c>
      <c r="H42" s="556"/>
      <c r="I42" s="556"/>
      <c r="J42" s="556"/>
      <c r="K42" s="556"/>
      <c r="L42" s="556"/>
      <c r="M42" s="2092" t="s">
        <v>895</v>
      </c>
      <c r="N42" s="554"/>
      <c r="O42" s="1647"/>
      <c r="P42" s="1647"/>
      <c r="U42" s="1647"/>
      <c r="X42" s="555"/>
      <c r="AD42" s="1643"/>
      <c r="AE42" s="1643"/>
      <c r="AF42" s="1643"/>
      <c r="AG42" s="1643"/>
      <c r="AH42" s="1643"/>
      <c r="AI42" s="1377">
        <v>23</v>
      </c>
    </row>
    <row customHeight="1" ht="11.549999999999999">
      <c r="D43" s="1649"/>
      <c r="J43" s="1646"/>
      <c r="K43" s="1646"/>
      <c r="L43" s="1646"/>
      <c r="AI43" s="1642">
        <v>11</v>
      </c>
    </row>
    <row customHeight="1" ht="27.299999999999997">
      <c r="D44" s="1649"/>
      <c r="E44" s="1264" t="s">
        <v>896</v>
      </c>
      <c r="F44" s="2315" t="s">
        <v>897</v>
      </c>
      <c r="G44" s="2315"/>
      <c r="H44" s="380"/>
      <c r="I44" s="380"/>
      <c r="J44" s="1697"/>
      <c r="K44" s="1697"/>
      <c r="L44" s="1697"/>
      <c r="M44" s="380"/>
      <c r="AI44" s="1642">
        <v>26</v>
      </c>
    </row>
    <row s="1652" customFormat="1" customHeight="1" ht="39.75">
      <c r="A45" s="998"/>
      <c r="B45" s="1647"/>
      <c r="C45" s="1647"/>
      <c r="D45" s="362"/>
      <c r="F45" s="2315" t="s">
        <v>898</v>
      </c>
      <c r="G45" s="2315"/>
      <c r="H45" s="380"/>
      <c r="I45" s="380"/>
      <c r="J45" s="1697"/>
      <c r="K45" s="1697"/>
      <c r="L45" s="1697"/>
      <c r="M45" s="380"/>
      <c r="N45" s="1171"/>
      <c r="O45" s="1647"/>
      <c r="P45" s="1647"/>
      <c r="Q45" s="1171"/>
      <c r="R45" s="1171"/>
      <c r="S45" s="1171"/>
      <c r="T45" s="1171"/>
      <c r="U45" s="1647"/>
      <c r="V45" s="1171"/>
      <c r="W45" s="1171"/>
      <c r="X45" s="555"/>
      <c r="Y45" s="1171"/>
      <c r="Z45" s="1171"/>
      <c r="AA45" s="1171"/>
      <c r="AB45" s="1171"/>
      <c r="AC45" s="1171"/>
      <c r="AD45" s="1643"/>
      <c r="AE45" s="577"/>
      <c r="AF45" s="577"/>
      <c r="AG45" s="577"/>
      <c r="AH45" s="577"/>
      <c r="AI45" s="1652">
        <v>38</v>
      </c>
    </row>
    <row s="1652" customFormat="1" customHeight="1" ht="11.549999999999999">
      <c r="A46" s="998"/>
      <c r="B46" s="1647"/>
      <c r="C46" s="1647"/>
      <c r="D46" s="362"/>
      <c r="J46" s="1652"/>
      <c r="K46" s="1652"/>
      <c r="L46" s="1652"/>
      <c r="N46" s="1171"/>
      <c r="O46" s="1647"/>
      <c r="P46" s="1647"/>
      <c r="Q46" s="1171"/>
      <c r="R46" s="1171"/>
      <c r="S46" s="1171"/>
      <c r="T46" s="1171"/>
      <c r="U46" s="1647"/>
      <c r="V46" s="1171"/>
      <c r="W46" s="1171"/>
      <c r="X46" s="555"/>
      <c r="Y46" s="1171"/>
      <c r="Z46" s="1171"/>
      <c r="AA46" s="1171"/>
      <c r="AB46" s="1171"/>
      <c r="AC46" s="1171"/>
      <c r="AD46" s="1643"/>
      <c r="AE46" s="577"/>
      <c r="AF46" s="577"/>
      <c r="AG46" s="577"/>
      <c r="AH46" s="577"/>
      <c r="AI46" s="1652">
        <v>11</v>
      </c>
    </row>
    <row s="1652" customFormat="1" customHeight="1" ht="11.549999999999999">
      <c r="A47" s="998"/>
      <c r="B47" s="1647"/>
      <c r="C47" s="1647"/>
      <c r="D47" s="362"/>
      <c r="J47" s="1652"/>
      <c r="K47" s="1652"/>
      <c r="L47" s="1652"/>
      <c r="N47" s="1171"/>
      <c r="O47" s="1647"/>
      <c r="P47" s="1647"/>
      <c r="Q47" s="1171"/>
      <c r="R47" s="1171"/>
      <c r="S47" s="1171"/>
      <c r="T47" s="1171"/>
      <c r="U47" s="1647"/>
      <c r="V47" s="1171"/>
      <c r="W47" s="1171"/>
      <c r="X47" s="555"/>
      <c r="Y47" s="1171"/>
      <c r="Z47" s="1171"/>
      <c r="AA47" s="1171"/>
      <c r="AB47" s="1171"/>
      <c r="AC47" s="1171"/>
      <c r="AD47" s="1643"/>
      <c r="AE47" s="577"/>
      <c r="AF47" s="577"/>
      <c r="AG47" s="577"/>
      <c r="AH47" s="577"/>
      <c r="AI47" s="1652">
        <v>11</v>
      </c>
    </row>
    <row s="1652" customFormat="1" customHeight="1" ht="11.549999999999999">
      <c r="A48" s="998"/>
      <c r="B48" s="1647"/>
      <c r="C48" s="1647"/>
      <c r="D48" s="362"/>
      <c r="H48" s="577"/>
      <c r="I48" s="577"/>
      <c r="J48" s="633"/>
      <c r="K48" s="633"/>
      <c r="L48" s="633"/>
      <c r="N48" s="1171"/>
      <c r="O48" s="1647"/>
      <c r="P48" s="1647"/>
      <c r="Q48" s="1171"/>
      <c r="R48" s="1171"/>
      <c r="S48" s="1171"/>
      <c r="T48" s="1171"/>
      <c r="U48" s="1647"/>
      <c r="V48" s="1171"/>
      <c r="W48" s="1171"/>
      <c r="X48" s="555"/>
      <c r="Y48" s="1171"/>
      <c r="Z48" s="1171"/>
      <c r="AA48" s="1171"/>
      <c r="AB48" s="1171"/>
      <c r="AC48" s="1171"/>
      <c r="AD48" s="1643"/>
      <c r="AE48" s="577"/>
      <c r="AF48" s="577"/>
      <c r="AG48" s="577"/>
      <c r="AH48" s="577"/>
      <c r="AI48" s="1652">
        <v>11</v>
      </c>
    </row>
    <row s="1652" customFormat="1" customHeight="1" ht="11.549999999999999">
      <c r="A49" s="998"/>
      <c r="B49" s="1647"/>
      <c r="C49" s="1647"/>
      <c r="D49" s="362"/>
      <c r="J49" s="1652"/>
      <c r="K49" s="1652"/>
      <c r="L49" s="1652"/>
      <c r="N49" s="1171"/>
      <c r="O49" s="1647"/>
      <c r="P49" s="1647"/>
      <c r="Q49" s="1171"/>
      <c r="R49" s="1171"/>
      <c r="S49" s="1171"/>
      <c r="T49" s="1171"/>
      <c r="U49" s="1647"/>
      <c r="V49" s="1171"/>
      <c r="W49" s="1171"/>
      <c r="X49" s="555"/>
      <c r="Y49" s="1171"/>
      <c r="Z49" s="1171"/>
      <c r="AA49" s="1171"/>
      <c r="AB49" s="1171"/>
      <c r="AC49" s="1171"/>
      <c r="AD49" s="1643"/>
      <c r="AE49" s="577"/>
      <c r="AF49" s="577"/>
      <c r="AG49" s="577"/>
      <c r="AH49" s="577"/>
      <c r="AI49" s="1652">
        <v>11</v>
      </c>
    </row>
    <row s="1652" customFormat="1" customHeight="1" ht="11.549999999999999">
      <c r="A50" s="998"/>
      <c r="B50" s="1647"/>
      <c r="C50" s="1647"/>
      <c r="D50" s="362"/>
      <c r="J50" s="1652"/>
      <c r="K50" s="1652"/>
      <c r="L50" s="1652"/>
      <c r="N50" s="1171"/>
      <c r="O50" s="1647"/>
      <c r="P50" s="1647"/>
      <c r="Q50" s="1171"/>
      <c r="R50" s="1171"/>
      <c r="S50" s="1171"/>
      <c r="T50" s="1171"/>
      <c r="U50" s="1647"/>
      <c r="V50" s="1171"/>
      <c r="W50" s="1171"/>
      <c r="X50" s="555"/>
      <c r="Y50" s="1171"/>
      <c r="Z50" s="1171"/>
      <c r="AA50" s="1171"/>
      <c r="AB50" s="1171"/>
      <c r="AC50" s="1171"/>
      <c r="AD50" s="1643"/>
      <c r="AE50" s="577"/>
      <c r="AF50" s="577"/>
      <c r="AG50" s="577"/>
      <c r="AH50" s="577"/>
      <c r="AI50" s="1652">
        <v>11</v>
      </c>
    </row>
    <row s="1652" customFormat="1" customHeight="1" ht="11.549999999999999">
      <c r="A51" s="998"/>
      <c r="B51" s="1647"/>
      <c r="C51" s="1647"/>
      <c r="D51" s="362"/>
      <c r="J51" s="1652"/>
      <c r="K51" s="1652"/>
      <c r="L51" s="1652"/>
      <c r="N51" s="1171"/>
      <c r="O51" s="1647"/>
      <c r="P51" s="1647"/>
      <c r="Q51" s="1171"/>
      <c r="R51" s="1171"/>
      <c r="S51" s="1171"/>
      <c r="T51" s="1171"/>
      <c r="U51" s="1647"/>
      <c r="V51" s="1171"/>
      <c r="W51" s="1171"/>
      <c r="X51" s="555"/>
      <c r="Y51" s="1171"/>
      <c r="Z51" s="1171"/>
      <c r="AA51" s="1171"/>
      <c r="AB51" s="1171"/>
      <c r="AC51" s="1171"/>
      <c r="AD51" s="1643"/>
      <c r="AE51" s="577"/>
      <c r="AF51" s="577"/>
      <c r="AG51" s="577"/>
      <c r="AH51" s="577"/>
      <c r="AI51" s="1652">
        <v>11</v>
      </c>
    </row>
    <row s="1652" customFormat="1" customHeight="1" ht="11.549999999999999">
      <c r="A52" s="998"/>
      <c r="B52" s="1647"/>
      <c r="C52" s="1647"/>
      <c r="D52" s="362"/>
      <c r="J52" s="1652"/>
      <c r="K52" s="1652"/>
      <c r="L52" s="1652"/>
      <c r="N52" s="1171"/>
      <c r="O52" s="1647"/>
      <c r="P52" s="1647"/>
      <c r="Q52" s="1171"/>
      <c r="R52" s="1171"/>
      <c r="S52" s="1171"/>
      <c r="T52" s="1171"/>
      <c r="U52" s="1647"/>
      <c r="V52" s="1171"/>
      <c r="W52" s="1171"/>
      <c r="X52" s="555"/>
      <c r="Y52" s="1171"/>
      <c r="Z52" s="1171"/>
      <c r="AA52" s="1171"/>
      <c r="AB52" s="1171"/>
      <c r="AC52" s="1171"/>
      <c r="AD52" s="1643"/>
      <c r="AE52" s="577"/>
      <c r="AF52" s="577"/>
      <c r="AG52" s="577"/>
      <c r="AH52" s="577"/>
      <c r="AI52" s="1652">
        <v>11</v>
      </c>
    </row>
    <row s="1652" customFormat="1" customHeight="1" ht="11.549999999999999">
      <c r="A53" s="998"/>
      <c r="B53" s="1647"/>
      <c r="C53" s="1647"/>
      <c r="D53" s="362"/>
      <c r="J53" s="1652"/>
      <c r="K53" s="1652"/>
      <c r="L53" s="1652"/>
      <c r="N53" s="1171"/>
      <c r="O53" s="1647"/>
      <c r="P53" s="1647"/>
      <c r="Q53" s="1171"/>
      <c r="R53" s="1171"/>
      <c r="S53" s="1171"/>
      <c r="T53" s="1171"/>
      <c r="U53" s="1647"/>
      <c r="V53" s="1171"/>
      <c r="W53" s="1171"/>
      <c r="X53" s="555"/>
      <c r="Y53" s="1171"/>
      <c r="Z53" s="1171"/>
      <c r="AA53" s="1171"/>
      <c r="AB53" s="1171"/>
      <c r="AC53" s="1171"/>
      <c r="AD53" s="1643"/>
      <c r="AE53" s="577"/>
      <c r="AF53" s="577"/>
      <c r="AG53" s="577"/>
      <c r="AH53" s="577"/>
      <c r="AI53" s="1652">
        <v>11</v>
      </c>
    </row>
    <row s="1652" customFormat="1" customHeight="1" ht="11.549999999999999">
      <c r="A54" s="998"/>
      <c r="B54" s="1647"/>
      <c r="C54" s="1647"/>
      <c r="D54" s="362"/>
      <c r="J54" s="1652"/>
      <c r="K54" s="1652"/>
      <c r="L54" s="1652"/>
      <c r="N54" s="1171"/>
      <c r="O54" s="1647"/>
      <c r="P54" s="1647"/>
      <c r="Q54" s="1171"/>
      <c r="R54" s="1171"/>
      <c r="S54" s="1171"/>
      <c r="T54" s="1171"/>
      <c r="U54" s="1647"/>
      <c r="V54" s="1171"/>
      <c r="W54" s="1171"/>
      <c r="X54" s="555"/>
      <c r="Y54" s="1171"/>
      <c r="Z54" s="1171"/>
      <c r="AA54" s="1171"/>
      <c r="AB54" s="1171"/>
      <c r="AC54" s="1171"/>
      <c r="AD54" s="1643"/>
      <c r="AE54" s="577"/>
      <c r="AF54" s="577"/>
      <c r="AG54" s="577"/>
      <c r="AH54" s="577"/>
      <c r="AI54" s="1652">
        <v>11</v>
      </c>
    </row>
    <row s="1652" customFormat="1" customHeight="1" ht="11.549999999999999">
      <c r="A55" s="998"/>
      <c r="B55" s="1647"/>
      <c r="C55" s="1647"/>
      <c r="D55" s="362"/>
      <c r="J55" s="1652"/>
      <c r="K55" s="1652"/>
      <c r="L55" s="1652"/>
      <c r="N55" s="1171"/>
      <c r="O55" s="1647"/>
      <c r="P55" s="1647"/>
      <c r="Q55" s="1171"/>
      <c r="R55" s="1171"/>
      <c r="S55" s="1171"/>
      <c r="T55" s="1171"/>
      <c r="U55" s="1647"/>
      <c r="V55" s="1171"/>
      <c r="W55" s="1171"/>
      <c r="X55" s="555"/>
      <c r="Y55" s="1171"/>
      <c r="Z55" s="1171"/>
      <c r="AA55" s="1171"/>
      <c r="AB55" s="1171"/>
      <c r="AC55" s="1171"/>
      <c r="AD55" s="1643"/>
      <c r="AE55" s="577"/>
      <c r="AF55" s="577"/>
      <c r="AG55" s="577"/>
      <c r="AH55" s="577"/>
      <c r="AI55" s="1652">
        <v>11</v>
      </c>
    </row>
    <row s="1652" customFormat="1" customHeight="1" ht="11.549999999999999">
      <c r="A56" s="998"/>
      <c r="B56" s="1647"/>
      <c r="C56" s="1647"/>
      <c r="D56" s="362"/>
      <c r="J56" s="1652"/>
      <c r="K56" s="1652"/>
      <c r="L56" s="1652"/>
      <c r="N56" s="1171"/>
      <c r="O56" s="1647"/>
      <c r="P56" s="1647"/>
      <c r="Q56" s="1171"/>
      <c r="R56" s="1171"/>
      <c r="S56" s="1171"/>
      <c r="T56" s="1171"/>
      <c r="U56" s="1647"/>
      <c r="V56" s="1171"/>
      <c r="W56" s="1171"/>
      <c r="X56" s="555"/>
      <c r="Y56" s="1171"/>
      <c r="Z56" s="1171"/>
      <c r="AA56" s="1171"/>
      <c r="AB56" s="1171"/>
      <c r="AC56" s="1171"/>
      <c r="AD56" s="1643"/>
      <c r="AE56" s="577"/>
      <c r="AF56" s="577"/>
      <c r="AG56" s="577"/>
      <c r="AH56" s="577"/>
      <c r="AI56" s="1652">
        <v>11</v>
      </c>
    </row>
    <row s="1652" customFormat="1" customHeight="1" ht="11.549999999999999">
      <c r="A57" s="998"/>
      <c r="B57" s="1647"/>
      <c r="C57" s="1647"/>
      <c r="D57" s="362"/>
      <c r="J57" s="1652"/>
      <c r="K57" s="1652"/>
      <c r="L57" s="1652"/>
      <c r="N57" s="1171"/>
      <c r="O57" s="1647"/>
      <c r="P57" s="1647"/>
      <c r="Q57" s="1171"/>
      <c r="R57" s="1171"/>
      <c r="S57" s="1171"/>
      <c r="T57" s="1171"/>
      <c r="U57" s="1647"/>
      <c r="V57" s="1171"/>
      <c r="W57" s="1171"/>
      <c r="X57" s="555"/>
      <c r="Y57" s="1171"/>
      <c r="Z57" s="1171"/>
      <c r="AA57" s="1171"/>
      <c r="AB57" s="1171"/>
      <c r="AC57" s="1171"/>
      <c r="AD57" s="1643"/>
      <c r="AE57" s="577"/>
      <c r="AF57" s="577"/>
      <c r="AG57" s="577"/>
      <c r="AH57" s="577"/>
      <c r="AI57" s="1652">
        <v>11</v>
      </c>
    </row>
    <row s="1652" customFormat="1" customHeight="1" ht="11.549999999999999">
      <c r="A58" s="998"/>
      <c r="B58" s="1647"/>
      <c r="C58" s="1647"/>
      <c r="D58" s="362"/>
      <c r="J58" s="1652"/>
      <c r="K58" s="1652"/>
      <c r="L58" s="1652"/>
      <c r="N58" s="1171"/>
      <c r="O58" s="1647"/>
      <c r="P58" s="1647"/>
      <c r="Q58" s="1171"/>
      <c r="R58" s="1171"/>
      <c r="S58" s="1171"/>
      <c r="T58" s="1171"/>
      <c r="U58" s="1647"/>
      <c r="V58" s="1171"/>
      <c r="W58" s="1171"/>
      <c r="X58" s="555"/>
      <c r="Y58" s="1171"/>
      <c r="Z58" s="1171"/>
      <c r="AA58" s="1171"/>
      <c r="AB58" s="1171"/>
      <c r="AC58" s="1171"/>
      <c r="AD58" s="1643"/>
      <c r="AE58" s="577"/>
      <c r="AF58" s="577"/>
      <c r="AG58" s="577"/>
      <c r="AH58" s="577"/>
      <c r="AI58" s="1652">
        <v>11</v>
      </c>
    </row>
    <row s="1652" customFormat="1" customHeight="1" ht="11.549999999999999">
      <c r="A59" s="998"/>
      <c r="B59" s="1647"/>
      <c r="C59" s="1647"/>
      <c r="D59" s="362"/>
      <c r="J59" s="1652"/>
      <c r="K59" s="1652"/>
      <c r="L59" s="1652"/>
      <c r="N59" s="1171"/>
      <c r="O59" s="1647"/>
      <c r="P59" s="1647"/>
      <c r="Q59" s="1171"/>
      <c r="R59" s="1171"/>
      <c r="S59" s="1171"/>
      <c r="T59" s="1171"/>
      <c r="U59" s="1647"/>
      <c r="V59" s="1171"/>
      <c r="W59" s="1171"/>
      <c r="X59" s="555"/>
      <c r="Y59" s="1171"/>
      <c r="Z59" s="1171"/>
      <c r="AA59" s="1171"/>
      <c r="AB59" s="1171"/>
      <c r="AC59" s="1171"/>
      <c r="AD59" s="1643"/>
      <c r="AE59" s="577"/>
      <c r="AF59" s="577"/>
      <c r="AG59" s="577"/>
      <c r="AH59" s="577"/>
      <c r="AI59" s="1652">
        <v>11</v>
      </c>
    </row>
    <row s="1652" customFormat="1" customHeight="1" ht="11.549999999999999">
      <c r="A60" s="998"/>
      <c r="B60" s="1647"/>
      <c r="C60" s="1647"/>
      <c r="D60" s="362"/>
      <c r="J60" s="1652"/>
      <c r="K60" s="1652"/>
      <c r="L60" s="1652"/>
      <c r="N60" s="1171"/>
      <c r="O60" s="1647"/>
      <c r="P60" s="1647"/>
      <c r="Q60" s="1171"/>
      <c r="R60" s="1171"/>
      <c r="S60" s="1171"/>
      <c r="T60" s="1171"/>
      <c r="U60" s="1647"/>
      <c r="V60" s="1171"/>
      <c r="W60" s="1171"/>
      <c r="X60" s="555"/>
      <c r="Y60" s="1171"/>
      <c r="Z60" s="1171"/>
      <c r="AA60" s="1171"/>
      <c r="AB60" s="1171"/>
      <c r="AC60" s="1171"/>
      <c r="AD60" s="1643"/>
      <c r="AE60" s="577"/>
      <c r="AF60" s="577"/>
      <c r="AG60" s="577"/>
      <c r="AH60" s="577"/>
      <c r="AI60" s="1652">
        <v>11</v>
      </c>
    </row>
    <row s="1652" customFormat="1" customHeight="1" ht="11.549999999999999">
      <c r="A61" s="998"/>
      <c r="B61" s="1647"/>
      <c r="C61" s="1647"/>
      <c r="D61" s="362"/>
      <c r="J61" s="1652"/>
      <c r="K61" s="1652"/>
      <c r="L61" s="1652"/>
      <c r="N61" s="1171"/>
      <c r="O61" s="1647"/>
      <c r="P61" s="1647"/>
      <c r="Q61" s="1171"/>
      <c r="R61" s="1171"/>
      <c r="S61" s="1171"/>
      <c r="T61" s="1171"/>
      <c r="U61" s="1647"/>
      <c r="V61" s="1171"/>
      <c r="W61" s="1171"/>
      <c r="X61" s="555"/>
      <c r="Y61" s="1171"/>
      <c r="Z61" s="1171"/>
      <c r="AA61" s="1171"/>
      <c r="AB61" s="1171"/>
      <c r="AC61" s="1171"/>
      <c r="AD61" s="1643"/>
      <c r="AE61" s="577"/>
      <c r="AF61" s="577"/>
      <c r="AG61" s="577"/>
      <c r="AH61" s="577"/>
      <c r="AI61" s="1652">
        <v>11</v>
      </c>
    </row>
    <row s="1652" customFormat="1" customHeight="1" ht="11.549999999999999">
      <c r="A62" s="998"/>
      <c r="B62" s="1647"/>
      <c r="C62" s="1647"/>
      <c r="D62" s="362"/>
      <c r="J62" s="1652"/>
      <c r="K62" s="1652"/>
      <c r="L62" s="1652"/>
      <c r="N62" s="1171"/>
      <c r="O62" s="1647"/>
      <c r="P62" s="1647"/>
      <c r="Q62" s="1171"/>
      <c r="R62" s="1171"/>
      <c r="S62" s="1171"/>
      <c r="T62" s="1171"/>
      <c r="U62" s="1647"/>
      <c r="V62" s="1171"/>
      <c r="W62" s="1171"/>
      <c r="X62" s="555"/>
      <c r="Y62" s="1171"/>
      <c r="Z62" s="1171"/>
      <c r="AA62" s="1171"/>
      <c r="AB62" s="1171"/>
      <c r="AC62" s="1171"/>
      <c r="AD62" s="1643"/>
      <c r="AE62" s="577"/>
      <c r="AF62" s="577"/>
      <c r="AG62" s="577"/>
      <c r="AH62" s="577"/>
      <c r="AI62" s="1652">
        <v>11</v>
      </c>
    </row>
    <row s="1652" customFormat="1" customHeight="1" ht="11.549999999999999">
      <c r="A63" s="998"/>
      <c r="B63" s="1647"/>
      <c r="C63" s="1647"/>
      <c r="D63" s="362"/>
      <c r="J63" s="1652"/>
      <c r="K63" s="1652"/>
      <c r="L63" s="1652"/>
      <c r="N63" s="1171"/>
      <c r="O63" s="1647"/>
      <c r="P63" s="1647"/>
      <c r="Q63" s="1171"/>
      <c r="R63" s="1171"/>
      <c r="S63" s="1171"/>
      <c r="T63" s="1171"/>
      <c r="U63" s="1647"/>
      <c r="V63" s="1171"/>
      <c r="W63" s="1171"/>
      <c r="X63" s="555"/>
      <c r="Y63" s="1171"/>
      <c r="Z63" s="1171"/>
      <c r="AA63" s="1171"/>
      <c r="AB63" s="1171"/>
      <c r="AC63" s="1171"/>
      <c r="AD63" s="1643"/>
      <c r="AE63" s="577"/>
      <c r="AF63" s="577"/>
      <c r="AG63" s="577"/>
      <c r="AH63" s="577"/>
      <c r="AI63" s="1652">
        <v>11</v>
      </c>
    </row>
    <row s="1652" customFormat="1" customHeight="1" ht="11.549999999999999">
      <c r="A64" s="998"/>
      <c r="B64" s="1647"/>
      <c r="C64" s="1647"/>
      <c r="D64" s="362"/>
      <c r="J64" s="1652"/>
      <c r="K64" s="1652"/>
      <c r="L64" s="1652"/>
      <c r="N64" s="1171"/>
      <c r="O64" s="1647"/>
      <c r="P64" s="1647"/>
      <c r="Q64" s="1171"/>
      <c r="R64" s="1171"/>
      <c r="S64" s="1171"/>
      <c r="T64" s="1171"/>
      <c r="U64" s="1647"/>
      <c r="V64" s="1171"/>
      <c r="W64" s="1171"/>
      <c r="X64" s="555"/>
      <c r="Y64" s="1171"/>
      <c r="Z64" s="1171"/>
      <c r="AA64" s="1171"/>
      <c r="AB64" s="1171"/>
      <c r="AC64" s="1171"/>
      <c r="AD64" s="1643"/>
      <c r="AE64" s="577"/>
      <c r="AF64" s="577"/>
      <c r="AG64" s="577"/>
      <c r="AH64" s="577"/>
      <c r="AI64" s="1652">
        <v>11</v>
      </c>
    </row>
    <row s="1652" customFormat="1" customHeight="1" ht="11.549999999999999">
      <c r="A65" s="998"/>
      <c r="B65" s="1647"/>
      <c r="C65" s="1647"/>
      <c r="D65" s="362"/>
      <c r="J65" s="1652"/>
      <c r="K65" s="1652"/>
      <c r="L65" s="1652"/>
      <c r="N65" s="1171"/>
      <c r="O65" s="1647"/>
      <c r="P65" s="1647"/>
      <c r="Q65" s="1171"/>
      <c r="R65" s="1171"/>
      <c r="S65" s="1171"/>
      <c r="T65" s="1171"/>
      <c r="U65" s="1647"/>
      <c r="V65" s="1171"/>
      <c r="W65" s="1171"/>
      <c r="X65" s="555"/>
      <c r="Y65" s="1171"/>
      <c r="Z65" s="1171"/>
      <c r="AA65" s="1171"/>
      <c r="AB65" s="1171"/>
      <c r="AC65" s="1171"/>
      <c r="AD65" s="1643"/>
      <c r="AE65" s="577"/>
      <c r="AF65" s="577"/>
      <c r="AG65" s="577"/>
      <c r="AH65" s="577"/>
      <c r="AI65" s="1652">
        <v>11</v>
      </c>
    </row>
    <row s="1652" customFormat="1" customHeight="1" ht="11.549999999999999">
      <c r="A66" s="998"/>
      <c r="B66" s="1647"/>
      <c r="C66" s="1647"/>
      <c r="D66" s="362"/>
      <c r="J66" s="1652"/>
      <c r="K66" s="1652"/>
      <c r="L66" s="1652"/>
      <c r="N66" s="1171"/>
      <c r="O66" s="1647"/>
      <c r="P66" s="1647"/>
      <c r="Q66" s="1171"/>
      <c r="R66" s="1171"/>
      <c r="S66" s="1171"/>
      <c r="T66" s="1171"/>
      <c r="U66" s="1647"/>
      <c r="V66" s="1171"/>
      <c r="W66" s="1171"/>
      <c r="X66" s="555"/>
      <c r="Y66" s="1171"/>
      <c r="Z66" s="1171"/>
      <c r="AA66" s="1171"/>
      <c r="AB66" s="1171"/>
      <c r="AC66" s="1171"/>
      <c r="AD66" s="1643"/>
      <c r="AE66" s="577"/>
      <c r="AF66" s="577"/>
      <c r="AG66" s="577"/>
      <c r="AH66" s="577"/>
      <c r="AI66" s="1652">
        <v>11</v>
      </c>
    </row>
    <row s="1652" customFormat="1" customHeight="1" ht="11.549999999999999">
      <c r="A67" s="998"/>
      <c r="B67" s="1647"/>
      <c r="C67" s="1647"/>
      <c r="D67" s="362"/>
      <c r="J67" s="1652"/>
      <c r="K67" s="1652"/>
      <c r="L67" s="1652"/>
      <c r="N67" s="1171"/>
      <c r="O67" s="1647"/>
      <c r="P67" s="1647"/>
      <c r="Q67" s="1171"/>
      <c r="R67" s="1171"/>
      <c r="S67" s="1171"/>
      <c r="T67" s="1171"/>
      <c r="U67" s="1647"/>
      <c r="V67" s="1171"/>
      <c r="W67" s="1171"/>
      <c r="X67" s="555"/>
      <c r="Y67" s="1171"/>
      <c r="Z67" s="1171"/>
      <c r="AA67" s="1171"/>
      <c r="AB67" s="1171"/>
      <c r="AC67" s="1171"/>
      <c r="AD67" s="1643"/>
      <c r="AE67" s="577"/>
      <c r="AF67" s="577"/>
      <c r="AG67" s="577"/>
      <c r="AH67" s="577"/>
      <c r="AI67" s="1652">
        <v>11</v>
      </c>
    </row>
    <row s="1652" customFormat="1" customHeight="1" ht="11.549999999999999">
      <c r="A68" s="998"/>
      <c r="B68" s="1647"/>
      <c r="C68" s="1647"/>
      <c r="D68" s="362"/>
      <c r="J68" s="1652"/>
      <c r="K68" s="1652"/>
      <c r="L68" s="1652"/>
      <c r="N68" s="1171"/>
      <c r="O68" s="1647"/>
      <c r="P68" s="1647"/>
      <c r="Q68" s="1171"/>
      <c r="R68" s="1171"/>
      <c r="S68" s="1171"/>
      <c r="T68" s="1171"/>
      <c r="U68" s="1647"/>
      <c r="V68" s="1171"/>
      <c r="W68" s="1171"/>
      <c r="X68" s="555"/>
      <c r="Y68" s="1171"/>
      <c r="Z68" s="1171"/>
      <c r="AA68" s="1171"/>
      <c r="AB68" s="1171"/>
      <c r="AC68" s="1171"/>
      <c r="AD68" s="1643"/>
      <c r="AE68" s="577"/>
      <c r="AF68" s="577"/>
      <c r="AG68" s="577"/>
      <c r="AH68" s="577"/>
      <c r="AI68" s="1652">
        <v>11</v>
      </c>
    </row>
    <row s="1652" customFormat="1" customHeight="1" ht="11.549999999999999">
      <c r="A69" s="998"/>
      <c r="B69" s="1647"/>
      <c r="C69" s="1647"/>
      <c r="D69" s="362"/>
      <c r="J69" s="1652"/>
      <c r="K69" s="1652"/>
      <c r="L69" s="1652"/>
      <c r="N69" s="1171"/>
      <c r="O69" s="1647"/>
      <c r="P69" s="1647"/>
      <c r="Q69" s="1171"/>
      <c r="R69" s="1171"/>
      <c r="S69" s="1171"/>
      <c r="T69" s="1171"/>
      <c r="U69" s="1647"/>
      <c r="V69" s="1171"/>
      <c r="W69" s="1171"/>
      <c r="X69" s="555"/>
      <c r="Y69" s="1171"/>
      <c r="Z69" s="1171"/>
      <c r="AA69" s="1171"/>
      <c r="AB69" s="1171"/>
      <c r="AC69" s="1171"/>
      <c r="AD69" s="1643"/>
      <c r="AE69" s="577"/>
      <c r="AF69" s="577"/>
      <c r="AG69" s="577"/>
      <c r="AH69" s="577"/>
      <c r="AI69" s="1652">
        <v>11</v>
      </c>
    </row>
    <row s="1652" customFormat="1" customHeight="1" ht="11.549999999999999">
      <c r="A70" s="998"/>
      <c r="B70" s="1647"/>
      <c r="C70" s="1647"/>
      <c r="D70" s="362"/>
      <c r="J70" s="1652"/>
      <c r="K70" s="1652"/>
      <c r="L70" s="1652"/>
      <c r="N70" s="1171"/>
      <c r="O70" s="1647"/>
      <c r="P70" s="1647"/>
      <c r="Q70" s="1171"/>
      <c r="R70" s="1171"/>
      <c r="S70" s="1171"/>
      <c r="T70" s="1171"/>
      <c r="U70" s="1647"/>
      <c r="V70" s="1171"/>
      <c r="W70" s="1171"/>
      <c r="X70" s="555"/>
      <c r="Y70" s="1171"/>
      <c r="Z70" s="1171"/>
      <c r="AA70" s="1171"/>
      <c r="AB70" s="1171"/>
      <c r="AC70" s="1171"/>
      <c r="AD70" s="1643"/>
      <c r="AE70" s="577"/>
      <c r="AF70" s="577"/>
      <c r="AG70" s="577"/>
      <c r="AH70" s="577"/>
      <c r="AI70" s="1652">
        <v>11</v>
      </c>
    </row>
    <row s="1652" customFormat="1" customHeight="1" ht="11.549999999999999">
      <c r="A71" s="998"/>
      <c r="B71" s="1647"/>
      <c r="C71" s="1647"/>
      <c r="D71" s="362"/>
      <c r="J71" s="1652"/>
      <c r="K71" s="1652"/>
      <c r="L71" s="1652"/>
      <c r="N71" s="1171"/>
      <c r="O71" s="1647"/>
      <c r="P71" s="1647"/>
      <c r="Q71" s="1171"/>
      <c r="R71" s="1171"/>
      <c r="S71" s="1171"/>
      <c r="T71" s="1171"/>
      <c r="U71" s="1647"/>
      <c r="V71" s="1171"/>
      <c r="W71" s="1171"/>
      <c r="X71" s="555"/>
      <c r="Y71" s="1171"/>
      <c r="Z71" s="1171"/>
      <c r="AA71" s="1171"/>
      <c r="AB71" s="1171"/>
      <c r="AC71" s="1171"/>
      <c r="AD71" s="1643"/>
      <c r="AE71" s="577"/>
      <c r="AF71" s="577"/>
      <c r="AG71" s="577"/>
      <c r="AH71" s="577"/>
      <c r="AI71" s="1652">
        <v>11</v>
      </c>
    </row>
    <row s="1652" customFormat="1" customHeight="1" ht="11.549999999999999">
      <c r="A72" s="998"/>
      <c r="B72" s="1647"/>
      <c r="C72" s="1647"/>
      <c r="D72" s="362"/>
      <c r="J72" s="1652"/>
      <c r="K72" s="1652"/>
      <c r="L72" s="1652"/>
      <c r="N72" s="1171"/>
      <c r="O72" s="1647"/>
      <c r="P72" s="1647"/>
      <c r="Q72" s="1171"/>
      <c r="R72" s="1171"/>
      <c r="S72" s="1171"/>
      <c r="T72" s="1171"/>
      <c r="U72" s="1647"/>
      <c r="V72" s="1171"/>
      <c r="W72" s="1171"/>
      <c r="X72" s="555"/>
      <c r="Y72" s="1171"/>
      <c r="Z72" s="1171"/>
      <c r="AA72" s="1171"/>
      <c r="AB72" s="1171"/>
      <c r="AC72" s="1171"/>
      <c r="AD72" s="1643"/>
      <c r="AE72" s="577"/>
      <c r="AF72" s="577"/>
      <c r="AG72" s="577"/>
      <c r="AH72" s="577"/>
      <c r="AI72" s="1652">
        <v>11</v>
      </c>
    </row>
    <row s="1652" customFormat="1" customHeight="1" ht="11.549999999999999">
      <c r="A73" s="998"/>
      <c r="B73" s="1647"/>
      <c r="C73" s="1647"/>
      <c r="D73" s="362"/>
      <c r="J73" s="1652"/>
      <c r="K73" s="1652"/>
      <c r="L73" s="1652"/>
      <c r="N73" s="1171"/>
      <c r="O73" s="1647"/>
      <c r="P73" s="1647"/>
      <c r="Q73" s="1171"/>
      <c r="R73" s="1171"/>
      <c r="S73" s="1171"/>
      <c r="T73" s="1171"/>
      <c r="U73" s="1647"/>
      <c r="V73" s="1171"/>
      <c r="W73" s="1171"/>
      <c r="X73" s="555"/>
      <c r="Y73" s="1171"/>
      <c r="Z73" s="1171"/>
      <c r="AA73" s="1171"/>
      <c r="AB73" s="1171"/>
      <c r="AC73" s="1171"/>
      <c r="AD73" s="1643"/>
      <c r="AE73" s="577"/>
      <c r="AF73" s="577"/>
      <c r="AG73" s="577"/>
      <c r="AH73" s="577"/>
      <c r="AI73" s="1652">
        <v>11</v>
      </c>
    </row>
    <row s="1652" customFormat="1" customHeight="1" ht="11.549999999999999">
      <c r="A74" s="998"/>
      <c r="B74" s="1647"/>
      <c r="C74" s="1647"/>
      <c r="D74" s="362"/>
      <c r="J74" s="1652"/>
      <c r="K74" s="1652"/>
      <c r="L74" s="1652"/>
      <c r="N74" s="1171"/>
      <c r="O74" s="1647"/>
      <c r="P74" s="1647"/>
      <c r="Q74" s="1171"/>
      <c r="R74" s="1171"/>
      <c r="S74" s="1171"/>
      <c r="T74" s="1171"/>
      <c r="U74" s="1647"/>
      <c r="V74" s="1171"/>
      <c r="W74" s="1171"/>
      <c r="X74" s="555"/>
      <c r="Y74" s="1171"/>
      <c r="Z74" s="1171"/>
      <c r="AA74" s="1171"/>
      <c r="AB74" s="1171"/>
      <c r="AC74" s="1171"/>
      <c r="AD74" s="1643"/>
      <c r="AE74" s="577"/>
      <c r="AF74" s="577"/>
      <c r="AG74" s="577"/>
      <c r="AH74" s="577"/>
      <c r="AI74" s="1652">
        <v>11</v>
      </c>
    </row>
    <row s="1652" customFormat="1" customHeight="1" ht="11.549999999999999">
      <c r="A75" s="998"/>
      <c r="B75" s="1647"/>
      <c r="C75" s="1647"/>
      <c r="D75" s="362"/>
      <c r="J75" s="1652"/>
      <c r="K75" s="1652"/>
      <c r="L75" s="1652"/>
      <c r="N75" s="1171"/>
      <c r="O75" s="1647"/>
      <c r="P75" s="1647"/>
      <c r="Q75" s="1171"/>
      <c r="R75" s="1171"/>
      <c r="S75" s="1171"/>
      <c r="T75" s="1171"/>
      <c r="U75" s="1647"/>
      <c r="V75" s="1171"/>
      <c r="W75" s="1171"/>
      <c r="X75" s="555"/>
      <c r="Y75" s="1171"/>
      <c r="Z75" s="1171"/>
      <c r="AA75" s="1171"/>
      <c r="AB75" s="1171"/>
      <c r="AC75" s="1171"/>
      <c r="AD75" s="1643"/>
      <c r="AE75" s="577"/>
      <c r="AF75" s="577"/>
      <c r="AG75" s="577"/>
      <c r="AH75" s="577"/>
      <c r="AI75" s="1652">
        <v>11</v>
      </c>
    </row>
    <row s="1652" customFormat="1" customHeight="1" ht="11.549999999999999">
      <c r="A76" s="998"/>
      <c r="B76" s="1647"/>
      <c r="C76" s="1647"/>
      <c r="D76" s="362"/>
      <c r="J76" s="1652"/>
      <c r="K76" s="1652"/>
      <c r="L76" s="1652"/>
      <c r="N76" s="1171"/>
      <c r="O76" s="1647"/>
      <c r="P76" s="1647"/>
      <c r="Q76" s="1171"/>
      <c r="R76" s="1171"/>
      <c r="S76" s="1171"/>
      <c r="T76" s="1171"/>
      <c r="U76" s="1647"/>
      <c r="V76" s="1171"/>
      <c r="W76" s="1171"/>
      <c r="X76" s="555"/>
      <c r="Y76" s="1171"/>
      <c r="Z76" s="1171"/>
      <c r="AA76" s="1171"/>
      <c r="AB76" s="1171"/>
      <c r="AC76" s="1171"/>
      <c r="AD76" s="1643"/>
      <c r="AE76" s="577"/>
      <c r="AF76" s="577"/>
      <c r="AG76" s="577"/>
      <c r="AH76" s="577"/>
      <c r="AI76" s="1652">
        <v>11</v>
      </c>
    </row>
    <row s="1652" customFormat="1" customHeight="1" ht="11.549999999999999">
      <c r="A77" s="998"/>
      <c r="B77" s="1647"/>
      <c r="C77" s="1647"/>
      <c r="D77" s="362"/>
      <c r="J77" s="1652"/>
      <c r="K77" s="1652"/>
      <c r="L77" s="1652"/>
      <c r="N77" s="1171"/>
      <c r="O77" s="1647"/>
      <c r="P77" s="1647"/>
      <c r="Q77" s="1171"/>
      <c r="R77" s="1171"/>
      <c r="S77" s="1171"/>
      <c r="T77" s="1171"/>
      <c r="U77" s="1647"/>
      <c r="V77" s="1171"/>
      <c r="W77" s="1171"/>
      <c r="X77" s="555"/>
      <c r="Y77" s="1171"/>
      <c r="Z77" s="1171"/>
      <c r="AA77" s="1171"/>
      <c r="AB77" s="1171"/>
      <c r="AC77" s="1171"/>
      <c r="AD77" s="1643"/>
      <c r="AE77" s="577"/>
      <c r="AF77" s="577"/>
      <c r="AG77" s="577"/>
      <c r="AH77" s="577"/>
      <c r="AI77" s="1652">
        <v>11</v>
      </c>
    </row>
    <row s="1652" customFormat="1" customHeight="1" ht="11.549999999999999">
      <c r="A78" s="998"/>
      <c r="B78" s="1647"/>
      <c r="C78" s="1647"/>
      <c r="D78" s="362"/>
      <c r="J78" s="1652"/>
      <c r="K78" s="1652"/>
      <c r="L78" s="1652"/>
      <c r="N78" s="1171"/>
      <c r="O78" s="1647"/>
      <c r="P78" s="1647"/>
      <c r="Q78" s="1171"/>
      <c r="R78" s="1171"/>
      <c r="S78" s="1171"/>
      <c r="T78" s="1171"/>
      <c r="U78" s="1647"/>
      <c r="V78" s="1171"/>
      <c r="W78" s="1171"/>
      <c r="X78" s="555"/>
      <c r="Y78" s="1171"/>
      <c r="Z78" s="1171"/>
      <c r="AA78" s="1171"/>
      <c r="AB78" s="1171"/>
      <c r="AC78" s="1171"/>
      <c r="AD78" s="1643"/>
      <c r="AE78" s="577"/>
      <c r="AF78" s="577"/>
      <c r="AG78" s="577"/>
      <c r="AH78" s="577"/>
      <c r="AI78" s="1652">
        <v>11</v>
      </c>
    </row>
    <row s="1652" customFormat="1" customHeight="1" ht="11.549999999999999">
      <c r="A79" s="998"/>
      <c r="B79" s="1647"/>
      <c r="C79" s="1647"/>
      <c r="D79" s="362"/>
      <c r="J79" s="1652"/>
      <c r="K79" s="1652"/>
      <c r="L79" s="1652"/>
      <c r="N79" s="1171"/>
      <c r="O79" s="1647"/>
      <c r="P79" s="1647"/>
      <c r="Q79" s="1171"/>
      <c r="R79" s="1171"/>
      <c r="S79" s="1171"/>
      <c r="T79" s="1171"/>
      <c r="U79" s="1647"/>
      <c r="V79" s="1171"/>
      <c r="W79" s="1171"/>
      <c r="X79" s="555"/>
      <c r="Y79" s="1171"/>
      <c r="Z79" s="1171"/>
      <c r="AA79" s="1171"/>
      <c r="AB79" s="1171"/>
      <c r="AC79" s="1171"/>
      <c r="AD79" s="1643"/>
      <c r="AE79" s="577"/>
      <c r="AF79" s="577"/>
      <c r="AG79" s="577"/>
      <c r="AH79" s="577"/>
      <c r="AI79" s="1652">
        <v>11</v>
      </c>
    </row>
    <row s="1652" customFormat="1" customHeight="1" ht="11.549999999999999">
      <c r="A80" s="998"/>
      <c r="B80" s="1647"/>
      <c r="C80" s="1647"/>
      <c r="D80" s="362"/>
      <c r="J80" s="1652"/>
      <c r="K80" s="1652"/>
      <c r="L80" s="1652"/>
      <c r="N80" s="1171"/>
      <c r="O80" s="1647"/>
      <c r="P80" s="1647"/>
      <c r="Q80" s="1171"/>
      <c r="R80" s="1171"/>
      <c r="S80" s="1171"/>
      <c r="T80" s="1171"/>
      <c r="U80" s="1647"/>
      <c r="V80" s="1171"/>
      <c r="W80" s="1171"/>
      <c r="X80" s="555"/>
      <c r="Y80" s="1171"/>
      <c r="Z80" s="1171"/>
      <c r="AA80" s="1171"/>
      <c r="AB80" s="1171"/>
      <c r="AC80" s="1171"/>
      <c r="AD80" s="1643"/>
      <c r="AE80" s="577"/>
      <c r="AF80" s="577"/>
      <c r="AG80" s="577"/>
      <c r="AH80" s="577"/>
      <c r="AI80" s="1652">
        <v>11</v>
      </c>
    </row>
    <row s="1652" customFormat="1" customHeight="1" ht="11.549999999999999">
      <c r="A81" s="998"/>
      <c r="B81" s="1647"/>
      <c r="C81" s="1647"/>
      <c r="D81" s="362"/>
      <c r="J81" s="1652"/>
      <c r="K81" s="1652"/>
      <c r="L81" s="1652"/>
      <c r="N81" s="1171"/>
      <c r="O81" s="1647"/>
      <c r="P81" s="1647"/>
      <c r="Q81" s="1171"/>
      <c r="R81" s="1171"/>
      <c r="S81" s="1171"/>
      <c r="T81" s="1171"/>
      <c r="U81" s="1647"/>
      <c r="V81" s="1171"/>
      <c r="W81" s="1171"/>
      <c r="X81" s="555"/>
      <c r="Y81" s="1171"/>
      <c r="Z81" s="1171"/>
      <c r="AA81" s="1171"/>
      <c r="AB81" s="1171"/>
      <c r="AC81" s="1171"/>
      <c r="AD81" s="1643"/>
      <c r="AE81" s="577"/>
      <c r="AF81" s="577"/>
      <c r="AG81" s="577"/>
      <c r="AH81" s="577"/>
      <c r="AI81" s="1652">
        <v>11</v>
      </c>
    </row>
    <row s="1652" customFormat="1" customHeight="1" ht="11.549999999999999">
      <c r="A82" s="998"/>
      <c r="B82" s="1647"/>
      <c r="C82" s="1647"/>
      <c r="D82" s="362"/>
      <c r="J82" s="1652"/>
      <c r="K82" s="1652"/>
      <c r="L82" s="1652"/>
      <c r="N82" s="1171"/>
      <c r="O82" s="1647"/>
      <c r="P82" s="1647"/>
      <c r="Q82" s="1171"/>
      <c r="R82" s="1171"/>
      <c r="S82" s="1171"/>
      <c r="T82" s="1171"/>
      <c r="U82" s="1647"/>
      <c r="V82" s="1171"/>
      <c r="W82" s="1171"/>
      <c r="X82" s="555"/>
      <c r="Y82" s="1171"/>
      <c r="Z82" s="1171"/>
      <c r="AA82" s="1171"/>
      <c r="AB82" s="1171"/>
      <c r="AC82" s="1171"/>
      <c r="AD82" s="1643"/>
      <c r="AE82" s="577"/>
      <c r="AF82" s="577"/>
      <c r="AG82" s="577"/>
      <c r="AH82" s="577"/>
      <c r="AI82" s="1652">
        <v>11</v>
      </c>
    </row>
    <row s="1652" customFormat="1" customHeight="1" ht="11.549999999999999">
      <c r="A83" s="998"/>
      <c r="B83" s="1647"/>
      <c r="C83" s="1647"/>
      <c r="D83" s="362"/>
      <c r="J83" s="1652"/>
      <c r="K83" s="1652"/>
      <c r="L83" s="1652"/>
      <c r="N83" s="1171"/>
      <c r="O83" s="1647"/>
      <c r="P83" s="1647"/>
      <c r="Q83" s="1171"/>
      <c r="R83" s="1171"/>
      <c r="S83" s="1171"/>
      <c r="T83" s="1171"/>
      <c r="U83" s="1647"/>
      <c r="V83" s="1171"/>
      <c r="W83" s="1171"/>
      <c r="X83" s="555"/>
      <c r="Y83" s="1171"/>
      <c r="Z83" s="1171"/>
      <c r="AA83" s="1171"/>
      <c r="AB83" s="1171"/>
      <c r="AC83" s="1171"/>
      <c r="AD83" s="1643"/>
      <c r="AE83" s="577"/>
      <c r="AF83" s="577"/>
      <c r="AG83" s="577"/>
      <c r="AH83" s="577"/>
      <c r="AI83" s="1652">
        <v>11</v>
      </c>
    </row>
    <row s="1652" customFormat="1" customHeight="1" ht="11.549999999999999">
      <c r="A84" s="998"/>
      <c r="B84" s="1647"/>
      <c r="C84" s="1647"/>
      <c r="D84" s="362"/>
      <c r="J84" s="1652"/>
      <c r="K84" s="1652"/>
      <c r="L84" s="1652"/>
      <c r="N84" s="1171"/>
      <c r="O84" s="1647"/>
      <c r="P84" s="1647"/>
      <c r="Q84" s="1171"/>
      <c r="R84" s="1171"/>
      <c r="S84" s="1171"/>
      <c r="T84" s="1171"/>
      <c r="U84" s="1647"/>
      <c r="V84" s="1171"/>
      <c r="W84" s="1171"/>
      <c r="X84" s="555"/>
      <c r="Y84" s="1171"/>
      <c r="Z84" s="1171"/>
      <c r="AA84" s="1171"/>
      <c r="AB84" s="1171"/>
      <c r="AC84" s="1171"/>
      <c r="AD84" s="1643"/>
      <c r="AE84" s="577"/>
      <c r="AF84" s="577"/>
      <c r="AG84" s="577"/>
      <c r="AH84" s="577"/>
      <c r="AI84" s="1652">
        <v>11</v>
      </c>
    </row>
    <row s="1652" customFormat="1" customHeight="1" ht="11.549999999999999">
      <c r="A85" s="998"/>
      <c r="B85" s="1647"/>
      <c r="C85" s="1647"/>
      <c r="D85" s="362"/>
      <c r="J85" s="1652"/>
      <c r="K85" s="1652"/>
      <c r="L85" s="1652"/>
      <c r="N85" s="1171"/>
      <c r="O85" s="1647"/>
      <c r="P85" s="1647"/>
      <c r="Q85" s="1171"/>
      <c r="R85" s="1171"/>
      <c r="S85" s="1171"/>
      <c r="T85" s="1171"/>
      <c r="U85" s="1647"/>
      <c r="V85" s="1171"/>
      <c r="W85" s="1171"/>
      <c r="X85" s="555"/>
      <c r="Y85" s="1171"/>
      <c r="Z85" s="1171"/>
      <c r="AA85" s="1171"/>
      <c r="AB85" s="1171"/>
      <c r="AC85" s="1171"/>
      <c r="AD85" s="1643"/>
      <c r="AE85" s="577"/>
      <c r="AF85" s="577"/>
      <c r="AG85" s="577"/>
      <c r="AH85" s="577"/>
      <c r="AI85" s="1652">
        <v>11</v>
      </c>
    </row>
    <row s="1652" customFormat="1" customHeight="1" ht="11.549999999999999">
      <c r="A86" s="998"/>
      <c r="B86" s="1647"/>
      <c r="C86" s="1647"/>
      <c r="D86" s="362"/>
      <c r="J86" s="1652"/>
      <c r="K86" s="1652"/>
      <c r="L86" s="1652"/>
      <c r="N86" s="1171"/>
      <c r="O86" s="1647"/>
      <c r="P86" s="1647"/>
      <c r="Q86" s="1171"/>
      <c r="R86" s="1171"/>
      <c r="S86" s="1171"/>
      <c r="T86" s="1171"/>
      <c r="U86" s="1647"/>
      <c r="V86" s="1171"/>
      <c r="W86" s="1171"/>
      <c r="X86" s="555"/>
      <c r="Y86" s="1171"/>
      <c r="Z86" s="1171"/>
      <c r="AA86" s="1171"/>
      <c r="AB86" s="1171"/>
      <c r="AC86" s="1171"/>
      <c r="AD86" s="1643"/>
      <c r="AE86" s="577"/>
      <c r="AF86" s="577"/>
      <c r="AG86" s="577"/>
      <c r="AH86" s="577"/>
      <c r="AI86" s="1652">
        <v>11</v>
      </c>
    </row>
    <row s="1652" customFormat="1" customHeight="1" ht="11.549999999999999">
      <c r="A87" s="998"/>
      <c r="B87" s="1647"/>
      <c r="C87" s="1647"/>
      <c r="D87" s="362"/>
      <c r="J87" s="1652"/>
      <c r="K87" s="1652"/>
      <c r="L87" s="1652"/>
      <c r="N87" s="1171"/>
      <c r="O87" s="1647"/>
      <c r="P87" s="1647"/>
      <c r="Q87" s="1171"/>
      <c r="R87" s="1171"/>
      <c r="S87" s="1171"/>
      <c r="T87" s="1171"/>
      <c r="U87" s="1647"/>
      <c r="V87" s="1171"/>
      <c r="W87" s="1171"/>
      <c r="X87" s="555"/>
      <c r="Y87" s="1171"/>
      <c r="Z87" s="1171"/>
      <c r="AA87" s="1171"/>
      <c r="AB87" s="1171"/>
      <c r="AC87" s="1171"/>
      <c r="AD87" s="1643"/>
      <c r="AE87" s="577"/>
      <c r="AF87" s="577"/>
      <c r="AG87" s="577"/>
      <c r="AH87" s="577"/>
      <c r="AI87" s="1652">
        <v>11</v>
      </c>
    </row>
    <row s="1652" customFormat="1" customHeight="1" ht="11.549999999999999">
      <c r="A88" s="998"/>
      <c r="B88" s="1647"/>
      <c r="C88" s="1647"/>
      <c r="D88" s="362"/>
      <c r="J88" s="1652"/>
      <c r="K88" s="1652"/>
      <c r="L88" s="1652"/>
      <c r="N88" s="1171"/>
      <c r="O88" s="1647"/>
      <c r="P88" s="1647"/>
      <c r="Q88" s="1171"/>
      <c r="R88" s="1171"/>
      <c r="S88" s="1171"/>
      <c r="T88" s="1171"/>
      <c r="U88" s="1647"/>
      <c r="V88" s="1171"/>
      <c r="W88" s="1171"/>
      <c r="X88" s="555"/>
      <c r="Y88" s="1171"/>
      <c r="Z88" s="1171"/>
      <c r="AA88" s="1171"/>
      <c r="AB88" s="1171"/>
      <c r="AC88" s="1171"/>
      <c r="AD88" s="1643"/>
      <c r="AE88" s="577"/>
      <c r="AF88" s="577"/>
      <c r="AG88" s="577"/>
      <c r="AH88" s="577"/>
      <c r="AI88" s="1652">
        <v>11</v>
      </c>
    </row>
    <row s="1652" customFormat="1" customHeight="1" ht="11.549999999999999">
      <c r="A89" s="998"/>
      <c r="B89" s="1647"/>
      <c r="C89" s="1647"/>
      <c r="D89" s="362"/>
      <c r="J89" s="1652"/>
      <c r="K89" s="1652"/>
      <c r="L89" s="1652"/>
      <c r="N89" s="1171"/>
      <c r="O89" s="1647"/>
      <c r="P89" s="1647"/>
      <c r="Q89" s="1171"/>
      <c r="R89" s="1171"/>
      <c r="S89" s="1171"/>
      <c r="T89" s="1171"/>
      <c r="U89" s="1647"/>
      <c r="V89" s="1171"/>
      <c r="W89" s="1171"/>
      <c r="X89" s="555"/>
      <c r="Y89" s="1171"/>
      <c r="Z89" s="1171"/>
      <c r="AA89" s="1171"/>
      <c r="AB89" s="1171"/>
      <c r="AC89" s="1171"/>
      <c r="AD89" s="1643"/>
      <c r="AE89" s="577"/>
      <c r="AF89" s="577"/>
      <c r="AG89" s="577"/>
      <c r="AH89" s="577"/>
      <c r="AI89" s="1652">
        <v>11</v>
      </c>
    </row>
    <row s="1652" customFormat="1" customHeight="1" ht="11.549999999999999">
      <c r="A90" s="998"/>
      <c r="B90" s="1647"/>
      <c r="C90" s="1647"/>
      <c r="D90" s="362"/>
      <c r="J90" s="1652"/>
      <c r="K90" s="1652"/>
      <c r="L90" s="1652"/>
      <c r="N90" s="1171"/>
      <c r="O90" s="1647"/>
      <c r="P90" s="1647"/>
      <c r="Q90" s="1171"/>
      <c r="R90" s="1171"/>
      <c r="S90" s="1171"/>
      <c r="T90" s="1171"/>
      <c r="U90" s="1647"/>
      <c r="V90" s="1171"/>
      <c r="W90" s="1171"/>
      <c r="X90" s="555"/>
      <c r="Y90" s="1171"/>
      <c r="Z90" s="1171"/>
      <c r="AA90" s="1171"/>
      <c r="AB90" s="1171"/>
      <c r="AC90" s="1171"/>
      <c r="AD90" s="1643"/>
      <c r="AE90" s="577"/>
      <c r="AF90" s="577"/>
      <c r="AG90" s="577"/>
      <c r="AH90" s="577"/>
      <c r="AI90" s="1652">
        <v>11</v>
      </c>
    </row>
    <row s="1652" customFormat="1" customHeight="1" ht="11.549999999999999">
      <c r="A91" s="998"/>
      <c r="B91" s="1647"/>
      <c r="C91" s="1647"/>
      <c r="D91" s="362"/>
      <c r="J91" s="1652"/>
      <c r="K91" s="1652"/>
      <c r="L91" s="1652"/>
      <c r="N91" s="1171"/>
      <c r="O91" s="1647"/>
      <c r="P91" s="1647"/>
      <c r="Q91" s="1171"/>
      <c r="R91" s="1171"/>
      <c r="S91" s="1171"/>
      <c r="T91" s="1171"/>
      <c r="U91" s="1647"/>
      <c r="V91" s="1171"/>
      <c r="W91" s="1171"/>
      <c r="X91" s="555"/>
      <c r="Y91" s="1171"/>
      <c r="Z91" s="1171"/>
      <c r="AA91" s="1171"/>
      <c r="AB91" s="1171"/>
      <c r="AC91" s="1171"/>
      <c r="AD91" s="1643"/>
      <c r="AE91" s="577"/>
      <c r="AF91" s="577"/>
      <c r="AG91" s="577"/>
      <c r="AH91" s="577"/>
      <c r="AI91" s="1652">
        <v>11</v>
      </c>
    </row>
    <row s="1652" customFormat="1" customHeight="1" ht="11.549999999999999">
      <c r="A92" s="998"/>
      <c r="B92" s="1647"/>
      <c r="C92" s="1647"/>
      <c r="D92" s="362"/>
      <c r="J92" s="1652"/>
      <c r="K92" s="1652"/>
      <c r="L92" s="1652"/>
      <c r="N92" s="1171"/>
      <c r="O92" s="1647"/>
      <c r="P92" s="1647"/>
      <c r="Q92" s="1171"/>
      <c r="R92" s="1171"/>
      <c r="S92" s="1171"/>
      <c r="T92" s="1171"/>
      <c r="U92" s="1647"/>
      <c r="V92" s="1171"/>
      <c r="W92" s="1171"/>
      <c r="X92" s="555"/>
      <c r="Y92" s="1171"/>
      <c r="Z92" s="1171"/>
      <c r="AA92" s="1171"/>
      <c r="AB92" s="1171"/>
      <c r="AC92" s="1171"/>
      <c r="AD92" s="1643"/>
      <c r="AE92" s="577"/>
      <c r="AF92" s="577"/>
      <c r="AG92" s="577"/>
      <c r="AH92" s="577"/>
      <c r="AI92" s="1652">
        <v>11</v>
      </c>
    </row>
    <row s="1652" customFormat="1" customHeight="1" ht="11.549999999999999">
      <c r="A93" s="998"/>
      <c r="B93" s="1647"/>
      <c r="C93" s="1647"/>
      <c r="D93" s="362"/>
      <c r="J93" s="1652"/>
      <c r="K93" s="1652"/>
      <c r="L93" s="1652"/>
      <c r="N93" s="1171"/>
      <c r="O93" s="1647"/>
      <c r="P93" s="1647"/>
      <c r="Q93" s="1171"/>
      <c r="R93" s="1171"/>
      <c r="S93" s="1171"/>
      <c r="T93" s="1171"/>
      <c r="U93" s="1647"/>
      <c r="V93" s="1171"/>
      <c r="W93" s="1171"/>
      <c r="X93" s="555"/>
      <c r="Y93" s="1171"/>
      <c r="Z93" s="1171"/>
      <c r="AA93" s="1171"/>
      <c r="AB93" s="1171"/>
      <c r="AC93" s="1171"/>
      <c r="AD93" s="1643"/>
      <c r="AE93" s="577"/>
      <c r="AF93" s="577"/>
      <c r="AG93" s="577"/>
      <c r="AH93" s="577"/>
      <c r="AI93" s="1652">
        <v>11</v>
      </c>
    </row>
    <row s="1652" customFormat="1" customHeight="1" ht="11.549999999999999">
      <c r="A94" s="998"/>
      <c r="B94" s="1647"/>
      <c r="C94" s="1647"/>
      <c r="D94" s="362"/>
      <c r="J94" s="1652"/>
      <c r="K94" s="1652"/>
      <c r="L94" s="1652"/>
      <c r="N94" s="1171"/>
      <c r="O94" s="1647"/>
      <c r="P94" s="1647"/>
      <c r="Q94" s="1171"/>
      <c r="R94" s="1171"/>
      <c r="S94" s="1171"/>
      <c r="T94" s="1171"/>
      <c r="U94" s="1647"/>
      <c r="V94" s="1171"/>
      <c r="W94" s="1171"/>
      <c r="X94" s="555"/>
      <c r="Y94" s="1171"/>
      <c r="Z94" s="1171"/>
      <c r="AA94" s="1171"/>
      <c r="AB94" s="1171"/>
      <c r="AC94" s="1171"/>
      <c r="AD94" s="1643"/>
      <c r="AE94" s="577"/>
      <c r="AF94" s="577"/>
      <c r="AG94" s="577"/>
      <c r="AH94" s="577"/>
      <c r="AI94" s="1652">
        <v>11</v>
      </c>
    </row>
    <row s="1652" customFormat="1" customHeight="1" ht="11.549999999999999">
      <c r="A95" s="998"/>
      <c r="B95" s="1647"/>
      <c r="C95" s="1647"/>
      <c r="D95" s="362"/>
      <c r="J95" s="1652"/>
      <c r="K95" s="1652"/>
      <c r="L95" s="1652"/>
      <c r="N95" s="1171"/>
      <c r="O95" s="1647"/>
      <c r="P95" s="1647"/>
      <c r="Q95" s="1171"/>
      <c r="R95" s="1171"/>
      <c r="S95" s="1171"/>
      <c r="T95" s="1171"/>
      <c r="U95" s="1647"/>
      <c r="V95" s="1171"/>
      <c r="W95" s="1171"/>
      <c r="X95" s="555"/>
      <c r="Y95" s="1171"/>
      <c r="Z95" s="1171"/>
      <c r="AA95" s="1171"/>
      <c r="AB95" s="1171"/>
      <c r="AC95" s="1171"/>
      <c r="AD95" s="1643"/>
      <c r="AE95" s="577"/>
      <c r="AF95" s="577"/>
      <c r="AG95" s="577"/>
      <c r="AH95" s="577"/>
      <c r="AI95" s="1652">
        <v>11</v>
      </c>
    </row>
    <row s="1652" customFormat="1" customHeight="1" ht="11.549999999999999">
      <c r="A96" s="998"/>
      <c r="B96" s="1647"/>
      <c r="C96" s="1647"/>
      <c r="D96" s="362"/>
      <c r="J96" s="1652"/>
      <c r="K96" s="1652"/>
      <c r="L96" s="1652"/>
      <c r="N96" s="1171"/>
      <c r="O96" s="1647"/>
      <c r="P96" s="1647"/>
      <c r="Q96" s="1171"/>
      <c r="R96" s="1171"/>
      <c r="S96" s="1171"/>
      <c r="T96" s="1171"/>
      <c r="U96" s="1647"/>
      <c r="V96" s="1171"/>
      <c r="W96" s="1171"/>
      <c r="X96" s="555"/>
      <c r="Y96" s="1171"/>
      <c r="Z96" s="1171"/>
      <c r="AA96" s="1171"/>
      <c r="AB96" s="1171"/>
      <c r="AC96" s="1171"/>
      <c r="AD96" s="1643"/>
      <c r="AE96" s="577"/>
      <c r="AF96" s="577"/>
      <c r="AG96" s="577"/>
      <c r="AH96" s="577"/>
      <c r="AI96" s="1652">
        <v>11</v>
      </c>
    </row>
    <row s="1652" customFormat="1" customHeight="1" ht="11.549999999999999">
      <c r="A97" s="998"/>
      <c r="B97" s="1647"/>
      <c r="C97" s="1647"/>
      <c r="D97" s="362"/>
      <c r="J97" s="1652"/>
      <c r="K97" s="1652"/>
      <c r="L97" s="1652"/>
      <c r="N97" s="1171"/>
      <c r="O97" s="1647"/>
      <c r="P97" s="1647"/>
      <c r="Q97" s="1171"/>
      <c r="R97" s="1171"/>
      <c r="S97" s="1171"/>
      <c r="T97" s="1171"/>
      <c r="U97" s="1647"/>
      <c r="V97" s="1171"/>
      <c r="W97" s="1171"/>
      <c r="X97" s="555"/>
      <c r="Y97" s="1171"/>
      <c r="Z97" s="1171"/>
      <c r="AA97" s="1171"/>
      <c r="AB97" s="1171"/>
      <c r="AC97" s="1171"/>
      <c r="AD97" s="1643"/>
      <c r="AE97" s="577"/>
      <c r="AF97" s="577"/>
      <c r="AG97" s="577"/>
      <c r="AH97" s="577"/>
      <c r="AI97" s="1652">
        <v>11</v>
      </c>
    </row>
    <row s="1652" customFormat="1" customHeight="1" ht="11.549999999999999">
      <c r="A98" s="998"/>
      <c r="B98" s="1647"/>
      <c r="C98" s="1647"/>
      <c r="D98" s="362"/>
      <c r="J98" s="1652"/>
      <c r="K98" s="1652"/>
      <c r="L98" s="1652"/>
      <c r="N98" s="1171"/>
      <c r="O98" s="1647"/>
      <c r="P98" s="1647"/>
      <c r="Q98" s="1171"/>
      <c r="R98" s="1171"/>
      <c r="S98" s="1171"/>
      <c r="T98" s="1171"/>
      <c r="U98" s="1647"/>
      <c r="V98" s="1171"/>
      <c r="W98" s="1171"/>
      <c r="X98" s="555"/>
      <c r="Y98" s="1171"/>
      <c r="Z98" s="1171"/>
      <c r="AA98" s="1171"/>
      <c r="AB98" s="1171"/>
      <c r="AC98" s="1171"/>
      <c r="AD98" s="1643"/>
      <c r="AE98" s="577"/>
      <c r="AF98" s="577"/>
      <c r="AG98" s="577"/>
      <c r="AH98" s="577"/>
      <c r="AI98" s="1652">
        <v>11</v>
      </c>
    </row>
    <row s="1652" customFormat="1" customHeight="1" ht="11.549999999999999">
      <c r="A99" s="998"/>
      <c r="B99" s="1647"/>
      <c r="C99" s="1647"/>
      <c r="D99" s="362"/>
      <c r="J99" s="1652"/>
      <c r="K99" s="1652"/>
      <c r="L99" s="1652"/>
      <c r="N99" s="1171"/>
      <c r="O99" s="1647"/>
      <c r="P99" s="1647"/>
      <c r="Q99" s="1171"/>
      <c r="R99" s="1171"/>
      <c r="S99" s="1171"/>
      <c r="T99" s="1171"/>
      <c r="U99" s="1647"/>
      <c r="V99" s="1171"/>
      <c r="W99" s="1171"/>
      <c r="X99" s="555"/>
      <c r="Y99" s="1171"/>
      <c r="Z99" s="1171"/>
      <c r="AA99" s="1171"/>
      <c r="AB99" s="1171"/>
      <c r="AC99" s="1171"/>
      <c r="AD99" s="1643"/>
      <c r="AE99" s="577"/>
      <c r="AF99" s="577"/>
      <c r="AG99" s="577"/>
      <c r="AH99" s="577"/>
      <c r="AI99" s="1652">
        <v>11</v>
      </c>
    </row>
    <row s="1652" customFormat="1" customHeight="1" ht="11.549999999999999">
      <c r="A100" s="998"/>
      <c r="B100" s="1647"/>
      <c r="C100" s="1647"/>
      <c r="D100" s="362"/>
      <c r="J100" s="1652"/>
      <c r="K100" s="1652"/>
      <c r="L100" s="1652"/>
      <c r="N100" s="1171"/>
      <c r="O100" s="1647"/>
      <c r="P100" s="1647"/>
      <c r="Q100" s="1171"/>
      <c r="R100" s="1171"/>
      <c r="S100" s="1171"/>
      <c r="T100" s="1171"/>
      <c r="U100" s="1647"/>
      <c r="V100" s="1171"/>
      <c r="W100" s="1171"/>
      <c r="X100" s="555"/>
      <c r="Y100" s="1171"/>
      <c r="Z100" s="1171"/>
      <c r="AA100" s="1171"/>
      <c r="AB100" s="1171"/>
      <c r="AC100" s="1171"/>
      <c r="AD100" s="1643"/>
      <c r="AE100" s="577"/>
      <c r="AF100" s="577"/>
      <c r="AG100" s="577"/>
      <c r="AH100" s="577"/>
      <c r="AI100" s="1652">
        <v>11</v>
      </c>
    </row>
    <row s="1652" customFormat="1" customHeight="1" ht="11.549999999999999">
      <c r="A101" s="998"/>
      <c r="B101" s="1647"/>
      <c r="C101" s="1647"/>
      <c r="D101" s="362"/>
      <c r="J101" s="1652"/>
      <c r="K101" s="1652"/>
      <c r="L101" s="1652"/>
      <c r="N101" s="1171"/>
      <c r="O101" s="1647"/>
      <c r="P101" s="1647"/>
      <c r="Q101" s="1171"/>
      <c r="R101" s="1171"/>
      <c r="S101" s="1171"/>
      <c r="T101" s="1171"/>
      <c r="U101" s="1647"/>
      <c r="V101" s="1171"/>
      <c r="W101" s="1171"/>
      <c r="X101" s="555"/>
      <c r="Y101" s="1171"/>
      <c r="Z101" s="1171"/>
      <c r="AA101" s="1171"/>
      <c r="AB101" s="1171"/>
      <c r="AC101" s="1171"/>
      <c r="AD101" s="1643"/>
      <c r="AE101" s="577"/>
      <c r="AF101" s="577"/>
      <c r="AG101" s="577"/>
      <c r="AH101" s="577"/>
      <c r="AI101" s="1652">
        <v>11</v>
      </c>
    </row>
    <row s="1652" customFormat="1" customHeight="1" ht="11.549999999999999">
      <c r="A102" s="998"/>
      <c r="B102" s="1647"/>
      <c r="C102" s="1647"/>
      <c r="D102" s="362"/>
      <c r="J102" s="1652"/>
      <c r="K102" s="1652"/>
      <c r="L102" s="1652"/>
      <c r="N102" s="1171"/>
      <c r="O102" s="1647"/>
      <c r="P102" s="1647"/>
      <c r="Q102" s="1171"/>
      <c r="R102" s="1171"/>
      <c r="S102" s="1171"/>
      <c r="T102" s="1171"/>
      <c r="U102" s="1647"/>
      <c r="V102" s="1171"/>
      <c r="W102" s="1171"/>
      <c r="X102" s="555"/>
      <c r="Y102" s="1171"/>
      <c r="Z102" s="1171"/>
      <c r="AA102" s="1171"/>
      <c r="AB102" s="1171"/>
      <c r="AC102" s="1171"/>
      <c r="AD102" s="1643"/>
      <c r="AE102" s="577"/>
      <c r="AF102" s="577"/>
      <c r="AG102" s="577"/>
      <c r="AH102" s="577"/>
      <c r="AI102" s="1652">
        <v>11</v>
      </c>
    </row>
    <row s="1652" customFormat="1" customHeight="1" ht="11.549999999999999">
      <c r="A103" s="998"/>
      <c r="B103" s="1647"/>
      <c r="C103" s="1647"/>
      <c r="D103" s="362"/>
      <c r="J103" s="1652"/>
      <c r="K103" s="1652"/>
      <c r="L103" s="1652"/>
      <c r="N103" s="1171"/>
      <c r="O103" s="1647"/>
      <c r="P103" s="1647"/>
      <c r="Q103" s="1171"/>
      <c r="R103" s="1171"/>
      <c r="S103" s="1171"/>
      <c r="T103" s="1171"/>
      <c r="U103" s="1647"/>
      <c r="V103" s="1171"/>
      <c r="W103" s="1171"/>
      <c r="X103" s="555"/>
      <c r="Y103" s="1171"/>
      <c r="Z103" s="1171"/>
      <c r="AA103" s="1171"/>
      <c r="AB103" s="1171"/>
      <c r="AC103" s="1171"/>
      <c r="AD103" s="1643"/>
      <c r="AE103" s="577"/>
      <c r="AF103" s="577"/>
      <c r="AG103" s="577"/>
      <c r="AH103" s="577"/>
      <c r="AI103" s="1652">
        <v>11</v>
      </c>
    </row>
    <row s="1652" customFormat="1" customHeight="1" ht="11.549999999999999">
      <c r="A104" s="998"/>
      <c r="B104" s="1647"/>
      <c r="C104" s="1647"/>
      <c r="D104" s="362"/>
      <c r="J104" s="1652"/>
      <c r="K104" s="1652"/>
      <c r="L104" s="1652"/>
      <c r="N104" s="1171"/>
      <c r="O104" s="1647"/>
      <c r="P104" s="1647"/>
      <c r="Q104" s="1171"/>
      <c r="R104" s="1171"/>
      <c r="S104" s="1171"/>
      <c r="T104" s="1171"/>
      <c r="U104" s="1647"/>
      <c r="V104" s="1171"/>
      <c r="W104" s="1171"/>
      <c r="X104" s="555"/>
      <c r="Y104" s="1171"/>
      <c r="Z104" s="1171"/>
      <c r="AA104" s="1171"/>
      <c r="AB104" s="1171"/>
      <c r="AC104" s="1171"/>
      <c r="AD104" s="1643"/>
      <c r="AE104" s="577"/>
      <c r="AF104" s="577"/>
      <c r="AG104" s="577"/>
      <c r="AH104" s="577"/>
      <c r="AI104" s="1652">
        <v>11</v>
      </c>
    </row>
    <row s="1652" customFormat="1" customHeight="1" ht="11.549999999999999">
      <c r="A105" s="998"/>
      <c r="B105" s="1647"/>
      <c r="C105" s="1647"/>
      <c r="D105" s="362"/>
      <c r="J105" s="1652"/>
      <c r="K105" s="1652"/>
      <c r="L105" s="1652"/>
      <c r="N105" s="1171"/>
      <c r="O105" s="1647"/>
      <c r="P105" s="1647"/>
      <c r="Q105" s="1171"/>
      <c r="R105" s="1171"/>
      <c r="S105" s="1171"/>
      <c r="T105" s="1171"/>
      <c r="U105" s="1647"/>
      <c r="V105" s="1171"/>
      <c r="W105" s="1171"/>
      <c r="X105" s="555"/>
      <c r="Y105" s="1171"/>
      <c r="Z105" s="1171"/>
      <c r="AA105" s="1171"/>
      <c r="AB105" s="1171"/>
      <c r="AC105" s="1171"/>
      <c r="AD105" s="1643"/>
      <c r="AE105" s="577"/>
      <c r="AF105" s="577"/>
      <c r="AG105" s="577"/>
      <c r="AH105" s="577"/>
      <c r="AI105" s="1652">
        <v>11</v>
      </c>
    </row>
    <row s="1652" customFormat="1" customHeight="1" ht="11.549999999999999">
      <c r="A106" s="998"/>
      <c r="B106" s="1647"/>
      <c r="C106" s="1647"/>
      <c r="D106" s="362"/>
      <c r="J106" s="1652"/>
      <c r="K106" s="1652"/>
      <c r="L106" s="1652"/>
      <c r="N106" s="1171"/>
      <c r="O106" s="1647"/>
      <c r="P106" s="1647"/>
      <c r="Q106" s="1171"/>
      <c r="R106" s="1171"/>
      <c r="S106" s="1171"/>
      <c r="T106" s="1171"/>
      <c r="U106" s="1647"/>
      <c r="V106" s="1171"/>
      <c r="W106" s="1171"/>
      <c r="X106" s="555"/>
      <c r="Y106" s="1171"/>
      <c r="Z106" s="1171"/>
      <c r="AA106" s="1171"/>
      <c r="AB106" s="1171"/>
      <c r="AC106" s="1171"/>
      <c r="AD106" s="1643"/>
      <c r="AE106" s="577"/>
      <c r="AF106" s="577"/>
      <c r="AG106" s="577"/>
      <c r="AH106" s="577"/>
      <c r="AI106" s="1652">
        <v>11</v>
      </c>
    </row>
    <row s="1652" customFormat="1" customHeight="1" ht="11.549999999999999">
      <c r="A107" s="998"/>
      <c r="B107" s="1647"/>
      <c r="C107" s="1647"/>
      <c r="D107" s="362"/>
      <c r="J107" s="1652"/>
      <c r="K107" s="1652"/>
      <c r="L107" s="1652"/>
      <c r="N107" s="1171"/>
      <c r="O107" s="1647"/>
      <c r="P107" s="1647"/>
      <c r="Q107" s="1171"/>
      <c r="R107" s="1171"/>
      <c r="S107" s="1171"/>
      <c r="T107" s="1171"/>
      <c r="U107" s="1647"/>
      <c r="V107" s="1171"/>
      <c r="W107" s="1171"/>
      <c r="X107" s="555"/>
      <c r="Y107" s="1171"/>
      <c r="Z107" s="1171"/>
      <c r="AA107" s="1171"/>
      <c r="AB107" s="1171"/>
      <c r="AC107" s="1171"/>
      <c r="AD107" s="1643"/>
      <c r="AE107" s="577"/>
      <c r="AF107" s="577"/>
      <c r="AG107" s="577"/>
      <c r="AH107" s="577"/>
      <c r="AI107" s="1652">
        <v>11</v>
      </c>
    </row>
    <row s="1652" customFormat="1" customHeight="1" ht="11.549999999999999">
      <c r="A108" s="998"/>
      <c r="B108" s="1647"/>
      <c r="C108" s="1647"/>
      <c r="D108" s="362"/>
      <c r="J108" s="1652"/>
      <c r="K108" s="1652"/>
      <c r="L108" s="1652"/>
      <c r="N108" s="1171"/>
      <c r="O108" s="1647"/>
      <c r="P108" s="1647"/>
      <c r="Q108" s="1171"/>
      <c r="R108" s="1171"/>
      <c r="S108" s="1171"/>
      <c r="T108" s="1171"/>
      <c r="U108" s="1647"/>
      <c r="V108" s="1171"/>
      <c r="W108" s="1171"/>
      <c r="X108" s="555"/>
      <c r="Y108" s="1171"/>
      <c r="Z108" s="1171"/>
      <c r="AA108" s="1171"/>
      <c r="AB108" s="1171"/>
      <c r="AC108" s="1171"/>
      <c r="AD108" s="1643"/>
      <c r="AE108" s="577"/>
      <c r="AF108" s="577"/>
      <c r="AG108" s="577"/>
      <c r="AH108" s="577"/>
      <c r="AI108" s="1652">
        <v>11</v>
      </c>
    </row>
    <row s="1652" customFormat="1" customHeight="1" ht="11.549999999999999">
      <c r="A109" s="998"/>
      <c r="B109" s="1647"/>
      <c r="C109" s="1647"/>
      <c r="D109" s="362"/>
      <c r="J109" s="1652"/>
      <c r="K109" s="1652"/>
      <c r="L109" s="1652"/>
      <c r="N109" s="1171"/>
      <c r="O109" s="1647"/>
      <c r="P109" s="1647"/>
      <c r="Q109" s="1171"/>
      <c r="R109" s="1171"/>
      <c r="S109" s="1171"/>
      <c r="T109" s="1171"/>
      <c r="U109" s="1647"/>
      <c r="V109" s="1171"/>
      <c r="W109" s="1171"/>
      <c r="X109" s="555"/>
      <c r="Y109" s="1171"/>
      <c r="Z109" s="1171"/>
      <c r="AA109" s="1171"/>
      <c r="AB109" s="1171"/>
      <c r="AC109" s="1171"/>
      <c r="AD109" s="1643"/>
      <c r="AE109" s="577"/>
      <c r="AF109" s="577"/>
      <c r="AG109" s="577"/>
      <c r="AH109" s="577"/>
      <c r="AI109" s="1652">
        <v>11</v>
      </c>
    </row>
    <row s="1652" customFormat="1" customHeight="1" ht="11.549999999999999">
      <c r="A110" s="998"/>
      <c r="B110" s="1647"/>
      <c r="C110" s="1647"/>
      <c r="D110" s="362"/>
      <c r="J110" s="1652"/>
      <c r="K110" s="1652"/>
      <c r="L110" s="1652"/>
      <c r="N110" s="1171"/>
      <c r="O110" s="1647"/>
      <c r="P110" s="1647"/>
      <c r="Q110" s="1171"/>
      <c r="R110" s="1171"/>
      <c r="S110" s="1171"/>
      <c r="T110" s="1171"/>
      <c r="U110" s="1647"/>
      <c r="V110" s="1171"/>
      <c r="W110" s="1171"/>
      <c r="X110" s="555"/>
      <c r="Y110" s="1171"/>
      <c r="Z110" s="1171"/>
      <c r="AA110" s="1171"/>
      <c r="AB110" s="1171"/>
      <c r="AC110" s="1171"/>
      <c r="AD110" s="1643"/>
      <c r="AE110" s="577"/>
      <c r="AF110" s="577"/>
      <c r="AG110" s="577"/>
      <c r="AH110" s="577"/>
      <c r="AI110" s="1652">
        <v>11</v>
      </c>
    </row>
    <row s="1652" customFormat="1" customHeight="1" ht="11.549999999999999">
      <c r="A111" s="998"/>
      <c r="B111" s="1647"/>
      <c r="C111" s="1647"/>
      <c r="D111" s="362"/>
      <c r="J111" s="1652"/>
      <c r="K111" s="1652"/>
      <c r="L111" s="1652"/>
      <c r="N111" s="1171"/>
      <c r="O111" s="1647"/>
      <c r="P111" s="1647"/>
      <c r="Q111" s="1171"/>
      <c r="R111" s="1171"/>
      <c r="S111" s="1171"/>
      <c r="T111" s="1171"/>
      <c r="U111" s="1647"/>
      <c r="V111" s="1171"/>
      <c r="W111" s="1171"/>
      <c r="X111" s="555"/>
      <c r="Y111" s="1171"/>
      <c r="Z111" s="1171"/>
      <c r="AA111" s="1171"/>
      <c r="AB111" s="1171"/>
      <c r="AC111" s="1171"/>
      <c r="AD111" s="1643"/>
      <c r="AE111" s="577"/>
      <c r="AF111" s="577"/>
      <c r="AG111" s="577"/>
      <c r="AH111" s="577"/>
      <c r="AI111" s="1652">
        <v>11</v>
      </c>
    </row>
    <row s="1652" customFormat="1" customHeight="1" ht="11.549999999999999">
      <c r="A112" s="998"/>
      <c r="B112" s="1647"/>
      <c r="C112" s="1647"/>
      <c r="D112" s="362"/>
      <c r="J112" s="1652"/>
      <c r="K112" s="1652"/>
      <c r="L112" s="1652"/>
      <c r="N112" s="1171"/>
      <c r="O112" s="1647"/>
      <c r="P112" s="1647"/>
      <c r="Q112" s="1171"/>
      <c r="R112" s="1171"/>
      <c r="S112" s="1171"/>
      <c r="T112" s="1171"/>
      <c r="U112" s="1647"/>
      <c r="V112" s="1171"/>
      <c r="W112" s="1171"/>
      <c r="X112" s="555"/>
      <c r="Y112" s="1171"/>
      <c r="Z112" s="1171"/>
      <c r="AA112" s="1171"/>
      <c r="AB112" s="1171"/>
      <c r="AC112" s="1171"/>
      <c r="AD112" s="1643"/>
      <c r="AE112" s="577"/>
      <c r="AF112" s="577"/>
      <c r="AG112" s="577"/>
      <c r="AH112" s="577"/>
      <c r="AI112" s="1652">
        <v>11</v>
      </c>
    </row>
    <row s="1652" customFormat="1" customHeight="1" ht="11.549999999999999">
      <c r="A113" s="998"/>
      <c r="B113" s="1647"/>
      <c r="C113" s="1647"/>
      <c r="D113" s="362"/>
      <c r="J113" s="1652"/>
      <c r="K113" s="1652"/>
      <c r="L113" s="1652"/>
      <c r="N113" s="1171"/>
      <c r="O113" s="1647"/>
      <c r="P113" s="1647"/>
      <c r="Q113" s="1171"/>
      <c r="R113" s="1171"/>
      <c r="S113" s="1171"/>
      <c r="T113" s="1171"/>
      <c r="U113" s="1647"/>
      <c r="V113" s="1171"/>
      <c r="W113" s="1171"/>
      <c r="X113" s="555"/>
      <c r="Y113" s="1171"/>
      <c r="Z113" s="1171"/>
      <c r="AA113" s="1171"/>
      <c r="AB113" s="1171"/>
      <c r="AC113" s="1171"/>
      <c r="AD113" s="1643"/>
      <c r="AE113" s="577"/>
      <c r="AF113" s="577"/>
      <c r="AG113" s="577"/>
      <c r="AH113" s="577"/>
      <c r="AI113" s="1652">
        <v>11</v>
      </c>
    </row>
    <row s="1652" customFormat="1" customHeight="1" ht="11.549999999999999">
      <c r="A114" s="998"/>
      <c r="B114" s="1647"/>
      <c r="C114" s="1647"/>
      <c r="D114" s="362"/>
      <c r="J114" s="1652"/>
      <c r="K114" s="1652"/>
      <c r="L114" s="1652"/>
      <c r="N114" s="1171"/>
      <c r="O114" s="1647"/>
      <c r="P114" s="1647"/>
      <c r="Q114" s="1171"/>
      <c r="R114" s="1171"/>
      <c r="S114" s="1171"/>
      <c r="T114" s="1171"/>
      <c r="U114" s="1647"/>
      <c r="V114" s="1171"/>
      <c r="W114" s="1171"/>
      <c r="X114" s="555"/>
      <c r="Y114" s="1171"/>
      <c r="Z114" s="1171"/>
      <c r="AA114" s="1171"/>
      <c r="AB114" s="1171"/>
      <c r="AC114" s="1171"/>
      <c r="AD114" s="1643"/>
      <c r="AE114" s="577"/>
      <c r="AF114" s="577"/>
      <c r="AG114" s="577"/>
      <c r="AH114" s="577"/>
      <c r="AI114" s="1652">
        <v>11</v>
      </c>
    </row>
    <row s="1652" customFormat="1" customHeight="1" ht="11.549999999999999">
      <c r="A115" s="998"/>
      <c r="B115" s="1647"/>
      <c r="C115" s="1647"/>
      <c r="D115" s="362"/>
      <c r="J115" s="1652"/>
      <c r="K115" s="1652"/>
      <c r="L115" s="1652"/>
      <c r="N115" s="1171"/>
      <c r="O115" s="1647"/>
      <c r="P115" s="1647"/>
      <c r="Q115" s="1171"/>
      <c r="R115" s="1171"/>
      <c r="S115" s="1171"/>
      <c r="T115" s="1171"/>
      <c r="U115" s="1647"/>
      <c r="V115" s="1171"/>
      <c r="W115" s="1171"/>
      <c r="X115" s="555"/>
      <c r="Y115" s="1171"/>
      <c r="Z115" s="1171"/>
      <c r="AA115" s="1171"/>
      <c r="AB115" s="1171"/>
      <c r="AC115" s="1171"/>
      <c r="AD115" s="1643"/>
      <c r="AE115" s="577"/>
      <c r="AF115" s="577"/>
      <c r="AG115" s="577"/>
      <c r="AH115" s="577"/>
      <c r="AI115" s="1652">
        <v>11</v>
      </c>
    </row>
    <row s="1652" customFormat="1" customHeight="1" ht="11.549999999999999">
      <c r="A116" s="998"/>
      <c r="B116" s="1647"/>
      <c r="C116" s="1647"/>
      <c r="D116" s="362"/>
      <c r="J116" s="1652"/>
      <c r="K116" s="1652"/>
      <c r="L116" s="1652"/>
      <c r="N116" s="1171"/>
      <c r="O116" s="1647"/>
      <c r="P116" s="1647"/>
      <c r="Q116" s="1171"/>
      <c r="R116" s="1171"/>
      <c r="S116" s="1171"/>
      <c r="T116" s="1171"/>
      <c r="U116" s="1647"/>
      <c r="V116" s="1171"/>
      <c r="W116" s="1171"/>
      <c r="X116" s="555"/>
      <c r="Y116" s="1171"/>
      <c r="Z116" s="1171"/>
      <c r="AA116" s="1171"/>
      <c r="AB116" s="1171"/>
      <c r="AC116" s="1171"/>
      <c r="AD116" s="1643"/>
      <c r="AE116" s="577"/>
      <c r="AF116" s="577"/>
      <c r="AG116" s="577"/>
      <c r="AH116" s="577"/>
      <c r="AI116" s="1652">
        <v>11</v>
      </c>
    </row>
    <row s="1652" customFormat="1" customHeight="1" ht="11.549999999999999">
      <c r="A117" s="998"/>
      <c r="B117" s="1647"/>
      <c r="C117" s="1647"/>
      <c r="D117" s="362"/>
      <c r="J117" s="1652"/>
      <c r="K117" s="1652"/>
      <c r="L117" s="1652"/>
      <c r="N117" s="1171"/>
      <c r="O117" s="1647"/>
      <c r="P117" s="1647"/>
      <c r="Q117" s="1171"/>
      <c r="R117" s="1171"/>
      <c r="S117" s="1171"/>
      <c r="T117" s="1171"/>
      <c r="U117" s="1647"/>
      <c r="V117" s="1171"/>
      <c r="W117" s="1171"/>
      <c r="X117" s="555"/>
      <c r="Y117" s="1171"/>
      <c r="Z117" s="1171"/>
      <c r="AA117" s="1171"/>
      <c r="AB117" s="1171"/>
      <c r="AC117" s="1171"/>
      <c r="AD117" s="1643"/>
      <c r="AE117" s="577"/>
      <c r="AF117" s="577"/>
      <c r="AG117" s="577"/>
      <c r="AH117" s="577"/>
      <c r="AI117" s="1652">
        <v>11</v>
      </c>
    </row>
    <row s="1652" customFormat="1" customHeight="1" ht="11.549999999999999">
      <c r="A118" s="998"/>
      <c r="B118" s="1647"/>
      <c r="C118" s="1647"/>
      <c r="D118" s="362"/>
      <c r="J118" s="1652"/>
      <c r="K118" s="1652"/>
      <c r="L118" s="1652"/>
      <c r="N118" s="1171"/>
      <c r="O118" s="1647"/>
      <c r="P118" s="1647"/>
      <c r="Q118" s="1171"/>
      <c r="R118" s="1171"/>
      <c r="S118" s="1171"/>
      <c r="T118" s="1171"/>
      <c r="U118" s="1647"/>
      <c r="V118" s="1171"/>
      <c r="W118" s="1171"/>
      <c r="X118" s="555"/>
      <c r="Y118" s="1171"/>
      <c r="Z118" s="1171"/>
      <c r="AA118" s="1171"/>
      <c r="AB118" s="1171"/>
      <c r="AC118" s="1171"/>
      <c r="AD118" s="1643"/>
      <c r="AE118" s="577"/>
      <c r="AF118" s="577"/>
      <c r="AG118" s="577"/>
      <c r="AH118" s="577"/>
      <c r="AI118" s="1652">
        <v>11</v>
      </c>
    </row>
    <row s="1652" customFormat="1" customHeight="1" ht="11.549999999999999">
      <c r="A119" s="998"/>
      <c r="B119" s="1647"/>
      <c r="C119" s="1647"/>
      <c r="D119" s="362"/>
      <c r="J119" s="1652"/>
      <c r="K119" s="1652"/>
      <c r="L119" s="1652"/>
      <c r="N119" s="1171"/>
      <c r="O119" s="1647"/>
      <c r="P119" s="1647"/>
      <c r="Q119" s="1171"/>
      <c r="R119" s="1171"/>
      <c r="S119" s="1171"/>
      <c r="T119" s="1171"/>
      <c r="U119" s="1647"/>
      <c r="V119" s="1171"/>
      <c r="W119" s="1171"/>
      <c r="X119" s="555"/>
      <c r="Y119" s="1171"/>
      <c r="Z119" s="1171"/>
      <c r="AA119" s="1171"/>
      <c r="AB119" s="1171"/>
      <c r="AC119" s="1171"/>
      <c r="AD119" s="1643"/>
      <c r="AE119" s="577"/>
      <c r="AF119" s="577"/>
      <c r="AG119" s="577"/>
      <c r="AH119" s="577"/>
      <c r="AI119" s="1652">
        <v>11</v>
      </c>
    </row>
    <row s="1652" customFormat="1" customHeight="1" ht="11.549999999999999">
      <c r="A120" s="998"/>
      <c r="B120" s="1647"/>
      <c r="C120" s="1647"/>
      <c r="D120" s="362"/>
      <c r="J120" s="1652"/>
      <c r="K120" s="1652"/>
      <c r="L120" s="1652"/>
      <c r="N120" s="1171"/>
      <c r="O120" s="1647"/>
      <c r="P120" s="1647"/>
      <c r="Q120" s="1171"/>
      <c r="R120" s="1171"/>
      <c r="S120" s="1171"/>
      <c r="T120" s="1171"/>
      <c r="U120" s="1647"/>
      <c r="V120" s="1171"/>
      <c r="W120" s="1171"/>
      <c r="X120" s="555"/>
      <c r="Y120" s="1171"/>
      <c r="Z120" s="1171"/>
      <c r="AA120" s="1171"/>
      <c r="AB120" s="1171"/>
      <c r="AC120" s="1171"/>
      <c r="AD120" s="1643"/>
      <c r="AE120" s="577"/>
      <c r="AF120" s="577"/>
      <c r="AG120" s="577"/>
      <c r="AH120" s="577"/>
      <c r="AI120" s="1652">
        <v>11</v>
      </c>
    </row>
    <row s="1652" customFormat="1" customHeight="1" ht="11.549999999999999">
      <c r="A121" s="998"/>
      <c r="B121" s="1647"/>
      <c r="C121" s="1647"/>
      <c r="D121" s="362"/>
      <c r="J121" s="1652"/>
      <c r="K121" s="1652"/>
      <c r="L121" s="1652"/>
      <c r="N121" s="1171"/>
      <c r="O121" s="1647"/>
      <c r="P121" s="1647"/>
      <c r="Q121" s="1171"/>
      <c r="R121" s="1171"/>
      <c r="S121" s="1171"/>
      <c r="T121" s="1171"/>
      <c r="U121" s="1647"/>
      <c r="V121" s="1171"/>
      <c r="W121" s="1171"/>
      <c r="X121" s="555"/>
      <c r="Y121" s="1171"/>
      <c r="Z121" s="1171"/>
      <c r="AA121" s="1171"/>
      <c r="AB121" s="1171"/>
      <c r="AC121" s="1171"/>
      <c r="AD121" s="1643"/>
      <c r="AE121" s="577"/>
      <c r="AF121" s="577"/>
      <c r="AG121" s="577"/>
      <c r="AH121" s="577"/>
      <c r="AI121" s="1652">
        <v>11</v>
      </c>
    </row>
    <row s="1652" customFormat="1" customHeight="1" ht="11.549999999999999">
      <c r="A122" s="998"/>
      <c r="B122" s="1647"/>
      <c r="C122" s="1647"/>
      <c r="D122" s="362"/>
      <c r="J122" s="1652"/>
      <c r="K122" s="1652"/>
      <c r="L122" s="1652"/>
      <c r="N122" s="1171"/>
      <c r="O122" s="1647"/>
      <c r="P122" s="1647"/>
      <c r="Q122" s="1171"/>
      <c r="R122" s="1171"/>
      <c r="S122" s="1171"/>
      <c r="T122" s="1171"/>
      <c r="U122" s="1647"/>
      <c r="V122" s="1171"/>
      <c r="W122" s="1171"/>
      <c r="X122" s="555"/>
      <c r="Y122" s="1171"/>
      <c r="Z122" s="1171"/>
      <c r="AA122" s="1171"/>
      <c r="AB122" s="1171"/>
      <c r="AC122" s="1171"/>
      <c r="AD122" s="1643"/>
      <c r="AE122" s="577"/>
      <c r="AF122" s="577"/>
      <c r="AG122" s="577"/>
      <c r="AH122" s="577"/>
      <c r="AI122" s="1652">
        <v>11</v>
      </c>
    </row>
    <row s="1652" customFormat="1" customHeight="1" ht="11.549999999999999">
      <c r="A123" s="998"/>
      <c r="B123" s="1647"/>
      <c r="C123" s="1647"/>
      <c r="D123" s="362"/>
      <c r="J123" s="1652"/>
      <c r="K123" s="1652"/>
      <c r="L123" s="1652"/>
      <c r="N123" s="1171"/>
      <c r="O123" s="1647"/>
      <c r="P123" s="1647"/>
      <c r="Q123" s="1171"/>
      <c r="R123" s="1171"/>
      <c r="S123" s="1171"/>
      <c r="T123" s="1171"/>
      <c r="U123" s="1647"/>
      <c r="V123" s="1171"/>
      <c r="W123" s="1171"/>
      <c r="X123" s="555"/>
      <c r="Y123" s="1171"/>
      <c r="Z123" s="1171"/>
      <c r="AA123" s="1171"/>
      <c r="AB123" s="1171"/>
      <c r="AC123" s="1171"/>
      <c r="AD123" s="1643"/>
      <c r="AE123" s="577"/>
      <c r="AF123" s="577"/>
      <c r="AG123" s="577"/>
      <c r="AH123" s="577"/>
      <c r="AI123" s="1652">
        <v>11</v>
      </c>
    </row>
    <row s="1652" customFormat="1" customHeight="1" ht="11.549999999999999">
      <c r="A124" s="998"/>
      <c r="B124" s="1647"/>
      <c r="C124" s="1647"/>
      <c r="D124" s="362"/>
      <c r="J124" s="1652"/>
      <c r="K124" s="1652"/>
      <c r="L124" s="1652"/>
      <c r="N124" s="1171"/>
      <c r="O124" s="1647"/>
      <c r="P124" s="1647"/>
      <c r="Q124" s="1171"/>
      <c r="R124" s="1171"/>
      <c r="S124" s="1171"/>
      <c r="T124" s="1171"/>
      <c r="U124" s="1647"/>
      <c r="V124" s="1171"/>
      <c r="W124" s="1171"/>
      <c r="X124" s="555"/>
      <c r="Y124" s="1171"/>
      <c r="Z124" s="1171"/>
      <c r="AA124" s="1171"/>
      <c r="AB124" s="1171"/>
      <c r="AC124" s="1171"/>
      <c r="AD124" s="1643"/>
      <c r="AE124" s="577"/>
      <c r="AF124" s="577"/>
      <c r="AG124" s="577"/>
      <c r="AH124" s="577"/>
      <c r="AI124" s="1652">
        <v>11</v>
      </c>
    </row>
    <row s="1652" customFormat="1" customHeight="1" ht="11.549999999999999">
      <c r="A125" s="998"/>
      <c r="B125" s="1647"/>
      <c r="C125" s="1647"/>
      <c r="D125" s="362"/>
      <c r="J125" s="1652"/>
      <c r="K125" s="1652"/>
      <c r="L125" s="1652"/>
      <c r="N125" s="1171"/>
      <c r="O125" s="1647"/>
      <c r="P125" s="1647"/>
      <c r="Q125" s="1171"/>
      <c r="R125" s="1171"/>
      <c r="S125" s="1171"/>
      <c r="T125" s="1171"/>
      <c r="U125" s="1647"/>
      <c r="V125" s="1171"/>
      <c r="W125" s="1171"/>
      <c r="X125" s="555"/>
      <c r="Y125" s="1171"/>
      <c r="Z125" s="1171"/>
      <c r="AA125" s="1171"/>
      <c r="AB125" s="1171"/>
      <c r="AC125" s="1171"/>
      <c r="AD125" s="1643"/>
      <c r="AE125" s="577"/>
      <c r="AF125" s="577"/>
      <c r="AG125" s="577"/>
      <c r="AH125" s="577"/>
      <c r="AI125" s="1652">
        <v>11</v>
      </c>
    </row>
    <row s="1652" customFormat="1" customHeight="1" ht="11.549999999999999">
      <c r="A126" s="998"/>
      <c r="B126" s="1647"/>
      <c r="C126" s="1647"/>
      <c r="D126" s="362"/>
      <c r="J126" s="1652"/>
      <c r="K126" s="1652"/>
      <c r="L126" s="1652"/>
      <c r="N126" s="1171"/>
      <c r="O126" s="1647"/>
      <c r="P126" s="1647"/>
      <c r="Q126" s="1171"/>
      <c r="R126" s="1171"/>
      <c r="S126" s="1171"/>
      <c r="T126" s="1171"/>
      <c r="U126" s="1647"/>
      <c r="V126" s="1171"/>
      <c r="W126" s="1171"/>
      <c r="X126" s="555"/>
      <c r="Y126" s="1171"/>
      <c r="Z126" s="1171"/>
      <c r="AA126" s="1171"/>
      <c r="AB126" s="1171"/>
      <c r="AC126" s="1171"/>
      <c r="AD126" s="1643"/>
      <c r="AE126" s="577"/>
      <c r="AF126" s="577"/>
      <c r="AG126" s="577"/>
      <c r="AH126" s="577"/>
      <c r="AI126" s="1652">
        <v>11</v>
      </c>
    </row>
    <row s="1652" customFormat="1" customHeight="1" ht="11.549999999999999">
      <c r="A127" s="998"/>
      <c r="B127" s="1647"/>
      <c r="C127" s="1647"/>
      <c r="D127" s="362"/>
      <c r="J127" s="1652"/>
      <c r="K127" s="1652"/>
      <c r="L127" s="1652"/>
      <c r="N127" s="1171"/>
      <c r="O127" s="1647"/>
      <c r="P127" s="1647"/>
      <c r="Q127" s="1171"/>
      <c r="R127" s="1171"/>
      <c r="S127" s="1171"/>
      <c r="T127" s="1171"/>
      <c r="U127" s="1647"/>
      <c r="V127" s="1171"/>
      <c r="W127" s="1171"/>
      <c r="X127" s="555"/>
      <c r="Y127" s="1171"/>
      <c r="Z127" s="1171"/>
      <c r="AA127" s="1171"/>
      <c r="AB127" s="1171"/>
      <c r="AC127" s="1171"/>
      <c r="AD127" s="1643"/>
      <c r="AE127" s="577"/>
      <c r="AF127" s="577"/>
      <c r="AG127" s="577"/>
      <c r="AH127" s="577"/>
      <c r="AI127" s="1652">
        <v>11</v>
      </c>
    </row>
    <row s="1652" customFormat="1" customHeight="1" ht="11.549999999999999">
      <c r="A128" s="998"/>
      <c r="B128" s="1647"/>
      <c r="C128" s="1647"/>
      <c r="D128" s="362"/>
      <c r="J128" s="1652"/>
      <c r="K128" s="1652"/>
      <c r="L128" s="1652"/>
      <c r="N128" s="1171"/>
      <c r="O128" s="1647"/>
      <c r="P128" s="1647"/>
      <c r="Q128" s="1171"/>
      <c r="R128" s="1171"/>
      <c r="S128" s="1171"/>
      <c r="T128" s="1171"/>
      <c r="U128" s="1647"/>
      <c r="V128" s="1171"/>
      <c r="W128" s="1171"/>
      <c r="X128" s="555"/>
      <c r="Y128" s="1171"/>
      <c r="Z128" s="1171"/>
      <c r="AA128" s="1171"/>
      <c r="AB128" s="1171"/>
      <c r="AC128" s="1171"/>
      <c r="AD128" s="1643"/>
      <c r="AE128" s="577"/>
      <c r="AF128" s="577"/>
      <c r="AG128" s="577"/>
      <c r="AH128" s="577"/>
      <c r="AI128" s="1652">
        <v>11</v>
      </c>
    </row>
    <row s="1652" customFormat="1" customHeight="1" ht="11.549999999999999">
      <c r="A129" s="998"/>
      <c r="B129" s="1647"/>
      <c r="C129" s="1647"/>
      <c r="D129" s="362"/>
      <c r="J129" s="1652"/>
      <c r="K129" s="1652"/>
      <c r="L129" s="1652"/>
      <c r="N129" s="1171"/>
      <c r="O129" s="1647"/>
      <c r="P129" s="1647"/>
      <c r="Q129" s="1171"/>
      <c r="R129" s="1171"/>
      <c r="S129" s="1171"/>
      <c r="T129" s="1171"/>
      <c r="U129" s="1647"/>
      <c r="V129" s="1171"/>
      <c r="W129" s="1171"/>
      <c r="X129" s="555"/>
      <c r="Y129" s="1171"/>
      <c r="Z129" s="1171"/>
      <c r="AA129" s="1171"/>
      <c r="AB129" s="1171"/>
      <c r="AC129" s="1171"/>
      <c r="AD129" s="1643"/>
      <c r="AE129" s="577"/>
      <c r="AF129" s="577"/>
      <c r="AG129" s="577"/>
      <c r="AH129" s="577"/>
      <c r="AI129" s="1652">
        <v>11</v>
      </c>
    </row>
    <row s="1652" customFormat="1" customHeight="1" ht="11.549999999999999">
      <c r="A130" s="998"/>
      <c r="B130" s="1647"/>
      <c r="C130" s="1647"/>
      <c r="D130" s="362"/>
      <c r="J130" s="1652"/>
      <c r="K130" s="1652"/>
      <c r="L130" s="1652"/>
      <c r="N130" s="1171"/>
      <c r="O130" s="1647"/>
      <c r="P130" s="1647"/>
      <c r="Q130" s="1171"/>
      <c r="R130" s="1171"/>
      <c r="S130" s="1171"/>
      <c r="T130" s="1171"/>
      <c r="U130" s="1647"/>
      <c r="V130" s="1171"/>
      <c r="W130" s="1171"/>
      <c r="X130" s="555"/>
      <c r="Y130" s="1171"/>
      <c r="Z130" s="1171"/>
      <c r="AA130" s="1171"/>
      <c r="AB130" s="1171"/>
      <c r="AC130" s="1171"/>
      <c r="AD130" s="1643"/>
      <c r="AE130" s="577"/>
      <c r="AF130" s="577"/>
      <c r="AG130" s="577"/>
      <c r="AH130" s="577"/>
      <c r="AI130" s="1652">
        <v>11</v>
      </c>
    </row>
    <row s="1652" customFormat="1" customHeight="1" ht="11.549999999999999">
      <c r="A131" s="998"/>
      <c r="B131" s="1647"/>
      <c r="C131" s="1647"/>
      <c r="D131" s="362"/>
      <c r="J131" s="1652"/>
      <c r="K131" s="1652"/>
      <c r="L131" s="1652"/>
      <c r="N131" s="1171"/>
      <c r="O131" s="1647"/>
      <c r="P131" s="1647"/>
      <c r="Q131" s="1171"/>
      <c r="R131" s="1171"/>
      <c r="S131" s="1171"/>
      <c r="T131" s="1171"/>
      <c r="U131" s="1647"/>
      <c r="V131" s="1171"/>
      <c r="W131" s="1171"/>
      <c r="X131" s="555"/>
      <c r="Y131" s="1171"/>
      <c r="Z131" s="1171"/>
      <c r="AA131" s="1171"/>
      <c r="AB131" s="1171"/>
      <c r="AC131" s="1171"/>
      <c r="AD131" s="1643"/>
      <c r="AE131" s="577"/>
      <c r="AF131" s="577"/>
      <c r="AG131" s="577"/>
      <c r="AH131" s="577"/>
      <c r="AI131" s="1652">
        <v>11</v>
      </c>
    </row>
    <row s="1652" customFormat="1" customHeight="1" ht="11.549999999999999">
      <c r="A132" s="998"/>
      <c r="B132" s="1647"/>
      <c r="C132" s="1647"/>
      <c r="D132" s="362"/>
      <c r="J132" s="1652"/>
      <c r="K132" s="1652"/>
      <c r="L132" s="1652"/>
      <c r="N132" s="1171"/>
      <c r="O132" s="1647"/>
      <c r="P132" s="1647"/>
      <c r="Q132" s="1171"/>
      <c r="R132" s="1171"/>
      <c r="S132" s="1171"/>
      <c r="T132" s="1171"/>
      <c r="U132" s="1647"/>
      <c r="V132" s="1171"/>
      <c r="W132" s="1171"/>
      <c r="X132" s="555"/>
      <c r="Y132" s="1171"/>
      <c r="Z132" s="1171"/>
      <c r="AA132" s="1171"/>
      <c r="AB132" s="1171"/>
      <c r="AC132" s="1171"/>
      <c r="AD132" s="1643"/>
      <c r="AE132" s="577"/>
      <c r="AF132" s="577"/>
      <c r="AG132" s="577"/>
      <c r="AH132" s="577"/>
      <c r="AI132" s="1652">
        <v>11</v>
      </c>
    </row>
    <row s="1652" customFormat="1" customHeight="1" ht="11.549999999999999">
      <c r="A133" s="998"/>
      <c r="B133" s="1647"/>
      <c r="C133" s="1647"/>
      <c r="D133" s="362"/>
      <c r="J133" s="1652"/>
      <c r="K133" s="1652"/>
      <c r="L133" s="1652"/>
      <c r="N133" s="1171"/>
      <c r="O133" s="1647"/>
      <c r="P133" s="1647"/>
      <c r="Q133" s="1171"/>
      <c r="R133" s="1171"/>
      <c r="S133" s="1171"/>
      <c r="T133" s="1171"/>
      <c r="U133" s="1647"/>
      <c r="V133" s="1171"/>
      <c r="W133" s="1171"/>
      <c r="X133" s="555"/>
      <c r="Y133" s="1171"/>
      <c r="Z133" s="1171"/>
      <c r="AA133" s="1171"/>
      <c r="AB133" s="1171"/>
      <c r="AC133" s="1171"/>
      <c r="AD133" s="1643"/>
      <c r="AE133" s="577"/>
      <c r="AF133" s="577"/>
      <c r="AG133" s="577"/>
      <c r="AH133" s="577"/>
      <c r="AI133" s="1652">
        <v>11</v>
      </c>
    </row>
    <row s="1652" customFormat="1" customHeight="1" ht="11.549999999999999">
      <c r="A134" s="998"/>
      <c r="B134" s="1647"/>
      <c r="C134" s="1647"/>
      <c r="D134" s="362"/>
      <c r="J134" s="1652"/>
      <c r="K134" s="1652"/>
      <c r="L134" s="1652"/>
      <c r="N134" s="1171"/>
      <c r="O134" s="1647"/>
      <c r="P134" s="1647"/>
      <c r="Q134" s="1171"/>
      <c r="R134" s="1171"/>
      <c r="S134" s="1171"/>
      <c r="T134" s="1171"/>
      <c r="U134" s="1647"/>
      <c r="V134" s="1171"/>
      <c r="W134" s="1171"/>
      <c r="X134" s="555"/>
      <c r="Y134" s="1171"/>
      <c r="Z134" s="1171"/>
      <c r="AA134" s="1171"/>
      <c r="AB134" s="1171"/>
      <c r="AC134" s="1171"/>
      <c r="AD134" s="1643"/>
      <c r="AE134" s="577"/>
      <c r="AF134" s="577"/>
      <c r="AG134" s="577"/>
      <c r="AH134" s="577"/>
      <c r="AI134" s="1652">
        <v>11</v>
      </c>
    </row>
    <row s="1652" customFormat="1" customHeight="1" ht="11.549999999999999">
      <c r="A135" s="998"/>
      <c r="B135" s="1647"/>
      <c r="C135" s="1647"/>
      <c r="D135" s="362"/>
      <c r="J135" s="1652"/>
      <c r="K135" s="1652"/>
      <c r="L135" s="1652"/>
      <c r="N135" s="1171"/>
      <c r="O135" s="1647"/>
      <c r="P135" s="1647"/>
      <c r="Q135" s="1171"/>
      <c r="R135" s="1171"/>
      <c r="S135" s="1171"/>
      <c r="T135" s="1171"/>
      <c r="U135" s="1647"/>
      <c r="V135" s="1171"/>
      <c r="W135" s="1171"/>
      <c r="X135" s="555"/>
      <c r="Y135" s="1171"/>
      <c r="Z135" s="1171"/>
      <c r="AA135" s="1171"/>
      <c r="AB135" s="1171"/>
      <c r="AC135" s="1171"/>
      <c r="AD135" s="1643"/>
      <c r="AE135" s="577"/>
      <c r="AF135" s="577"/>
      <c r="AG135" s="577"/>
      <c r="AH135" s="577"/>
      <c r="AI135" s="1652">
        <v>11</v>
      </c>
    </row>
    <row s="1652" customFormat="1" customHeight="1" ht="11.549999999999999">
      <c r="A136" s="998"/>
      <c r="B136" s="1647"/>
      <c r="C136" s="1647"/>
      <c r="D136" s="362"/>
      <c r="J136" s="1652"/>
      <c r="K136" s="1652"/>
      <c r="L136" s="1652"/>
      <c r="N136" s="1171"/>
      <c r="O136" s="1647"/>
      <c r="P136" s="1647"/>
      <c r="Q136" s="1171"/>
      <c r="R136" s="1171"/>
      <c r="S136" s="1171"/>
      <c r="T136" s="1171"/>
      <c r="U136" s="1647"/>
      <c r="V136" s="1171"/>
      <c r="W136" s="1171"/>
      <c r="X136" s="555"/>
      <c r="Y136" s="1171"/>
      <c r="Z136" s="1171"/>
      <c r="AA136" s="1171"/>
      <c r="AB136" s="1171"/>
      <c r="AC136" s="1171"/>
      <c r="AD136" s="1643"/>
      <c r="AE136" s="577"/>
      <c r="AF136" s="577"/>
      <c r="AG136" s="577"/>
      <c r="AH136" s="577"/>
      <c r="AI136" s="1652">
        <v>11</v>
      </c>
    </row>
    <row s="1652" customFormat="1" customHeight="1" ht="11.549999999999999">
      <c r="A137" s="998"/>
      <c r="B137" s="1647"/>
      <c r="C137" s="1647"/>
      <c r="D137" s="362"/>
      <c r="J137" s="1652"/>
      <c r="K137" s="1652"/>
      <c r="L137" s="1652"/>
      <c r="N137" s="1171"/>
      <c r="O137" s="1647"/>
      <c r="P137" s="1647"/>
      <c r="Q137" s="1171"/>
      <c r="R137" s="1171"/>
      <c r="S137" s="1171"/>
      <c r="T137" s="1171"/>
      <c r="U137" s="1647"/>
      <c r="V137" s="1171"/>
      <c r="W137" s="1171"/>
      <c r="X137" s="555"/>
      <c r="Y137" s="1171"/>
      <c r="Z137" s="1171"/>
      <c r="AA137" s="1171"/>
      <c r="AB137" s="1171"/>
      <c r="AC137" s="1171"/>
      <c r="AD137" s="1643"/>
      <c r="AE137" s="577"/>
      <c r="AF137" s="577"/>
      <c r="AG137" s="577"/>
      <c r="AH137" s="577"/>
      <c r="AI137" s="1652">
        <v>11</v>
      </c>
    </row>
    <row s="1652" customFormat="1" customHeight="1" ht="11.549999999999999">
      <c r="A138" s="998"/>
      <c r="B138" s="1647"/>
      <c r="C138" s="1647"/>
      <c r="D138" s="362"/>
      <c r="J138" s="1652"/>
      <c r="K138" s="1652"/>
      <c r="L138" s="1652"/>
      <c r="N138" s="1171"/>
      <c r="O138" s="1647"/>
      <c r="P138" s="1647"/>
      <c r="Q138" s="1171"/>
      <c r="R138" s="1171"/>
      <c r="S138" s="1171"/>
      <c r="T138" s="1171"/>
      <c r="U138" s="1647"/>
      <c r="V138" s="1171"/>
      <c r="W138" s="1171"/>
      <c r="X138" s="555"/>
      <c r="Y138" s="1171"/>
      <c r="Z138" s="1171"/>
      <c r="AA138" s="1171"/>
      <c r="AB138" s="1171"/>
      <c r="AC138" s="1171"/>
      <c r="AD138" s="1643"/>
      <c r="AE138" s="577"/>
      <c r="AF138" s="577"/>
      <c r="AG138" s="577"/>
      <c r="AH138" s="577"/>
      <c r="AI138" s="1652">
        <v>11</v>
      </c>
    </row>
    <row s="1652" customFormat="1" customHeight="1" ht="11.549999999999999">
      <c r="A139" s="998"/>
      <c r="B139" s="1647"/>
      <c r="C139" s="1647"/>
      <c r="D139" s="362"/>
      <c r="J139" s="1652"/>
      <c r="K139" s="1652"/>
      <c r="L139" s="1652"/>
      <c r="N139" s="1171"/>
      <c r="O139" s="1647"/>
      <c r="P139" s="1647"/>
      <c r="Q139" s="1171"/>
      <c r="R139" s="1171"/>
      <c r="S139" s="1171"/>
      <c r="T139" s="1171"/>
      <c r="U139" s="1647"/>
      <c r="V139" s="1171"/>
      <c r="W139" s="1171"/>
      <c r="X139" s="555"/>
      <c r="Y139" s="1171"/>
      <c r="Z139" s="1171"/>
      <c r="AA139" s="1171"/>
      <c r="AB139" s="1171"/>
      <c r="AC139" s="1171"/>
      <c r="AD139" s="1643"/>
      <c r="AE139" s="577"/>
      <c r="AF139" s="577"/>
      <c r="AG139" s="577"/>
      <c r="AH139" s="577"/>
      <c r="AI139" s="1652">
        <v>11</v>
      </c>
    </row>
    <row s="1652" customFormat="1" customHeight="1" ht="11.549999999999999">
      <c r="A140" s="998"/>
      <c r="B140" s="1647"/>
      <c r="C140" s="1647"/>
      <c r="D140" s="362"/>
      <c r="J140" s="1652"/>
      <c r="K140" s="1652"/>
      <c r="L140" s="1652"/>
      <c r="N140" s="1171"/>
      <c r="O140" s="1647"/>
      <c r="P140" s="1647"/>
      <c r="Q140" s="1171"/>
      <c r="R140" s="1171"/>
      <c r="S140" s="1171"/>
      <c r="T140" s="1171"/>
      <c r="U140" s="1647"/>
      <c r="V140" s="1171"/>
      <c r="W140" s="1171"/>
      <c r="X140" s="555"/>
      <c r="Y140" s="1171"/>
      <c r="Z140" s="1171"/>
      <c r="AA140" s="1171"/>
      <c r="AB140" s="1171"/>
      <c r="AC140" s="1171"/>
      <c r="AD140" s="1643"/>
      <c r="AE140" s="577"/>
      <c r="AF140" s="577"/>
      <c r="AG140" s="577"/>
      <c r="AH140" s="577"/>
      <c r="AI140" s="1652">
        <v>11</v>
      </c>
    </row>
    <row s="1652" customFormat="1" customHeight="1" ht="11.549999999999999">
      <c r="A141" s="998"/>
      <c r="B141" s="1647"/>
      <c r="C141" s="1647"/>
      <c r="D141" s="362"/>
      <c r="J141" s="1652"/>
      <c r="K141" s="1652"/>
      <c r="L141" s="1652"/>
      <c r="N141" s="1171"/>
      <c r="O141" s="1647"/>
      <c r="P141" s="1647"/>
      <c r="Q141" s="1171"/>
      <c r="R141" s="1171"/>
      <c r="S141" s="1171"/>
      <c r="T141" s="1171"/>
      <c r="U141" s="1647"/>
      <c r="V141" s="1171"/>
      <c r="W141" s="1171"/>
      <c r="X141" s="555"/>
      <c r="Y141" s="1171"/>
      <c r="Z141" s="1171"/>
      <c r="AA141" s="1171"/>
      <c r="AB141" s="1171"/>
      <c r="AC141" s="1171"/>
      <c r="AD141" s="1643"/>
      <c r="AE141" s="577"/>
      <c r="AF141" s="577"/>
      <c r="AG141" s="577"/>
      <c r="AH141" s="577"/>
      <c r="AI141" s="1652">
        <v>11</v>
      </c>
    </row>
    <row s="1652" customFormat="1" customHeight="1" ht="11.549999999999999">
      <c r="A142" s="998"/>
      <c r="B142" s="1647"/>
      <c r="C142" s="1647"/>
      <c r="D142" s="362"/>
      <c r="J142" s="1652"/>
      <c r="K142" s="1652"/>
      <c r="L142" s="1652"/>
      <c r="N142" s="1171"/>
      <c r="O142" s="1647"/>
      <c r="P142" s="1647"/>
      <c r="Q142" s="1171"/>
      <c r="R142" s="1171"/>
      <c r="S142" s="1171"/>
      <c r="T142" s="1171"/>
      <c r="U142" s="1647"/>
      <c r="V142" s="1171"/>
      <c r="W142" s="1171"/>
      <c r="X142" s="555"/>
      <c r="Y142" s="1171"/>
      <c r="Z142" s="1171"/>
      <c r="AA142" s="1171"/>
      <c r="AB142" s="1171"/>
      <c r="AC142" s="1171"/>
      <c r="AD142" s="1643"/>
      <c r="AE142" s="577"/>
      <c r="AF142" s="577"/>
      <c r="AG142" s="577"/>
      <c r="AH142" s="577"/>
      <c r="AI142" s="1652">
        <v>11</v>
      </c>
    </row>
    <row s="1652" customFormat="1" customHeight="1" ht="11.549999999999999">
      <c r="A143" s="998"/>
      <c r="B143" s="1647"/>
      <c r="C143" s="1647"/>
      <c r="D143" s="362"/>
      <c r="J143" s="1652"/>
      <c r="K143" s="1652"/>
      <c r="L143" s="1652"/>
      <c r="N143" s="1171"/>
      <c r="O143" s="1647"/>
      <c r="P143" s="1647"/>
      <c r="Q143" s="1171"/>
      <c r="R143" s="1171"/>
      <c r="S143" s="1171"/>
      <c r="T143" s="1171"/>
      <c r="U143" s="1647"/>
      <c r="V143" s="1171"/>
      <c r="W143" s="1171"/>
      <c r="X143" s="555"/>
      <c r="Y143" s="1171"/>
      <c r="Z143" s="1171"/>
      <c r="AA143" s="1171"/>
      <c r="AB143" s="1171"/>
      <c r="AC143" s="1171"/>
      <c r="AD143" s="1643"/>
      <c r="AE143" s="577"/>
      <c r="AF143" s="577"/>
      <c r="AG143" s="577"/>
      <c r="AH143" s="577"/>
      <c r="AI143" s="1652">
        <v>11</v>
      </c>
    </row>
    <row s="1652" customFormat="1" customHeight="1" ht="11.549999999999999">
      <c r="A144" s="998"/>
      <c r="B144" s="1647"/>
      <c r="C144" s="1647"/>
      <c r="D144" s="362"/>
      <c r="J144" s="1652"/>
      <c r="K144" s="1652"/>
      <c r="L144" s="1652"/>
      <c r="N144" s="1171"/>
      <c r="O144" s="1647"/>
      <c r="P144" s="1647"/>
      <c r="Q144" s="1171"/>
      <c r="R144" s="1171"/>
      <c r="S144" s="1171"/>
      <c r="T144" s="1171"/>
      <c r="U144" s="1647"/>
      <c r="V144" s="1171"/>
      <c r="W144" s="1171"/>
      <c r="X144" s="555"/>
      <c r="Y144" s="1171"/>
      <c r="Z144" s="1171"/>
      <c r="AA144" s="1171"/>
      <c r="AB144" s="1171"/>
      <c r="AC144" s="1171"/>
      <c r="AD144" s="1643"/>
      <c r="AE144" s="577"/>
      <c r="AF144" s="577"/>
      <c r="AG144" s="577"/>
      <c r="AH144" s="577"/>
      <c r="AI144" s="1652">
        <v>11</v>
      </c>
    </row>
    <row s="1652" customFormat="1" customHeight="1" ht="11.549999999999999">
      <c r="A145" s="998"/>
      <c r="B145" s="1647"/>
      <c r="C145" s="1647"/>
      <c r="D145" s="362"/>
      <c r="J145" s="1652"/>
      <c r="K145" s="1652"/>
      <c r="L145" s="1652"/>
      <c r="N145" s="1171"/>
      <c r="O145" s="1647"/>
      <c r="P145" s="1647"/>
      <c r="Q145" s="1171"/>
      <c r="R145" s="1171"/>
      <c r="S145" s="1171"/>
      <c r="T145" s="1171"/>
      <c r="U145" s="1647"/>
      <c r="V145" s="1171"/>
      <c r="W145" s="1171"/>
      <c r="X145" s="555"/>
      <c r="Y145" s="1171"/>
      <c r="Z145" s="1171"/>
      <c r="AA145" s="1171"/>
      <c r="AB145" s="1171"/>
      <c r="AC145" s="1171"/>
      <c r="AD145" s="1643"/>
      <c r="AE145" s="577"/>
      <c r="AF145" s="577"/>
      <c r="AG145" s="577"/>
      <c r="AH145" s="577"/>
      <c r="AI145" s="1652">
        <v>11</v>
      </c>
    </row>
    <row s="1652" customFormat="1" customHeight="1" ht="11.549999999999999">
      <c r="A146" s="998"/>
      <c r="B146" s="1647"/>
      <c r="C146" s="1647"/>
      <c r="D146" s="362"/>
      <c r="J146" s="1652"/>
      <c r="K146" s="1652"/>
      <c r="L146" s="1652"/>
      <c r="N146" s="1171"/>
      <c r="O146" s="1647"/>
      <c r="P146" s="1647"/>
      <c r="Q146" s="1171"/>
      <c r="R146" s="1171"/>
      <c r="S146" s="1171"/>
      <c r="T146" s="1171"/>
      <c r="U146" s="1647"/>
      <c r="V146" s="1171"/>
      <c r="W146" s="1171"/>
      <c r="X146" s="555"/>
      <c r="Y146" s="1171"/>
      <c r="Z146" s="1171"/>
      <c r="AA146" s="1171"/>
      <c r="AB146" s="1171"/>
      <c r="AC146" s="1171"/>
      <c r="AD146" s="1643"/>
      <c r="AE146" s="577"/>
      <c r="AF146" s="577"/>
      <c r="AG146" s="577"/>
      <c r="AH146" s="577"/>
      <c r="AI146" s="1652">
        <v>11</v>
      </c>
    </row>
    <row s="1652" customFormat="1" customHeight="1" ht="11.549999999999999">
      <c r="A147" s="998"/>
      <c r="B147" s="1647"/>
      <c r="C147" s="1647"/>
      <c r="D147" s="362"/>
      <c r="J147" s="1652"/>
      <c r="K147" s="1652"/>
      <c r="L147" s="1652"/>
      <c r="N147" s="1171"/>
      <c r="O147" s="1647"/>
      <c r="P147" s="1647"/>
      <c r="Q147" s="1171"/>
      <c r="R147" s="1171"/>
      <c r="S147" s="1171"/>
      <c r="T147" s="1171"/>
      <c r="U147" s="1647"/>
      <c r="V147" s="1171"/>
      <c r="W147" s="1171"/>
      <c r="X147" s="555"/>
      <c r="Y147" s="1171"/>
      <c r="Z147" s="1171"/>
      <c r="AA147" s="1171"/>
      <c r="AB147" s="1171"/>
      <c r="AC147" s="1171"/>
      <c r="AD147" s="1643"/>
      <c r="AE147" s="577"/>
      <c r="AF147" s="577"/>
      <c r="AG147" s="577"/>
      <c r="AH147" s="577"/>
      <c r="AI147" s="1652">
        <v>11</v>
      </c>
    </row>
    <row s="1652" customFormat="1" customHeight="1" ht="11.549999999999999">
      <c r="A148" s="998"/>
      <c r="B148" s="1647"/>
      <c r="C148" s="1647"/>
      <c r="D148" s="362"/>
      <c r="J148" s="1652"/>
      <c r="K148" s="1652"/>
      <c r="L148" s="1652"/>
      <c r="N148" s="1171"/>
      <c r="O148" s="1647"/>
      <c r="P148" s="1647"/>
      <c r="Q148" s="1171"/>
      <c r="R148" s="1171"/>
      <c r="S148" s="1171"/>
      <c r="T148" s="1171"/>
      <c r="U148" s="1647"/>
      <c r="V148" s="1171"/>
      <c r="W148" s="1171"/>
      <c r="X148" s="555"/>
      <c r="Y148" s="1171"/>
      <c r="Z148" s="1171"/>
      <c r="AA148" s="1171"/>
      <c r="AB148" s="1171"/>
      <c r="AC148" s="1171"/>
      <c r="AD148" s="1643"/>
      <c r="AE148" s="577"/>
      <c r="AF148" s="577"/>
      <c r="AG148" s="577"/>
      <c r="AH148" s="577"/>
      <c r="AI148" s="1652">
        <v>11</v>
      </c>
    </row>
    <row s="1652" customFormat="1" customHeight="1" ht="11.549999999999999">
      <c r="A149" s="998"/>
      <c r="B149" s="1647"/>
      <c r="C149" s="1647"/>
      <c r="D149" s="362"/>
      <c r="J149" s="1652"/>
      <c r="K149" s="1652"/>
      <c r="L149" s="1652"/>
      <c r="N149" s="1171"/>
      <c r="O149" s="1647"/>
      <c r="P149" s="1647"/>
      <c r="Q149" s="1171"/>
      <c r="R149" s="1171"/>
      <c r="S149" s="1171"/>
      <c r="T149" s="1171"/>
      <c r="U149" s="1647"/>
      <c r="V149" s="1171"/>
      <c r="W149" s="1171"/>
      <c r="X149" s="555"/>
      <c r="Y149" s="1171"/>
      <c r="Z149" s="1171"/>
      <c r="AA149" s="1171"/>
      <c r="AB149" s="1171"/>
      <c r="AC149" s="1171"/>
      <c r="AD149" s="1643"/>
      <c r="AE149" s="577"/>
      <c r="AF149" s="577"/>
      <c r="AG149" s="577"/>
      <c r="AH149" s="577"/>
      <c r="AI149" s="1652">
        <v>11</v>
      </c>
    </row>
    <row s="1652" customFormat="1" customHeight="1" ht="11.549999999999999">
      <c r="A150" s="998"/>
      <c r="B150" s="1647"/>
      <c r="C150" s="1647"/>
      <c r="D150" s="362"/>
      <c r="J150" s="1652"/>
      <c r="K150" s="1652"/>
      <c r="L150" s="1652"/>
      <c r="N150" s="1171"/>
      <c r="O150" s="1647"/>
      <c r="P150" s="1647"/>
      <c r="Q150" s="1171"/>
      <c r="R150" s="1171"/>
      <c r="S150" s="1171"/>
      <c r="T150" s="1171"/>
      <c r="U150" s="1647"/>
      <c r="V150" s="1171"/>
      <c r="W150" s="1171"/>
      <c r="X150" s="555"/>
      <c r="Y150" s="1171"/>
      <c r="Z150" s="1171"/>
      <c r="AA150" s="1171"/>
      <c r="AB150" s="1171"/>
      <c r="AC150" s="1171"/>
      <c r="AD150" s="1643"/>
      <c r="AE150" s="577"/>
      <c r="AF150" s="577"/>
      <c r="AG150" s="577"/>
      <c r="AH150" s="577"/>
      <c r="AI150" s="1652">
        <v>11</v>
      </c>
    </row>
    <row s="1652" customFormat="1" customHeight="1" ht="11.549999999999999">
      <c r="A151" s="998"/>
      <c r="B151" s="1647"/>
      <c r="C151" s="1647"/>
      <c r="D151" s="362"/>
      <c r="J151" s="1652"/>
      <c r="K151" s="1652"/>
      <c r="L151" s="1652"/>
      <c r="N151" s="1171"/>
      <c r="O151" s="1647"/>
      <c r="P151" s="1647"/>
      <c r="Q151" s="1171"/>
      <c r="R151" s="1171"/>
      <c r="S151" s="1171"/>
      <c r="T151" s="1171"/>
      <c r="U151" s="1647"/>
      <c r="V151" s="1171"/>
      <c r="W151" s="1171"/>
      <c r="X151" s="555"/>
      <c r="Y151" s="1171"/>
      <c r="Z151" s="1171"/>
      <c r="AA151" s="1171"/>
      <c r="AB151" s="1171"/>
      <c r="AC151" s="1171"/>
      <c r="AD151" s="1643"/>
      <c r="AE151" s="577"/>
      <c r="AF151" s="577"/>
      <c r="AG151" s="577"/>
      <c r="AH151" s="577"/>
      <c r="AI151" s="1652">
        <v>11</v>
      </c>
    </row>
    <row s="1652" customFormat="1" customHeight="1" ht="11.549999999999999">
      <c r="A152" s="998"/>
      <c r="B152" s="1647"/>
      <c r="C152" s="1647"/>
      <c r="D152" s="362"/>
      <c r="J152" s="1652"/>
      <c r="K152" s="1652"/>
      <c r="L152" s="1652"/>
      <c r="N152" s="1171"/>
      <c r="O152" s="1647"/>
      <c r="P152" s="1647"/>
      <c r="Q152" s="1171"/>
      <c r="R152" s="1171"/>
      <c r="S152" s="1171"/>
      <c r="T152" s="1171"/>
      <c r="U152" s="1647"/>
      <c r="V152" s="1171"/>
      <c r="W152" s="1171"/>
      <c r="X152" s="555"/>
      <c r="Y152" s="1171"/>
      <c r="Z152" s="1171"/>
      <c r="AA152" s="1171"/>
      <c r="AB152" s="1171"/>
      <c r="AC152" s="1171"/>
      <c r="AD152" s="1643"/>
      <c r="AE152" s="577"/>
      <c r="AF152" s="577"/>
      <c r="AG152" s="577"/>
      <c r="AH152" s="577"/>
      <c r="AI152" s="1652">
        <v>11</v>
      </c>
    </row>
    <row s="1652" customFormat="1" customHeight="1" ht="11.549999999999999">
      <c r="A153" s="998"/>
      <c r="B153" s="1647"/>
      <c r="C153" s="1647"/>
      <c r="D153" s="362"/>
      <c r="J153" s="1652"/>
      <c r="K153" s="1652"/>
      <c r="L153" s="1652"/>
      <c r="N153" s="1171"/>
      <c r="O153" s="1647"/>
      <c r="P153" s="1647"/>
      <c r="Q153" s="1171"/>
      <c r="R153" s="1171"/>
      <c r="S153" s="1171"/>
      <c r="T153" s="1171"/>
      <c r="U153" s="1647"/>
      <c r="V153" s="1171"/>
      <c r="W153" s="1171"/>
      <c r="X153" s="555"/>
      <c r="Y153" s="1171"/>
      <c r="Z153" s="1171"/>
      <c r="AA153" s="1171"/>
      <c r="AB153" s="1171"/>
      <c r="AC153" s="1171"/>
      <c r="AD153" s="1643"/>
      <c r="AE153" s="577"/>
      <c r="AF153" s="577"/>
      <c r="AG153" s="577"/>
      <c r="AH153" s="577"/>
      <c r="AI153" s="1652">
        <v>11</v>
      </c>
    </row>
    <row s="1652" customFormat="1" customHeight="1" ht="11.549999999999999">
      <c r="A154" s="998"/>
      <c r="B154" s="1647"/>
      <c r="C154" s="1647"/>
      <c r="D154" s="362"/>
      <c r="J154" s="1652"/>
      <c r="K154" s="1652"/>
      <c r="L154" s="1652"/>
      <c r="N154" s="1171"/>
      <c r="O154" s="1647"/>
      <c r="P154" s="1647"/>
      <c r="Q154" s="1171"/>
      <c r="R154" s="1171"/>
      <c r="S154" s="1171"/>
      <c r="T154" s="1171"/>
      <c r="U154" s="1647"/>
      <c r="V154" s="1171"/>
      <c r="W154" s="1171"/>
      <c r="X154" s="555"/>
      <c r="Y154" s="1171"/>
      <c r="Z154" s="1171"/>
      <c r="AA154" s="1171"/>
      <c r="AB154" s="1171"/>
      <c r="AC154" s="1171"/>
      <c r="AD154" s="1643"/>
      <c r="AE154" s="577"/>
      <c r="AF154" s="577"/>
      <c r="AG154" s="577"/>
      <c r="AH154" s="577"/>
      <c r="AI154" s="1652">
        <v>11</v>
      </c>
    </row>
    <row s="1652" customFormat="1" customHeight="1" ht="11.549999999999999">
      <c r="A155" s="998"/>
      <c r="B155" s="1647"/>
      <c r="C155" s="1647"/>
      <c r="D155" s="362"/>
      <c r="J155" s="1652"/>
      <c r="K155" s="1652"/>
      <c r="L155" s="1652"/>
      <c r="N155" s="1171"/>
      <c r="O155" s="1647"/>
      <c r="P155" s="1647"/>
      <c r="Q155" s="1171"/>
      <c r="R155" s="1171"/>
      <c r="S155" s="1171"/>
      <c r="T155" s="1171"/>
      <c r="U155" s="1647"/>
      <c r="V155" s="1171"/>
      <c r="W155" s="1171"/>
      <c r="X155" s="555"/>
      <c r="Y155" s="1171"/>
      <c r="Z155" s="1171"/>
      <c r="AA155" s="1171"/>
      <c r="AB155" s="1171"/>
      <c r="AC155" s="1171"/>
      <c r="AD155" s="1643"/>
      <c r="AE155" s="577"/>
      <c r="AF155" s="577"/>
      <c r="AG155" s="577"/>
      <c r="AH155" s="577"/>
      <c r="AI155" s="1652">
        <v>11</v>
      </c>
    </row>
    <row s="1652" customFormat="1" customHeight="1" ht="11.549999999999999">
      <c r="A156" s="998"/>
      <c r="B156" s="1647"/>
      <c r="C156" s="1647"/>
      <c r="D156" s="362"/>
      <c r="J156" s="1652"/>
      <c r="K156" s="1652"/>
      <c r="L156" s="1652"/>
      <c r="N156" s="1171"/>
      <c r="O156" s="1647"/>
      <c r="P156" s="1647"/>
      <c r="Q156" s="1171"/>
      <c r="R156" s="1171"/>
      <c r="S156" s="1171"/>
      <c r="T156" s="1171"/>
      <c r="U156" s="1647"/>
      <c r="V156" s="1171"/>
      <c r="W156" s="1171"/>
      <c r="X156" s="555"/>
      <c r="Y156" s="1171"/>
      <c r="Z156" s="1171"/>
      <c r="AA156" s="1171"/>
      <c r="AB156" s="1171"/>
      <c r="AC156" s="1171"/>
      <c r="AD156" s="1643"/>
      <c r="AE156" s="577"/>
      <c r="AF156" s="577"/>
      <c r="AG156" s="577"/>
      <c r="AH156" s="577"/>
      <c r="AI156" s="1652">
        <v>11</v>
      </c>
    </row>
    <row s="1652" customFormat="1" customHeight="1" ht="11.549999999999999">
      <c r="A157" s="998"/>
      <c r="B157" s="1647"/>
      <c r="C157" s="1647"/>
      <c r="D157" s="362"/>
      <c r="J157" s="1652"/>
      <c r="K157" s="1652"/>
      <c r="L157" s="1652"/>
      <c r="N157" s="1171"/>
      <c r="O157" s="1647"/>
      <c r="P157" s="1647"/>
      <c r="Q157" s="1171"/>
      <c r="R157" s="1171"/>
      <c r="S157" s="1171"/>
      <c r="T157" s="1171"/>
      <c r="U157" s="1647"/>
      <c r="V157" s="1171"/>
      <c r="W157" s="1171"/>
      <c r="X157" s="555"/>
      <c r="Y157" s="1171"/>
      <c r="Z157" s="1171"/>
      <c r="AA157" s="1171"/>
      <c r="AB157" s="1171"/>
      <c r="AC157" s="1171"/>
      <c r="AD157" s="1643"/>
      <c r="AE157" s="577"/>
      <c r="AF157" s="577"/>
      <c r="AG157" s="577"/>
      <c r="AH157" s="577"/>
      <c r="AI157" s="1652">
        <v>11</v>
      </c>
    </row>
    <row s="1652" customFormat="1" customHeight="1" ht="11.549999999999999">
      <c r="A158" s="998"/>
      <c r="B158" s="1647"/>
      <c r="C158" s="1647"/>
      <c r="D158" s="362"/>
      <c r="J158" s="1652"/>
      <c r="K158" s="1652"/>
      <c r="L158" s="1652"/>
      <c r="N158" s="1171"/>
      <c r="O158" s="1647"/>
      <c r="P158" s="1647"/>
      <c r="Q158" s="1171"/>
      <c r="R158" s="1171"/>
      <c r="S158" s="1171"/>
      <c r="T158" s="1171"/>
      <c r="U158" s="1647"/>
      <c r="V158" s="1171"/>
      <c r="W158" s="1171"/>
      <c r="X158" s="555"/>
      <c r="Y158" s="1171"/>
      <c r="Z158" s="1171"/>
      <c r="AA158" s="1171"/>
      <c r="AB158" s="1171"/>
      <c r="AC158" s="1171"/>
      <c r="AD158" s="1643"/>
      <c r="AE158" s="577"/>
      <c r="AF158" s="577"/>
      <c r="AG158" s="577"/>
      <c r="AH158" s="577"/>
      <c r="AI158" s="1652">
        <v>11</v>
      </c>
    </row>
    <row s="1652" customFormat="1" customHeight="1" ht="11.549999999999999">
      <c r="A159" s="998"/>
      <c r="B159" s="1647"/>
      <c r="C159" s="1647"/>
      <c r="D159" s="362"/>
      <c r="J159" s="1652"/>
      <c r="K159" s="1652"/>
      <c r="L159" s="1652"/>
      <c r="N159" s="1171"/>
      <c r="O159" s="1647"/>
      <c r="P159" s="1647"/>
      <c r="Q159" s="1171"/>
      <c r="R159" s="1171"/>
      <c r="S159" s="1171"/>
      <c r="T159" s="1171"/>
      <c r="U159" s="1647"/>
      <c r="V159" s="1171"/>
      <c r="W159" s="1171"/>
      <c r="X159" s="555"/>
      <c r="Y159" s="1171"/>
      <c r="Z159" s="1171"/>
      <c r="AA159" s="1171"/>
      <c r="AB159" s="1171"/>
      <c r="AC159" s="1171"/>
      <c r="AD159" s="1643"/>
      <c r="AE159" s="577"/>
      <c r="AF159" s="577"/>
      <c r="AG159" s="577"/>
      <c r="AH159" s="577"/>
      <c r="AI159" s="1652">
        <v>11</v>
      </c>
    </row>
    <row s="1652" customFormat="1" customHeight="1" ht="11.549999999999999">
      <c r="A160" s="998"/>
      <c r="B160" s="1647"/>
      <c r="C160" s="1647"/>
      <c r="D160" s="362"/>
      <c r="J160" s="1652"/>
      <c r="K160" s="1652"/>
      <c r="L160" s="1652"/>
      <c r="N160" s="1171"/>
      <c r="O160" s="1647"/>
      <c r="P160" s="1647"/>
      <c r="Q160" s="1171"/>
      <c r="R160" s="1171"/>
      <c r="S160" s="1171"/>
      <c r="T160" s="1171"/>
      <c r="U160" s="1647"/>
      <c r="V160" s="1171"/>
      <c r="W160" s="1171"/>
      <c r="X160" s="555"/>
      <c r="Y160" s="1171"/>
      <c r="Z160" s="1171"/>
      <c r="AA160" s="1171"/>
      <c r="AB160" s="1171"/>
      <c r="AC160" s="1171"/>
      <c r="AD160" s="1643"/>
      <c r="AE160" s="577"/>
      <c r="AF160" s="577"/>
      <c r="AG160" s="577"/>
      <c r="AH160" s="577"/>
      <c r="AI160" s="1652">
        <v>11</v>
      </c>
    </row>
    <row s="1652" customFormat="1" customHeight="1" ht="11.549999999999999">
      <c r="A161" s="998"/>
      <c r="B161" s="1647"/>
      <c r="C161" s="1647"/>
      <c r="D161" s="362"/>
      <c r="J161" s="1652"/>
      <c r="K161" s="1652"/>
      <c r="L161" s="1652"/>
      <c r="N161" s="1171"/>
      <c r="O161" s="1647"/>
      <c r="P161" s="1647"/>
      <c r="Q161" s="1171"/>
      <c r="R161" s="1171"/>
      <c r="S161" s="1171"/>
      <c r="T161" s="1171"/>
      <c r="U161" s="1647"/>
      <c r="V161" s="1171"/>
      <c r="W161" s="1171"/>
      <c r="X161" s="555"/>
      <c r="Y161" s="1171"/>
      <c r="Z161" s="1171"/>
      <c r="AA161" s="1171"/>
      <c r="AB161" s="1171"/>
      <c r="AC161" s="1171"/>
      <c r="AD161" s="1643"/>
      <c r="AE161" s="577"/>
      <c r="AF161" s="577"/>
      <c r="AG161" s="577"/>
      <c r="AH161" s="577"/>
      <c r="AI161" s="1652">
        <v>11</v>
      </c>
    </row>
    <row s="1652" customFormat="1" customHeight="1" ht="11.549999999999999">
      <c r="A162" s="998"/>
      <c r="B162" s="1647"/>
      <c r="C162" s="1647"/>
      <c r="D162" s="362"/>
      <c r="J162" s="1652"/>
      <c r="K162" s="1652"/>
      <c r="L162" s="1652"/>
      <c r="N162" s="1171"/>
      <c r="O162" s="1647"/>
      <c r="P162" s="1647"/>
      <c r="Q162" s="1171"/>
      <c r="R162" s="1171"/>
      <c r="S162" s="1171"/>
      <c r="T162" s="1171"/>
      <c r="U162" s="1647"/>
      <c r="V162" s="1171"/>
      <c r="W162" s="1171"/>
      <c r="X162" s="555"/>
      <c r="Y162" s="1171"/>
      <c r="Z162" s="1171"/>
      <c r="AA162" s="1171"/>
      <c r="AB162" s="1171"/>
      <c r="AC162" s="1171"/>
      <c r="AD162" s="1643"/>
      <c r="AE162" s="577"/>
      <c r="AF162" s="577"/>
      <c r="AG162" s="577"/>
      <c r="AH162" s="577"/>
      <c r="AI162" s="1652">
        <v>11</v>
      </c>
    </row>
    <row s="1652" customFormat="1" customHeight="1" ht="11.549999999999999">
      <c r="A163" s="998"/>
      <c r="B163" s="1647"/>
      <c r="C163" s="1647"/>
      <c r="D163" s="362"/>
      <c r="J163" s="1652"/>
      <c r="K163" s="1652"/>
      <c r="L163" s="1652"/>
      <c r="N163" s="1171"/>
      <c r="O163" s="1647"/>
      <c r="P163" s="1647"/>
      <c r="Q163" s="1171"/>
      <c r="R163" s="1171"/>
      <c r="S163" s="1171"/>
      <c r="T163" s="1171"/>
      <c r="U163" s="1647"/>
      <c r="V163" s="1171"/>
      <c r="W163" s="1171"/>
      <c r="X163" s="555"/>
      <c r="Y163" s="1171"/>
      <c r="Z163" s="1171"/>
      <c r="AA163" s="1171"/>
      <c r="AB163" s="1171"/>
      <c r="AC163" s="1171"/>
      <c r="AD163" s="1643"/>
      <c r="AE163" s="577"/>
      <c r="AF163" s="577"/>
      <c r="AG163" s="577"/>
      <c r="AH163" s="577"/>
      <c r="AI163" s="1652">
        <v>11</v>
      </c>
    </row>
    <row s="1652" customFormat="1" customHeight="1" ht="11.549999999999999">
      <c r="A164" s="998"/>
      <c r="B164" s="1647"/>
      <c r="C164" s="1647"/>
      <c r="D164" s="362"/>
      <c r="J164" s="1652"/>
      <c r="K164" s="1652"/>
      <c r="L164" s="1652"/>
      <c r="N164" s="1171"/>
      <c r="O164" s="1647"/>
      <c r="P164" s="1647"/>
      <c r="Q164" s="1171"/>
      <c r="R164" s="1171"/>
      <c r="S164" s="1171"/>
      <c r="T164" s="1171"/>
      <c r="U164" s="1647"/>
      <c r="V164" s="1171"/>
      <c r="W164" s="1171"/>
      <c r="X164" s="555"/>
      <c r="Y164" s="1171"/>
      <c r="Z164" s="1171"/>
      <c r="AA164" s="1171"/>
      <c r="AB164" s="1171"/>
      <c r="AC164" s="1171"/>
      <c r="AD164" s="1643"/>
      <c r="AE164" s="577"/>
      <c r="AF164" s="577"/>
      <c r="AG164" s="577"/>
      <c r="AH164" s="577"/>
      <c r="AI164" s="1652">
        <v>11</v>
      </c>
    </row>
    <row s="1652" customFormat="1" customHeight="1" ht="11.549999999999999">
      <c r="A165" s="998"/>
      <c r="B165" s="1647"/>
      <c r="C165" s="1647"/>
      <c r="D165" s="362"/>
      <c r="J165" s="1652"/>
      <c r="K165" s="1652"/>
      <c r="L165" s="1652"/>
      <c r="N165" s="1171"/>
      <c r="O165" s="1647"/>
      <c r="P165" s="1647"/>
      <c r="Q165" s="1171"/>
      <c r="R165" s="1171"/>
      <c r="S165" s="1171"/>
      <c r="T165" s="1171"/>
      <c r="U165" s="1647"/>
      <c r="V165" s="1171"/>
      <c r="W165" s="1171"/>
      <c r="X165" s="555"/>
      <c r="Y165" s="1171"/>
      <c r="Z165" s="1171"/>
      <c r="AA165" s="1171"/>
      <c r="AB165" s="1171"/>
      <c r="AC165" s="1171"/>
      <c r="AD165" s="1643"/>
      <c r="AE165" s="577"/>
      <c r="AF165" s="577"/>
      <c r="AG165" s="577"/>
      <c r="AH165" s="577"/>
      <c r="AI165" s="1652">
        <v>11</v>
      </c>
    </row>
    <row s="1652" customFormat="1" customHeight="1" ht="11.549999999999999">
      <c r="A166" s="998"/>
      <c r="B166" s="1647"/>
      <c r="C166" s="1647"/>
      <c r="D166" s="362"/>
      <c r="J166" s="1652"/>
      <c r="K166" s="1652"/>
      <c r="L166" s="1652"/>
      <c r="N166" s="1171"/>
      <c r="O166" s="1647"/>
      <c r="P166" s="1647"/>
      <c r="Q166" s="1171"/>
      <c r="R166" s="1171"/>
      <c r="S166" s="1171"/>
      <c r="T166" s="1171"/>
      <c r="U166" s="1647"/>
      <c r="V166" s="1171"/>
      <c r="W166" s="1171"/>
      <c r="X166" s="555"/>
      <c r="Y166" s="1171"/>
      <c r="Z166" s="1171"/>
      <c r="AA166" s="1171"/>
      <c r="AB166" s="1171"/>
      <c r="AC166" s="1171"/>
      <c r="AD166" s="1643"/>
      <c r="AE166" s="577"/>
      <c r="AF166" s="577"/>
      <c r="AG166" s="577"/>
      <c r="AH166" s="577"/>
      <c r="AI166" s="1652">
        <v>11</v>
      </c>
    </row>
    <row s="1652" customFormat="1" customHeight="1" ht="11.549999999999999">
      <c r="A167" s="998"/>
      <c r="B167" s="1647"/>
      <c r="C167" s="1647"/>
      <c r="D167" s="362"/>
      <c r="J167" s="1652"/>
      <c r="K167" s="1652"/>
      <c r="L167" s="1652"/>
      <c r="N167" s="1171"/>
      <c r="O167" s="1647"/>
      <c r="P167" s="1647"/>
      <c r="Q167" s="1171"/>
      <c r="R167" s="1171"/>
      <c r="S167" s="1171"/>
      <c r="T167" s="1171"/>
      <c r="U167" s="1647"/>
      <c r="V167" s="1171"/>
      <c r="W167" s="1171"/>
      <c r="X167" s="555"/>
      <c r="Y167" s="1171"/>
      <c r="Z167" s="1171"/>
      <c r="AA167" s="1171"/>
      <c r="AB167" s="1171"/>
      <c r="AC167" s="1171"/>
      <c r="AD167" s="1643"/>
      <c r="AE167" s="577"/>
      <c r="AF167" s="577"/>
      <c r="AG167" s="577"/>
      <c r="AH167" s="577"/>
      <c r="AI167" s="1652">
        <v>11</v>
      </c>
    </row>
    <row s="1652" customFormat="1" customHeight="1" ht="11.549999999999999">
      <c r="A168" s="998"/>
      <c r="B168" s="1647"/>
      <c r="C168" s="1647"/>
      <c r="D168" s="362"/>
      <c r="J168" s="1652"/>
      <c r="K168" s="1652"/>
      <c r="L168" s="1652"/>
      <c r="N168" s="1171"/>
      <c r="O168" s="1647"/>
      <c r="P168" s="1647"/>
      <c r="Q168" s="1171"/>
      <c r="R168" s="1171"/>
      <c r="S168" s="1171"/>
      <c r="T168" s="1171"/>
      <c r="U168" s="1647"/>
      <c r="V168" s="1171"/>
      <c r="W168" s="1171"/>
      <c r="X168" s="555"/>
      <c r="Y168" s="1171"/>
      <c r="Z168" s="1171"/>
      <c r="AA168" s="1171"/>
      <c r="AB168" s="1171"/>
      <c r="AC168" s="1171"/>
      <c r="AD168" s="1643"/>
      <c r="AE168" s="577"/>
      <c r="AF168" s="577"/>
      <c r="AG168" s="577"/>
      <c r="AH168" s="577"/>
      <c r="AI168" s="1652">
        <v>11</v>
      </c>
    </row>
    <row s="1652" customFormat="1" customHeight="1" ht="11.549999999999999">
      <c r="A169" s="998"/>
      <c r="B169" s="1647"/>
      <c r="C169" s="1647"/>
      <c r="D169" s="362"/>
      <c r="J169" s="1652"/>
      <c r="K169" s="1652"/>
      <c r="L169" s="1652"/>
      <c r="N169" s="1171"/>
      <c r="O169" s="1647"/>
      <c r="P169" s="1647"/>
      <c r="Q169" s="1171"/>
      <c r="R169" s="1171"/>
      <c r="S169" s="1171"/>
      <c r="T169" s="1171"/>
      <c r="U169" s="1647"/>
      <c r="V169" s="1171"/>
      <c r="W169" s="1171"/>
      <c r="X169" s="555"/>
      <c r="Y169" s="1171"/>
      <c r="Z169" s="1171"/>
      <c r="AA169" s="1171"/>
      <c r="AB169" s="1171"/>
      <c r="AC169" s="1171"/>
      <c r="AD169" s="1643"/>
      <c r="AE169" s="577"/>
      <c r="AF169" s="577"/>
      <c r="AG169" s="577"/>
      <c r="AH169" s="577"/>
      <c r="AI169" s="1652">
        <v>11</v>
      </c>
    </row>
    <row s="1652" customFormat="1" customHeight="1" ht="11.549999999999999">
      <c r="A170" s="998"/>
      <c r="B170" s="1647"/>
      <c r="C170" s="1647"/>
      <c r="D170" s="362"/>
      <c r="J170" s="1652"/>
      <c r="K170" s="1652"/>
      <c r="L170" s="1652"/>
      <c r="N170" s="1171"/>
      <c r="O170" s="1647"/>
      <c r="P170" s="1647"/>
      <c r="Q170" s="1171"/>
      <c r="R170" s="1171"/>
      <c r="S170" s="1171"/>
      <c r="T170" s="1171"/>
      <c r="U170" s="1647"/>
      <c r="V170" s="1171"/>
      <c r="W170" s="1171"/>
      <c r="X170" s="555"/>
      <c r="Y170" s="1171"/>
      <c r="Z170" s="1171"/>
      <c r="AA170" s="1171"/>
      <c r="AB170" s="1171"/>
      <c r="AC170" s="1171"/>
      <c r="AD170" s="1643"/>
      <c r="AE170" s="577"/>
      <c r="AF170" s="577"/>
      <c r="AG170" s="577"/>
      <c r="AH170" s="577"/>
      <c r="AI170" s="1652">
        <v>11</v>
      </c>
    </row>
    <row s="1652" customFormat="1" customHeight="1" ht="11.549999999999999">
      <c r="A171" s="998"/>
      <c r="B171" s="1647"/>
      <c r="C171" s="1647"/>
      <c r="D171" s="362"/>
      <c r="J171" s="1652"/>
      <c r="K171" s="1652"/>
      <c r="L171" s="1652"/>
      <c r="N171" s="1171"/>
      <c r="O171" s="1647"/>
      <c r="P171" s="1647"/>
      <c r="Q171" s="1171"/>
      <c r="R171" s="1171"/>
      <c r="S171" s="1171"/>
      <c r="T171" s="1171"/>
      <c r="U171" s="1647"/>
      <c r="V171" s="1171"/>
      <c r="W171" s="1171"/>
      <c r="X171" s="555"/>
      <c r="Y171" s="1171"/>
      <c r="Z171" s="1171"/>
      <c r="AA171" s="1171"/>
      <c r="AB171" s="1171"/>
      <c r="AC171" s="1171"/>
      <c r="AD171" s="1643"/>
      <c r="AE171" s="577"/>
      <c r="AF171" s="577"/>
      <c r="AG171" s="577"/>
      <c r="AH171" s="577"/>
      <c r="AI171" s="1652">
        <v>11</v>
      </c>
    </row>
    <row s="1652" customFormat="1" customHeight="1" ht="11.549999999999999">
      <c r="A172" s="998"/>
      <c r="B172" s="1647"/>
      <c r="C172" s="1647"/>
      <c r="D172" s="362"/>
      <c r="J172" s="1652"/>
      <c r="K172" s="1652"/>
      <c r="L172" s="1652"/>
      <c r="N172" s="1171"/>
      <c r="O172" s="1647"/>
      <c r="P172" s="1647"/>
      <c r="Q172" s="1171"/>
      <c r="R172" s="1171"/>
      <c r="S172" s="1171"/>
      <c r="T172" s="1171"/>
      <c r="U172" s="1647"/>
      <c r="V172" s="1171"/>
      <c r="W172" s="1171"/>
      <c r="X172" s="555"/>
      <c r="Y172" s="1171"/>
      <c r="Z172" s="1171"/>
      <c r="AA172" s="1171"/>
      <c r="AB172" s="1171"/>
      <c r="AC172" s="1171"/>
      <c r="AD172" s="1643"/>
      <c r="AE172" s="577"/>
      <c r="AF172" s="577"/>
      <c r="AG172" s="577"/>
      <c r="AH172" s="577"/>
      <c r="AI172" s="1652">
        <v>11</v>
      </c>
    </row>
    <row s="1652" customFormat="1" customHeight="1" ht="11.549999999999999">
      <c r="A173" s="998"/>
      <c r="B173" s="1647"/>
      <c r="C173" s="1647"/>
      <c r="D173" s="362"/>
      <c r="J173" s="1652"/>
      <c r="K173" s="1652"/>
      <c r="L173" s="1652"/>
      <c r="N173" s="1171"/>
      <c r="O173" s="1647"/>
      <c r="P173" s="1647"/>
      <c r="Q173" s="1171"/>
      <c r="R173" s="1171"/>
      <c r="S173" s="1171"/>
      <c r="T173" s="1171"/>
      <c r="U173" s="1647"/>
      <c r="V173" s="1171"/>
      <c r="W173" s="1171"/>
      <c r="X173" s="555"/>
      <c r="Y173" s="1171"/>
      <c r="Z173" s="1171"/>
      <c r="AA173" s="1171"/>
      <c r="AB173" s="1171"/>
      <c r="AC173" s="1171"/>
      <c r="AD173" s="1643"/>
      <c r="AE173" s="577"/>
      <c r="AF173" s="577"/>
      <c r="AG173" s="577"/>
      <c r="AH173" s="577"/>
      <c r="AI173" s="1652">
        <v>11</v>
      </c>
    </row>
    <row s="1652" customFormat="1" customHeight="1" ht="11.549999999999999">
      <c r="A174" s="998"/>
      <c r="B174" s="1647"/>
      <c r="C174" s="1647"/>
      <c r="D174" s="362"/>
      <c r="J174" s="1652"/>
      <c r="K174" s="1652"/>
      <c r="L174" s="1652"/>
      <c r="N174" s="1171"/>
      <c r="O174" s="1647"/>
      <c r="P174" s="1647"/>
      <c r="Q174" s="1171"/>
      <c r="R174" s="1171"/>
      <c r="S174" s="1171"/>
      <c r="T174" s="1171"/>
      <c r="U174" s="1647"/>
      <c r="V174" s="1171"/>
      <c r="W174" s="1171"/>
      <c r="X174" s="555"/>
      <c r="Y174" s="1171"/>
      <c r="Z174" s="1171"/>
      <c r="AA174" s="1171"/>
      <c r="AB174" s="1171"/>
      <c r="AC174" s="1171"/>
      <c r="AD174" s="1643"/>
      <c r="AE174" s="577"/>
      <c r="AF174" s="577"/>
      <c r="AG174" s="577"/>
      <c r="AH174" s="577"/>
      <c r="AI174" s="1652">
        <v>11</v>
      </c>
    </row>
    <row s="1652" customFormat="1" customHeight="1" ht="11.549999999999999">
      <c r="A175" s="998"/>
      <c r="B175" s="1647"/>
      <c r="C175" s="1647"/>
      <c r="D175" s="362"/>
      <c r="J175" s="1652"/>
      <c r="K175" s="1652"/>
      <c r="L175" s="1652"/>
      <c r="N175" s="1171"/>
      <c r="O175" s="1647"/>
      <c r="P175" s="1647"/>
      <c r="Q175" s="1171"/>
      <c r="R175" s="1171"/>
      <c r="S175" s="1171"/>
      <c r="T175" s="1171"/>
      <c r="U175" s="1647"/>
      <c r="V175" s="1171"/>
      <c r="W175" s="1171"/>
      <c r="X175" s="555"/>
      <c r="Y175" s="1171"/>
      <c r="Z175" s="1171"/>
      <c r="AA175" s="1171"/>
      <c r="AB175" s="1171"/>
      <c r="AC175" s="1171"/>
      <c r="AD175" s="1643"/>
      <c r="AE175" s="577"/>
      <c r="AF175" s="577"/>
      <c r="AG175" s="577"/>
      <c r="AH175" s="577"/>
      <c r="AI175" s="1652">
        <v>11</v>
      </c>
    </row>
    <row s="1652" customFormat="1" customHeight="1" ht="11.549999999999999">
      <c r="A176" s="998"/>
      <c r="B176" s="1647"/>
      <c r="C176" s="1647"/>
      <c r="D176" s="362"/>
      <c r="J176" s="1652"/>
      <c r="K176" s="1652"/>
      <c r="L176" s="1652"/>
      <c r="N176" s="1171"/>
      <c r="O176" s="1647"/>
      <c r="P176" s="1647"/>
      <c r="Q176" s="1171"/>
      <c r="R176" s="1171"/>
      <c r="S176" s="1171"/>
      <c r="T176" s="1171"/>
      <c r="U176" s="1647"/>
      <c r="V176" s="1171"/>
      <c r="W176" s="1171"/>
      <c r="X176" s="555"/>
      <c r="Y176" s="1171"/>
      <c r="Z176" s="1171"/>
      <c r="AA176" s="1171"/>
      <c r="AB176" s="1171"/>
      <c r="AC176" s="1171"/>
      <c r="AD176" s="1643"/>
      <c r="AE176" s="577"/>
      <c r="AF176" s="577"/>
      <c r="AG176" s="577"/>
      <c r="AH176" s="577"/>
      <c r="AI176" s="1652">
        <v>11</v>
      </c>
    </row>
    <row s="1652" customFormat="1" customHeight="1" ht="11.549999999999999">
      <c r="A177" s="998"/>
      <c r="B177" s="1647"/>
      <c r="C177" s="1647"/>
      <c r="D177" s="362"/>
      <c r="J177" s="1652"/>
      <c r="K177" s="1652"/>
      <c r="L177" s="1652"/>
      <c r="N177" s="1171"/>
      <c r="O177" s="1647"/>
      <c r="P177" s="1647"/>
      <c r="Q177" s="1171"/>
      <c r="R177" s="1171"/>
      <c r="S177" s="1171"/>
      <c r="T177" s="1171"/>
      <c r="U177" s="1647"/>
      <c r="V177" s="1171"/>
      <c r="W177" s="1171"/>
      <c r="X177" s="555"/>
      <c r="Y177" s="1171"/>
      <c r="Z177" s="1171"/>
      <c r="AA177" s="1171"/>
      <c r="AB177" s="1171"/>
      <c r="AC177" s="1171"/>
      <c r="AD177" s="1643"/>
      <c r="AE177" s="577"/>
      <c r="AF177" s="577"/>
      <c r="AG177" s="577"/>
      <c r="AH177" s="577"/>
      <c r="AI177" s="1652">
        <v>11</v>
      </c>
    </row>
    <row s="1652" customFormat="1" customHeight="1" ht="11.549999999999999">
      <c r="A178" s="998"/>
      <c r="B178" s="1647"/>
      <c r="C178" s="1647"/>
      <c r="D178" s="362"/>
      <c r="J178" s="1652"/>
      <c r="K178" s="1652"/>
      <c r="L178" s="1652"/>
      <c r="N178" s="1171"/>
      <c r="O178" s="1647"/>
      <c r="P178" s="1647"/>
      <c r="Q178" s="1171"/>
      <c r="R178" s="1171"/>
      <c r="S178" s="1171"/>
      <c r="T178" s="1171"/>
      <c r="U178" s="1647"/>
      <c r="V178" s="1171"/>
      <c r="W178" s="1171"/>
      <c r="X178" s="555"/>
      <c r="Y178" s="1171"/>
      <c r="Z178" s="1171"/>
      <c r="AA178" s="1171"/>
      <c r="AB178" s="1171"/>
      <c r="AC178" s="1171"/>
      <c r="AD178" s="1643"/>
      <c r="AE178" s="577"/>
      <c r="AF178" s="577"/>
      <c r="AG178" s="577"/>
      <c r="AH178" s="577"/>
      <c r="AI178" s="1652">
        <v>11</v>
      </c>
    </row>
    <row s="1652" customFormat="1" customHeight="1" ht="11.549999999999999">
      <c r="A179" s="998"/>
      <c r="B179" s="1647"/>
      <c r="C179" s="1647"/>
      <c r="D179" s="362"/>
      <c r="J179" s="1652"/>
      <c r="K179" s="1652"/>
      <c r="L179" s="1652"/>
      <c r="N179" s="1171"/>
      <c r="O179" s="1647"/>
      <c r="P179" s="1647"/>
      <c r="Q179" s="1171"/>
      <c r="R179" s="1171"/>
      <c r="S179" s="1171"/>
      <c r="T179" s="1171"/>
      <c r="U179" s="1647"/>
      <c r="V179" s="1171"/>
      <c r="W179" s="1171"/>
      <c r="X179" s="555"/>
      <c r="Y179" s="1171"/>
      <c r="Z179" s="1171"/>
      <c r="AA179" s="1171"/>
      <c r="AB179" s="1171"/>
      <c r="AC179" s="1171"/>
      <c r="AD179" s="1643"/>
      <c r="AE179" s="577"/>
      <c r="AF179" s="577"/>
      <c r="AG179" s="577"/>
      <c r="AH179" s="577"/>
      <c r="AI179" s="1652">
        <v>11</v>
      </c>
    </row>
    <row s="1652" customFormat="1" customHeight="1" ht="11.549999999999999">
      <c r="A180" s="998"/>
      <c r="B180" s="1647"/>
      <c r="C180" s="1647"/>
      <c r="D180" s="362"/>
      <c r="J180" s="1652"/>
      <c r="K180" s="1652"/>
      <c r="L180" s="1652"/>
      <c r="N180" s="1171"/>
      <c r="O180" s="1647"/>
      <c r="P180" s="1647"/>
      <c r="Q180" s="1171"/>
      <c r="R180" s="1171"/>
      <c r="S180" s="1171"/>
      <c r="T180" s="1171"/>
      <c r="U180" s="1647"/>
      <c r="V180" s="1171"/>
      <c r="W180" s="1171"/>
      <c r="X180" s="555"/>
      <c r="Y180" s="1171"/>
      <c r="Z180" s="1171"/>
      <c r="AA180" s="1171"/>
      <c r="AB180" s="1171"/>
      <c r="AC180" s="1171"/>
      <c r="AD180" s="1643"/>
      <c r="AE180" s="577"/>
      <c r="AF180" s="577"/>
      <c r="AG180" s="577"/>
      <c r="AH180" s="577"/>
      <c r="AI180" s="1652">
        <v>11</v>
      </c>
    </row>
    <row s="1652" customFormat="1" customHeight="1" ht="11.549999999999999">
      <c r="A181" s="998"/>
      <c r="B181" s="1647"/>
      <c r="C181" s="1647"/>
      <c r="D181" s="362"/>
      <c r="J181" s="1652"/>
      <c r="K181" s="1652"/>
      <c r="L181" s="1652"/>
      <c r="N181" s="1171"/>
      <c r="O181" s="1647"/>
      <c r="P181" s="1647"/>
      <c r="Q181" s="1171"/>
      <c r="R181" s="1171"/>
      <c r="S181" s="1171"/>
      <c r="T181" s="1171"/>
      <c r="U181" s="1647"/>
      <c r="V181" s="1171"/>
      <c r="W181" s="1171"/>
      <c r="X181" s="555"/>
      <c r="Y181" s="1171"/>
      <c r="Z181" s="1171"/>
      <c r="AA181" s="1171"/>
      <c r="AB181" s="1171"/>
      <c r="AC181" s="1171"/>
      <c r="AD181" s="1643"/>
      <c r="AE181" s="577"/>
      <c r="AF181" s="577"/>
      <c r="AG181" s="577"/>
      <c r="AH181" s="577"/>
      <c r="AI181" s="1652">
        <v>11</v>
      </c>
    </row>
    <row s="1652" customFormat="1" customHeight="1" ht="11.549999999999999">
      <c r="A182" s="998"/>
      <c r="B182" s="1647"/>
      <c r="C182" s="1647"/>
      <c r="D182" s="362"/>
      <c r="J182" s="1652"/>
      <c r="K182" s="1652"/>
      <c r="L182" s="1652"/>
      <c r="N182" s="1171"/>
      <c r="O182" s="1647"/>
      <c r="P182" s="1647"/>
      <c r="Q182" s="1171"/>
      <c r="R182" s="1171"/>
      <c r="S182" s="1171"/>
      <c r="T182" s="1171"/>
      <c r="U182" s="1647"/>
      <c r="V182" s="1171"/>
      <c r="W182" s="1171"/>
      <c r="X182" s="555"/>
      <c r="Y182" s="1171"/>
      <c r="Z182" s="1171"/>
      <c r="AA182" s="1171"/>
      <c r="AB182" s="1171"/>
      <c r="AC182" s="1171"/>
      <c r="AD182" s="1643"/>
      <c r="AE182" s="577"/>
      <c r="AF182" s="577"/>
      <c r="AG182" s="577"/>
      <c r="AH182" s="577"/>
      <c r="AI182" s="1652">
        <v>11</v>
      </c>
    </row>
    <row s="1652" customFormat="1" customHeight="1" ht="11.549999999999999">
      <c r="A183" s="998"/>
      <c r="B183" s="1647"/>
      <c r="C183" s="1647"/>
      <c r="D183" s="362"/>
      <c r="J183" s="1652"/>
      <c r="K183" s="1652"/>
      <c r="L183" s="1652"/>
      <c r="N183" s="1171"/>
      <c r="O183" s="1647"/>
      <c r="P183" s="1647"/>
      <c r="Q183" s="1171"/>
      <c r="R183" s="1171"/>
      <c r="S183" s="1171"/>
      <c r="T183" s="1171"/>
      <c r="U183" s="1647"/>
      <c r="V183" s="1171"/>
      <c r="W183" s="1171"/>
      <c r="X183" s="555"/>
      <c r="Y183" s="1171"/>
      <c r="Z183" s="1171"/>
      <c r="AA183" s="1171"/>
      <c r="AB183" s="1171"/>
      <c r="AC183" s="1171"/>
      <c r="AD183" s="1643"/>
      <c r="AE183" s="577"/>
      <c r="AF183" s="577"/>
      <c r="AG183" s="577"/>
      <c r="AH183" s="577"/>
      <c r="AI183" s="1652">
        <v>11</v>
      </c>
    </row>
    <row s="1652" customFormat="1" customHeight="1" ht="11.549999999999999">
      <c r="A184" s="998"/>
      <c r="B184" s="1647"/>
      <c r="C184" s="1647"/>
      <c r="D184" s="362"/>
      <c r="J184" s="1652"/>
      <c r="K184" s="1652"/>
      <c r="L184" s="1652"/>
      <c r="N184" s="1171"/>
      <c r="O184" s="1647"/>
      <c r="P184" s="1647"/>
      <c r="Q184" s="1171"/>
      <c r="R184" s="1171"/>
      <c r="S184" s="1171"/>
      <c r="T184" s="1171"/>
      <c r="U184" s="1647"/>
      <c r="V184" s="1171"/>
      <c r="W184" s="1171"/>
      <c r="X184" s="555"/>
      <c r="Y184" s="1171"/>
      <c r="Z184" s="1171"/>
      <c r="AA184" s="1171"/>
      <c r="AB184" s="1171"/>
      <c r="AC184" s="1171"/>
      <c r="AD184" s="1643"/>
      <c r="AE184" s="577"/>
      <c r="AF184" s="577"/>
      <c r="AG184" s="577"/>
      <c r="AH184" s="577"/>
      <c r="AI184" s="1652">
        <v>11</v>
      </c>
    </row>
    <row s="1652" customFormat="1" customHeight="1" ht="11.549999999999999">
      <c r="A185" s="998"/>
      <c r="B185" s="1647"/>
      <c r="C185" s="1647"/>
      <c r="D185" s="362"/>
      <c r="J185" s="1652"/>
      <c r="K185" s="1652"/>
      <c r="L185" s="1652"/>
      <c r="N185" s="1171"/>
      <c r="O185" s="1647"/>
      <c r="P185" s="1647"/>
      <c r="Q185" s="1171"/>
      <c r="R185" s="1171"/>
      <c r="S185" s="1171"/>
      <c r="T185" s="1171"/>
      <c r="U185" s="1647"/>
      <c r="V185" s="1171"/>
      <c r="W185" s="1171"/>
      <c r="X185" s="555"/>
      <c r="Y185" s="1171"/>
      <c r="Z185" s="1171"/>
      <c r="AA185" s="1171"/>
      <c r="AB185" s="1171"/>
      <c r="AC185" s="1171"/>
      <c r="AD185" s="1643"/>
      <c r="AE185" s="577"/>
      <c r="AF185" s="577"/>
      <c r="AG185" s="577"/>
      <c r="AH185" s="577"/>
      <c r="AI185" s="1652">
        <v>11</v>
      </c>
    </row>
    <row s="1652" customFormat="1" customHeight="1" ht="11.549999999999999">
      <c r="A186" s="998"/>
      <c r="B186" s="1647"/>
      <c r="C186" s="1647"/>
      <c r="D186" s="362"/>
      <c r="J186" s="1652"/>
      <c r="K186" s="1652"/>
      <c r="L186" s="1652"/>
      <c r="N186" s="1171"/>
      <c r="O186" s="1647"/>
      <c r="P186" s="1647"/>
      <c r="Q186" s="1171"/>
      <c r="R186" s="1171"/>
      <c r="S186" s="1171"/>
      <c r="T186" s="1171"/>
      <c r="U186" s="1647"/>
      <c r="V186" s="1171"/>
      <c r="W186" s="1171"/>
      <c r="X186" s="555"/>
      <c r="Y186" s="1171"/>
      <c r="Z186" s="1171"/>
      <c r="AA186" s="1171"/>
      <c r="AB186" s="1171"/>
      <c r="AC186" s="1171"/>
      <c r="AD186" s="1643"/>
      <c r="AE186" s="577"/>
      <c r="AF186" s="577"/>
      <c r="AG186" s="577"/>
      <c r="AH186" s="577"/>
      <c r="AI186" s="1652">
        <v>11</v>
      </c>
    </row>
    <row s="1652" customFormat="1" customHeight="1" ht="11.549999999999999">
      <c r="A187" s="998"/>
      <c r="B187" s="1647"/>
      <c r="C187" s="1647"/>
      <c r="D187" s="362"/>
      <c r="J187" s="1652"/>
      <c r="K187" s="1652"/>
      <c r="L187" s="1652"/>
      <c r="N187" s="1171"/>
      <c r="O187" s="1647"/>
      <c r="P187" s="1647"/>
      <c r="Q187" s="1171"/>
      <c r="R187" s="1171"/>
      <c r="S187" s="1171"/>
      <c r="T187" s="1171"/>
      <c r="U187" s="1647"/>
      <c r="V187" s="1171"/>
      <c r="W187" s="1171"/>
      <c r="X187" s="555"/>
      <c r="Y187" s="1171"/>
      <c r="Z187" s="1171"/>
      <c r="AA187" s="1171"/>
      <c r="AB187" s="1171"/>
      <c r="AC187" s="1171"/>
      <c r="AD187" s="1643"/>
      <c r="AE187" s="577"/>
      <c r="AF187" s="577"/>
      <c r="AG187" s="577"/>
      <c r="AH187" s="577"/>
      <c r="AI187" s="1652">
        <v>11</v>
      </c>
    </row>
    <row s="1652" customFormat="1" customHeight="1" ht="11.549999999999999">
      <c r="A188" s="998"/>
      <c r="B188" s="1647"/>
      <c r="C188" s="1647"/>
      <c r="D188" s="362"/>
      <c r="J188" s="1652"/>
      <c r="K188" s="1652"/>
      <c r="L188" s="1652"/>
      <c r="N188" s="1171"/>
      <c r="O188" s="1647"/>
      <c r="P188" s="1647"/>
      <c r="Q188" s="1171"/>
      <c r="R188" s="1171"/>
      <c r="S188" s="1171"/>
      <c r="T188" s="1171"/>
      <c r="U188" s="1647"/>
      <c r="V188" s="1171"/>
      <c r="W188" s="1171"/>
      <c r="X188" s="555"/>
      <c r="Y188" s="1171"/>
      <c r="Z188" s="1171"/>
      <c r="AA188" s="1171"/>
      <c r="AB188" s="1171"/>
      <c r="AC188" s="1171"/>
      <c r="AD188" s="1643"/>
      <c r="AE188" s="577"/>
      <c r="AF188" s="577"/>
      <c r="AG188" s="577"/>
      <c r="AH188" s="577"/>
      <c r="AI188" s="1652">
        <v>11</v>
      </c>
    </row>
    <row s="1652" customFormat="1" customHeight="1" ht="11.549999999999999">
      <c r="A189" s="998"/>
      <c r="B189" s="1647"/>
      <c r="C189" s="1647"/>
      <c r="D189" s="362"/>
      <c r="J189" s="1652"/>
      <c r="K189" s="1652"/>
      <c r="L189" s="1652"/>
      <c r="N189" s="1171"/>
      <c r="O189" s="1647"/>
      <c r="P189" s="1647"/>
      <c r="Q189" s="1171"/>
      <c r="R189" s="1171"/>
      <c r="S189" s="1171"/>
      <c r="T189" s="1171"/>
      <c r="U189" s="1647"/>
      <c r="V189" s="1171"/>
      <c r="W189" s="1171"/>
      <c r="X189" s="555"/>
      <c r="Y189" s="1171"/>
      <c r="Z189" s="1171"/>
      <c r="AA189" s="1171"/>
      <c r="AB189" s="1171"/>
      <c r="AC189" s="1171"/>
      <c r="AD189" s="1643"/>
      <c r="AE189" s="577"/>
      <c r="AF189" s="577"/>
      <c r="AG189" s="577"/>
      <c r="AH189" s="577"/>
      <c r="AI189" s="1652">
        <v>11</v>
      </c>
    </row>
    <row s="1652" customFormat="1" customHeight="1" ht="11.549999999999999">
      <c r="A190" s="998"/>
      <c r="B190" s="1647"/>
      <c r="C190" s="1647"/>
      <c r="D190" s="362"/>
      <c r="J190" s="1652"/>
      <c r="K190" s="1652"/>
      <c r="L190" s="1652"/>
      <c r="N190" s="1171"/>
      <c r="O190" s="1647"/>
      <c r="P190" s="1647"/>
      <c r="Q190" s="1171"/>
      <c r="R190" s="1171"/>
      <c r="S190" s="1171"/>
      <c r="T190" s="1171"/>
      <c r="U190" s="1647"/>
      <c r="V190" s="1171"/>
      <c r="W190" s="1171"/>
      <c r="X190" s="555"/>
      <c r="Y190" s="1171"/>
      <c r="Z190" s="1171"/>
      <c r="AA190" s="1171"/>
      <c r="AB190" s="1171"/>
      <c r="AC190" s="1171"/>
      <c r="AD190" s="1643"/>
      <c r="AE190" s="577"/>
      <c r="AF190" s="577"/>
      <c r="AG190" s="577"/>
      <c r="AH190" s="577"/>
      <c r="AI190" s="1652">
        <v>11</v>
      </c>
    </row>
    <row s="1652" customFormat="1" customHeight="1" ht="11.549999999999999">
      <c r="A191" s="998"/>
      <c r="B191" s="1647"/>
      <c r="C191" s="1647"/>
      <c r="D191" s="362"/>
      <c r="J191" s="1652"/>
      <c r="K191" s="1652"/>
      <c r="L191" s="1652"/>
      <c r="N191" s="1171"/>
      <c r="O191" s="1647"/>
      <c r="P191" s="1647"/>
      <c r="Q191" s="1171"/>
      <c r="R191" s="1171"/>
      <c r="S191" s="1171"/>
      <c r="T191" s="1171"/>
      <c r="U191" s="1647"/>
      <c r="V191" s="1171"/>
      <c r="W191" s="1171"/>
      <c r="X191" s="555"/>
      <c r="Y191" s="1171"/>
      <c r="Z191" s="1171"/>
      <c r="AA191" s="1171"/>
      <c r="AB191" s="1171"/>
      <c r="AC191" s="1171"/>
      <c r="AD191" s="1643"/>
      <c r="AE191" s="577"/>
      <c r="AF191" s="577"/>
      <c r="AG191" s="577"/>
      <c r="AH191" s="577"/>
      <c r="AI191" s="1652">
        <v>11</v>
      </c>
    </row>
    <row s="1652" customFormat="1" customHeight="1" ht="11.549999999999999">
      <c r="A192" s="998"/>
      <c r="B192" s="1647"/>
      <c r="C192" s="1647"/>
      <c r="D192" s="362"/>
      <c r="J192" s="1652"/>
      <c r="K192" s="1652"/>
      <c r="L192" s="1652"/>
      <c r="N192" s="1171"/>
      <c r="O192" s="1647"/>
      <c r="P192" s="1647"/>
      <c r="Q192" s="1171"/>
      <c r="R192" s="1171"/>
      <c r="S192" s="1171"/>
      <c r="T192" s="1171"/>
      <c r="U192" s="1647"/>
      <c r="V192" s="1171"/>
      <c r="W192" s="1171"/>
      <c r="X192" s="555"/>
      <c r="Y192" s="1171"/>
      <c r="Z192" s="1171"/>
      <c r="AA192" s="1171"/>
      <c r="AB192" s="1171"/>
      <c r="AC192" s="1171"/>
      <c r="AD192" s="1643"/>
      <c r="AE192" s="577"/>
      <c r="AF192" s="577"/>
      <c r="AG192" s="577"/>
      <c r="AH192" s="577"/>
      <c r="AI192" s="1652">
        <v>11</v>
      </c>
    </row>
    <row s="1652" customFormat="1" customHeight="1" ht="11.549999999999999">
      <c r="A193" s="998"/>
      <c r="B193" s="1647"/>
      <c r="C193" s="1647"/>
      <c r="D193" s="362"/>
      <c r="J193" s="1652"/>
      <c r="K193" s="1652"/>
      <c r="L193" s="1652"/>
      <c r="N193" s="1171"/>
      <c r="O193" s="1647"/>
      <c r="P193" s="1647"/>
      <c r="Q193" s="1171"/>
      <c r="R193" s="1171"/>
      <c r="S193" s="1171"/>
      <c r="T193" s="1171"/>
      <c r="U193" s="1647"/>
      <c r="V193" s="1171"/>
      <c r="W193" s="1171"/>
      <c r="X193" s="555"/>
      <c r="Y193" s="1171"/>
      <c r="Z193" s="1171"/>
      <c r="AA193" s="1171"/>
      <c r="AB193" s="1171"/>
      <c r="AC193" s="1171"/>
      <c r="AD193" s="1643"/>
      <c r="AE193" s="577"/>
      <c r="AF193" s="577"/>
      <c r="AG193" s="577"/>
      <c r="AH193" s="577"/>
      <c r="AI193" s="1652">
        <v>11</v>
      </c>
    </row>
    <row s="1652" customFormat="1" customHeight="1" ht="11.549999999999999">
      <c r="A194" s="998"/>
      <c r="B194" s="1647"/>
      <c r="C194" s="1647"/>
      <c r="D194" s="362"/>
      <c r="J194" s="1652"/>
      <c r="K194" s="1652"/>
      <c r="L194" s="1652"/>
      <c r="N194" s="1171"/>
      <c r="O194" s="1647"/>
      <c r="P194" s="1647"/>
      <c r="Q194" s="1171"/>
      <c r="R194" s="1171"/>
      <c r="S194" s="1171"/>
      <c r="T194" s="1171"/>
      <c r="U194" s="1647"/>
      <c r="V194" s="1171"/>
      <c r="W194" s="1171"/>
      <c r="X194" s="555"/>
      <c r="Y194" s="1171"/>
      <c r="Z194" s="1171"/>
      <c r="AA194" s="1171"/>
      <c r="AB194" s="1171"/>
      <c r="AC194" s="1171"/>
      <c r="AD194" s="1643"/>
      <c r="AE194" s="577"/>
      <c r="AF194" s="577"/>
      <c r="AG194" s="577"/>
      <c r="AH194" s="577"/>
      <c r="AI194" s="1652">
        <v>11</v>
      </c>
    </row>
    <row s="1652" customFormat="1" customHeight="1" ht="11.549999999999999">
      <c r="A195" s="998"/>
      <c r="B195" s="1647"/>
      <c r="C195" s="1647"/>
      <c r="D195" s="362"/>
      <c r="J195" s="1652"/>
      <c r="K195" s="1652"/>
      <c r="L195" s="1652"/>
      <c r="N195" s="1171"/>
      <c r="O195" s="1647"/>
      <c r="P195" s="1647"/>
      <c r="Q195" s="1171"/>
      <c r="R195" s="1171"/>
      <c r="S195" s="1171"/>
      <c r="T195" s="1171"/>
      <c r="U195" s="1647"/>
      <c r="V195" s="1171"/>
      <c r="W195" s="1171"/>
      <c r="X195" s="555"/>
      <c r="Y195" s="1171"/>
      <c r="Z195" s="1171"/>
      <c r="AA195" s="1171"/>
      <c r="AB195" s="1171"/>
      <c r="AC195" s="1171"/>
      <c r="AD195" s="1643"/>
      <c r="AE195" s="577"/>
      <c r="AF195" s="577"/>
      <c r="AG195" s="577"/>
      <c r="AH195" s="577"/>
      <c r="AI195" s="1652">
        <v>11</v>
      </c>
    </row>
    <row s="1652" customFormat="1" customHeight="1" ht="11.549999999999999">
      <c r="A196" s="998"/>
      <c r="B196" s="1647"/>
      <c r="C196" s="1647"/>
      <c r="D196" s="362"/>
      <c r="J196" s="1652"/>
      <c r="K196" s="1652"/>
      <c r="L196" s="1652"/>
      <c r="N196" s="1171"/>
      <c r="O196" s="1647"/>
      <c r="P196" s="1647"/>
      <c r="Q196" s="1171"/>
      <c r="R196" s="1171"/>
      <c r="S196" s="1171"/>
      <c r="T196" s="1171"/>
      <c r="U196" s="1647"/>
      <c r="V196" s="1171"/>
      <c r="W196" s="1171"/>
      <c r="X196" s="555"/>
      <c r="Y196" s="1171"/>
      <c r="Z196" s="1171"/>
      <c r="AA196" s="1171"/>
      <c r="AB196" s="1171"/>
      <c r="AC196" s="1171"/>
      <c r="AD196" s="1643"/>
      <c r="AE196" s="577"/>
      <c r="AF196" s="577"/>
      <c r="AG196" s="577"/>
      <c r="AH196" s="577"/>
      <c r="AI196" s="1652">
        <v>11</v>
      </c>
    </row>
    <row s="1652" customFormat="1" customHeight="1" ht="11.549999999999999">
      <c r="A197" s="998"/>
      <c r="B197" s="1647"/>
      <c r="C197" s="1647"/>
      <c r="D197" s="362"/>
      <c r="J197" s="1652"/>
      <c r="K197" s="1652"/>
      <c r="L197" s="1652"/>
      <c r="N197" s="1171"/>
      <c r="O197" s="1647"/>
      <c r="P197" s="1647"/>
      <c r="Q197" s="1171"/>
      <c r="R197" s="1171"/>
      <c r="S197" s="1171"/>
      <c r="T197" s="1171"/>
      <c r="U197" s="1647"/>
      <c r="V197" s="1171"/>
      <c r="W197" s="1171"/>
      <c r="X197" s="555"/>
      <c r="Y197" s="1171"/>
      <c r="Z197" s="1171"/>
      <c r="AA197" s="1171"/>
      <c r="AB197" s="1171"/>
      <c r="AC197" s="1171"/>
      <c r="AD197" s="1643"/>
      <c r="AE197" s="577"/>
      <c r="AF197" s="577"/>
      <c r="AG197" s="577"/>
      <c r="AH197" s="577"/>
      <c r="AI197" s="1652">
        <v>11</v>
      </c>
    </row>
    <row s="1652" customFormat="1" customHeight="1" ht="11.549999999999999">
      <c r="A198" s="998"/>
      <c r="B198" s="1647"/>
      <c r="C198" s="1647"/>
      <c r="D198" s="362"/>
      <c r="J198" s="1652"/>
      <c r="K198" s="1652"/>
      <c r="L198" s="1652"/>
      <c r="N198" s="1171"/>
      <c r="O198" s="1647"/>
      <c r="P198" s="1647"/>
      <c r="Q198" s="1171"/>
      <c r="R198" s="1171"/>
      <c r="S198" s="1171"/>
      <c r="T198" s="1171"/>
      <c r="U198" s="1647"/>
      <c r="V198" s="1171"/>
      <c r="W198" s="1171"/>
      <c r="X198" s="555"/>
      <c r="Y198" s="1171"/>
      <c r="Z198" s="1171"/>
      <c r="AA198" s="1171"/>
      <c r="AB198" s="1171"/>
      <c r="AC198" s="1171"/>
      <c r="AD198" s="1643"/>
      <c r="AE198" s="577"/>
      <c r="AF198" s="577"/>
      <c r="AG198" s="577"/>
      <c r="AH198" s="577"/>
      <c r="AI198" s="1652">
        <v>11</v>
      </c>
    </row>
    <row s="1652" customFormat="1" customHeight="1" ht="11.549999999999999">
      <c r="A199" s="998"/>
      <c r="B199" s="1647"/>
      <c r="C199" s="1647"/>
      <c r="D199" s="362"/>
      <c r="J199" s="1652"/>
      <c r="K199" s="1652"/>
      <c r="L199" s="1652"/>
      <c r="N199" s="1171"/>
      <c r="O199" s="1647"/>
      <c r="P199" s="1647"/>
      <c r="Q199" s="1171"/>
      <c r="R199" s="1171"/>
      <c r="S199" s="1171"/>
      <c r="T199" s="1171"/>
      <c r="U199" s="1647"/>
      <c r="V199" s="1171"/>
      <c r="W199" s="1171"/>
      <c r="X199" s="555"/>
      <c r="Y199" s="1171"/>
      <c r="Z199" s="1171"/>
      <c r="AA199" s="1171"/>
      <c r="AB199" s="1171"/>
      <c r="AC199" s="1171"/>
      <c r="AD199" s="1643"/>
      <c r="AE199" s="577"/>
      <c r="AF199" s="577"/>
      <c r="AG199" s="577"/>
      <c r="AH199" s="577"/>
      <c r="AI199" s="1652">
        <v>11</v>
      </c>
    </row>
    <row s="1652" customFormat="1" customHeight="1" ht="11.549999999999999">
      <c r="A200" s="998"/>
      <c r="B200" s="1647"/>
      <c r="C200" s="1647"/>
      <c r="D200" s="362"/>
      <c r="J200" s="1652"/>
      <c r="K200" s="1652"/>
      <c r="L200" s="1652"/>
      <c r="N200" s="1171"/>
      <c r="O200" s="1647"/>
      <c r="P200" s="1647"/>
      <c r="Q200" s="1171"/>
      <c r="R200" s="1171"/>
      <c r="S200" s="1171"/>
      <c r="T200" s="1171"/>
      <c r="U200" s="1647"/>
      <c r="V200" s="1171"/>
      <c r="W200" s="1171"/>
      <c r="X200" s="555"/>
      <c r="Y200" s="1171"/>
      <c r="Z200" s="1171"/>
      <c r="AA200" s="1171"/>
      <c r="AB200" s="1171"/>
      <c r="AC200" s="1171"/>
      <c r="AD200" s="1643"/>
      <c r="AE200" s="577"/>
      <c r="AF200" s="577"/>
      <c r="AG200" s="577"/>
      <c r="AH200" s="577"/>
      <c r="AI200" s="1652">
        <v>11</v>
      </c>
    </row>
    <row customHeight="1" ht="11.549999999999999">
      <c r="J201" s="1646"/>
      <c r="K201" s="1646"/>
      <c r="L201" s="1646"/>
      <c r="AI201" s="1642">
        <v>11</v>
      </c>
    </row>
    <row customHeight="1" ht="11.549999999999999">
      <c r="J202" s="1646"/>
      <c r="K202" s="1646"/>
      <c r="L202" s="1646"/>
      <c r="AI202" s="1642">
        <v>11</v>
      </c>
    </row>
    <row customHeight="1" ht="11.549999999999999">
      <c r="J203" s="1646"/>
      <c r="K203" s="1646"/>
      <c r="L203" s="1646"/>
      <c r="AI203" s="1642">
        <v>11</v>
      </c>
    </row>
    <row customHeight="1" ht="11.549999999999999">
      <c r="A204" s="1001"/>
      <c r="B204" s="1642"/>
      <c r="D204" s="1642"/>
      <c r="J204" s="1646"/>
      <c r="K204" s="1646"/>
      <c r="L204" s="1646"/>
      <c r="N204" s="1642"/>
      <c r="Q204" s="1642"/>
      <c r="R204" s="1642"/>
      <c r="S204" s="1642"/>
      <c r="T204" s="1642"/>
      <c r="V204" s="1642"/>
      <c r="W204" s="1642"/>
      <c r="X204" s="1642"/>
      <c r="Y204" s="1642"/>
      <c r="Z204" s="1642"/>
      <c r="AA204" s="1642"/>
      <c r="AB204" s="1642"/>
      <c r="AC204" s="1642"/>
      <c r="AD204" s="1642"/>
      <c r="AE204" s="1642"/>
      <c r="AF204" s="1642"/>
      <c r="AG204" s="1642"/>
      <c r="AH204" s="1642"/>
      <c r="AI204" s="1642">
        <v>11</v>
      </c>
    </row>
    <row customHeight="1" ht="11.549999999999999">
      <c r="A205" s="1001"/>
      <c r="B205" s="1642"/>
      <c r="D205" s="1642"/>
      <c r="J205" s="1646"/>
      <c r="K205" s="1646"/>
      <c r="L205" s="1646"/>
      <c r="N205" s="1642"/>
      <c r="Q205" s="1642"/>
      <c r="R205" s="1642"/>
      <c r="S205" s="1642"/>
      <c r="T205" s="1642"/>
      <c r="V205" s="1642"/>
      <c r="W205" s="1642"/>
      <c r="X205" s="1642"/>
      <c r="Y205" s="1642"/>
      <c r="Z205" s="1642"/>
      <c r="AA205" s="1642"/>
      <c r="AB205" s="1642"/>
      <c r="AC205" s="1642"/>
      <c r="AD205" s="1642"/>
      <c r="AE205" s="1642"/>
      <c r="AF205" s="1642"/>
      <c r="AG205" s="1642"/>
      <c r="AH205" s="1642"/>
      <c r="AI205" s="1642">
        <v>11</v>
      </c>
    </row>
    <row customHeight="1" ht="11.549999999999999">
      <c r="A206" s="1001"/>
      <c r="B206" s="1642"/>
      <c r="D206" s="1642"/>
      <c r="J206" s="1646"/>
      <c r="K206" s="1646"/>
      <c r="L206" s="1646"/>
      <c r="N206" s="1642"/>
      <c r="Q206" s="1642"/>
      <c r="R206" s="1642"/>
      <c r="S206" s="1642"/>
      <c r="T206" s="1642"/>
      <c r="V206" s="1642"/>
      <c r="W206" s="1642"/>
      <c r="X206" s="1642"/>
      <c r="Y206" s="1642"/>
      <c r="Z206" s="1642"/>
      <c r="AA206" s="1642"/>
      <c r="AB206" s="1642"/>
      <c r="AC206" s="1642"/>
      <c r="AD206" s="1642"/>
      <c r="AE206" s="1642"/>
      <c r="AF206" s="1642"/>
      <c r="AG206" s="1642"/>
      <c r="AH206" s="1642"/>
      <c r="AI206" s="1642">
        <v>11</v>
      </c>
    </row>
    <row customHeight="1" ht="11.549999999999999">
      <c r="A207" s="1001"/>
      <c r="B207" s="1642"/>
      <c r="D207" s="1642"/>
      <c r="J207" s="1646"/>
      <c r="K207" s="1646"/>
      <c r="L207" s="1646"/>
      <c r="N207" s="1642"/>
      <c r="Q207" s="1642"/>
      <c r="R207" s="1642"/>
      <c r="S207" s="1642"/>
      <c r="T207" s="1642"/>
      <c r="V207" s="1642"/>
      <c r="W207" s="1642"/>
      <c r="X207" s="1642"/>
      <c r="Y207" s="1642"/>
      <c r="Z207" s="1642"/>
      <c r="AA207" s="1642"/>
      <c r="AB207" s="1642"/>
      <c r="AC207" s="1642"/>
      <c r="AD207" s="1642"/>
      <c r="AE207" s="1642"/>
      <c r="AF207" s="1642"/>
      <c r="AG207" s="1642"/>
      <c r="AH207" s="1642"/>
      <c r="AI207" s="1642">
        <v>11</v>
      </c>
    </row>
    <row customHeight="1" ht="11.549999999999999">
      <c r="A208" s="1001"/>
      <c r="B208" s="1642"/>
      <c r="D208" s="1642"/>
      <c r="J208" s="1646"/>
      <c r="K208" s="1646"/>
      <c r="L208" s="1646"/>
      <c r="N208" s="1642"/>
      <c r="Q208" s="1642"/>
      <c r="R208" s="1642"/>
      <c r="S208" s="1642"/>
      <c r="T208" s="1642"/>
      <c r="V208" s="1642"/>
      <c r="W208" s="1642"/>
      <c r="X208" s="1642"/>
      <c r="Y208" s="1642"/>
      <c r="Z208" s="1642"/>
      <c r="AA208" s="1642"/>
      <c r="AB208" s="1642"/>
      <c r="AC208" s="1642"/>
      <c r="AD208" s="1642"/>
      <c r="AE208" s="1642"/>
      <c r="AF208" s="1642"/>
      <c r="AG208" s="1642"/>
      <c r="AH208" s="1642"/>
      <c r="AI208" s="1642">
        <v>11</v>
      </c>
    </row>
    <row customHeight="1" ht="11.549999999999999">
      <c r="A209" s="1001"/>
      <c r="B209" s="1642"/>
      <c r="D209" s="1642"/>
      <c r="J209" s="1646"/>
      <c r="K209" s="1646"/>
      <c r="L209" s="1646"/>
      <c r="N209" s="1642"/>
      <c r="Q209" s="1642"/>
      <c r="R209" s="1642"/>
      <c r="S209" s="1642"/>
      <c r="T209" s="1642"/>
      <c r="V209" s="1642"/>
      <c r="W209" s="1642"/>
      <c r="X209" s="1642"/>
      <c r="Y209" s="1642"/>
      <c r="Z209" s="1642"/>
      <c r="AA209" s="1642"/>
      <c r="AB209" s="1642"/>
      <c r="AC209" s="1642"/>
      <c r="AD209" s="1642"/>
      <c r="AE209" s="1642"/>
      <c r="AF209" s="1642"/>
      <c r="AG209" s="1642"/>
      <c r="AH209" s="1642"/>
      <c r="AI209" s="1642">
        <v>11</v>
      </c>
    </row>
    <row customHeight="1" ht="11.549999999999999">
      <c r="A210" s="1001"/>
      <c r="B210" s="1642"/>
      <c r="D210" s="1642"/>
      <c r="J210" s="1646"/>
      <c r="K210" s="1646"/>
      <c r="L210" s="1646"/>
      <c r="N210" s="1642"/>
      <c r="Q210" s="1642"/>
      <c r="R210" s="1642"/>
      <c r="S210" s="1642"/>
      <c r="T210" s="1642"/>
      <c r="V210" s="1642"/>
      <c r="W210" s="1642"/>
      <c r="X210" s="1642"/>
      <c r="Y210" s="1642"/>
      <c r="Z210" s="1642"/>
      <c r="AA210" s="1642"/>
      <c r="AB210" s="1642"/>
      <c r="AC210" s="1642"/>
      <c r="AD210" s="1642"/>
      <c r="AE210" s="1642"/>
      <c r="AF210" s="1642"/>
      <c r="AG210" s="1642"/>
      <c r="AH210" s="1642"/>
      <c r="AI210" s="1642">
        <v>11</v>
      </c>
    </row>
    <row customHeight="1" ht="11.549999999999999">
      <c r="A211" s="1001"/>
      <c r="B211" s="1642"/>
      <c r="D211" s="1642"/>
      <c r="J211" s="1646"/>
      <c r="K211" s="1646"/>
      <c r="L211" s="1646"/>
      <c r="N211" s="1642"/>
      <c r="Q211" s="1642"/>
      <c r="R211" s="1642"/>
      <c r="S211" s="1642"/>
      <c r="T211" s="1642"/>
      <c r="V211" s="1642"/>
      <c r="W211" s="1642"/>
      <c r="X211" s="1642"/>
      <c r="Y211" s="1642"/>
      <c r="Z211" s="1642"/>
      <c r="AA211" s="1642"/>
      <c r="AB211" s="1642"/>
      <c r="AC211" s="1642"/>
      <c r="AD211" s="1642"/>
      <c r="AE211" s="1642"/>
      <c r="AF211" s="1642"/>
      <c r="AG211" s="1642"/>
      <c r="AH211" s="1642"/>
      <c r="AI211" s="1642">
        <v>11</v>
      </c>
    </row>
    <row customHeight="1" ht="11.549999999999999">
      <c r="A212" s="1001"/>
      <c r="B212" s="1642"/>
      <c r="D212" s="1642"/>
      <c r="J212" s="1646"/>
      <c r="K212" s="1646"/>
      <c r="L212" s="1646"/>
      <c r="N212" s="1642"/>
      <c r="Q212" s="1642"/>
      <c r="R212" s="1642"/>
      <c r="S212" s="1642"/>
      <c r="T212" s="1642"/>
      <c r="V212" s="1642"/>
      <c r="W212" s="1642"/>
      <c r="X212" s="1642"/>
      <c r="Y212" s="1642"/>
      <c r="Z212" s="1642"/>
      <c r="AA212" s="1642"/>
      <c r="AB212" s="1642"/>
      <c r="AC212" s="1642"/>
      <c r="AD212" s="1642"/>
      <c r="AE212" s="1642"/>
      <c r="AF212" s="1642"/>
      <c r="AG212" s="1642"/>
      <c r="AH212" s="1642"/>
      <c r="AI212" s="1642">
        <v>11</v>
      </c>
    </row>
    <row customHeight="1" ht="11.549999999999999">
      <c r="A213" s="1001"/>
      <c r="B213" s="1642"/>
      <c r="D213" s="1642"/>
      <c r="J213" s="1646"/>
      <c r="K213" s="1646"/>
      <c r="L213" s="1646"/>
      <c r="N213" s="1642"/>
      <c r="Q213" s="1642"/>
      <c r="R213" s="1642"/>
      <c r="S213" s="1642"/>
      <c r="T213" s="1642"/>
      <c r="V213" s="1642"/>
      <c r="W213" s="1642"/>
      <c r="X213" s="1642"/>
      <c r="Y213" s="1642"/>
      <c r="Z213" s="1642"/>
      <c r="AA213" s="1642"/>
      <c r="AB213" s="1642"/>
      <c r="AC213" s="1642"/>
      <c r="AD213" s="1642"/>
      <c r="AE213" s="1642"/>
      <c r="AF213" s="1642"/>
      <c r="AG213" s="1642"/>
      <c r="AH213" s="1642"/>
      <c r="AI213" s="1642">
        <v>11</v>
      </c>
    </row>
    <row customHeight="1" ht="11.549999999999999">
      <c r="A214" s="1001"/>
      <c r="B214" s="1642"/>
      <c r="D214" s="1642"/>
      <c r="J214" s="1646"/>
      <c r="K214" s="1646"/>
      <c r="L214" s="1646"/>
      <c r="N214" s="1642"/>
      <c r="Q214" s="1642"/>
      <c r="R214" s="1642"/>
      <c r="S214" s="1642"/>
      <c r="T214" s="1642"/>
      <c r="V214" s="1642"/>
      <c r="W214" s="1642"/>
      <c r="X214" s="1642"/>
      <c r="Y214" s="1642"/>
      <c r="Z214" s="1642"/>
      <c r="AA214" s="1642"/>
      <c r="AB214" s="1642"/>
      <c r="AC214" s="1642"/>
      <c r="AD214" s="1642"/>
      <c r="AE214" s="1642"/>
      <c r="AF214" s="1642"/>
      <c r="AG214" s="1642"/>
      <c r="AH214" s="1642"/>
      <c r="AI214" s="1642">
        <v>11</v>
      </c>
    </row>
    <row customHeight="1" ht="11.25" hidden="1">
      <c r="A215" s="998" t="s">
        <v>83</v>
      </c>
      <c r="B215" s="1171">
        <v>0</v>
      </c>
      <c r="C215" s="1647">
        <v>0</v>
      </c>
      <c r="D215" s="1646">
        <v>3</v>
      </c>
      <c r="E215" s="1642">
        <v>7</v>
      </c>
      <c r="F215" s="1642">
        <v>54</v>
      </c>
      <c r="G215" s="1642">
        <v>10</v>
      </c>
      <c r="H215" s="1642">
        <v>0</v>
      </c>
      <c r="I215" s="1642">
        <v>40</v>
      </c>
      <c r="J215" s="1646">
        <v>0</v>
      </c>
      <c r="K215" s="1646">
        <v>0</v>
      </c>
      <c r="L215" s="1646">
        <v>0</v>
      </c>
      <c r="M215" s="1642">
        <v>102</v>
      </c>
      <c r="N215" s="1171">
        <v>9</v>
      </c>
      <c r="O215" s="1647">
        <v>5</v>
      </c>
      <c r="P215" s="1647">
        <v>3</v>
      </c>
      <c r="Q215" s="1171">
        <v>3</v>
      </c>
      <c r="R215" s="1171">
        <v>3</v>
      </c>
      <c r="S215" s="1171">
        <v>3</v>
      </c>
      <c r="T215" s="1171">
        <v>3</v>
      </c>
      <c r="U215" s="1647">
        <v>10</v>
      </c>
      <c r="V215" s="1171">
        <v>34</v>
      </c>
      <c r="W215" s="1171">
        <v>9</v>
      </c>
      <c r="X215" s="555">
        <v>8</v>
      </c>
      <c r="Y215" s="1171">
        <v>8</v>
      </c>
      <c r="Z215" s="1171">
        <v>8</v>
      </c>
      <c r="AA215" s="1171">
        <v>8</v>
      </c>
      <c r="AB215" s="1171">
        <v>8</v>
      </c>
      <c r="AC215" s="1171">
        <v>8</v>
      </c>
      <c r="AD215" s="1643">
        <v>8</v>
      </c>
      <c r="AE215" s="1643">
        <v>8</v>
      </c>
      <c r="AF215" s="1643">
        <v>8</v>
      </c>
      <c r="AG215" s="1643">
        <v>8</v>
      </c>
      <c r="AH215" s="1643">
        <v>8</v>
      </c>
      <c r="AI215" s="1642">
        <v>11</v>
      </c>
    </row>
  </sheetData>
  <sheetProtection formatColumns="0" formatRows="0" autoFilter="0" sort="0" insertRows="0" insertColumns="1" deleteRows="0" deleteColumns="0"/>
  <mergeCells count="9">
    <mergeCell ref="F45:G45"/>
    <mergeCell ref="E6:I6"/>
    <mergeCell ref="E7:I7"/>
    <mergeCell ref="F10:G10"/>
    <mergeCell ref="M10:M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L35">
      <formula1>-9.99999999999999E+37</formula1>
      <formula2>9.99999999999999E+37</formula2>
    </dataValidation>
    <dataValidation type="decimal" allowBlank="1" showErrorMessage="1" errorTitle="Ошибка" error="Допускается ввод только действительных чисел!" sqref="H31:L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L36">
      <formula1>900</formula1>
    </dataValidation>
    <dataValidation type="decimal" allowBlank="1" showErrorMessage="1" errorTitle="Ошибка" error="Допускается ввод только неотрицательных чисел!" sqref="H32:L32 H2:L2 H15:L15 H17:L27 H30:L30 H41:L42 H38:L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93FA3-9FB8-8518-DADB-7FDF67253471}" mc:Ignorable="x14ac xr xr2 xr3">
  <sheetPr>
    <tabColor theme="9" tint="-0.25"/>
  </sheetPr>
  <dimension ref="A1:AD102"/>
  <sheetViews>
    <sheetView showGridLines="0" zoomScale="90" workbookViewId="0">
      <pane xSplit="8" ySplit="11" topLeftCell="M12" activePane="bottomRight" state="frozen"/>
      <selection pane="bottomLeft" activeCell="A12" sqref="A12"/>
      <selection pane="topRight" activeCell="I1" sqref="I1"/>
      <selection pane="bottomRight" activeCell="O32" sqref="O32"/>
    </sheetView>
  </sheetViews>
  <sheetFormatPr defaultColWidth="10.57421875" customHeight="1" defaultRowHeight="11.25"/>
  <cols>
    <col min="1" max="1" style="1177" width="9.140625" hidden="1" customWidth="1"/>
    <col min="2" max="2" style="1653" width="3.57421875" hidden="1" customWidth="1"/>
    <col min="3" max="3" style="1646" width="3.00390625" customWidth="1"/>
    <col min="4" max="4" style="1646" width="7.00390625" customWidth="1"/>
    <col min="5" max="5" style="1646" width="69.00390625" customWidth="1"/>
    <col min="6" max="6" style="1646" width="10.00390625" customWidth="1"/>
    <col min="7" max="8" style="1646" width="44.00390625" hidden="1" customWidth="1"/>
    <col min="9" max="9" style="1646" width="44.00390625" customWidth="1"/>
    <col min="10" max="10" style="1646" width="43.00390625" customWidth="1"/>
    <col min="11" max="16" style="1646" width="44.00390625" customWidth="1"/>
    <col min="17" max="17" style="1646" width="73.00390625" customWidth="1"/>
    <col min="18" max="18" style="1646" width="3.00390625" customWidth="1"/>
    <col min="19" max="29" style="1646" width="10.00390625" customWidth="1"/>
    <col min="30" max="30" style="1646" width="10.57421875" hidden="1"/>
  </cols>
  <sheetData>
    <row s="1377" customFormat="1" customHeight="1" ht="22.5" hidden="1">
      <c r="A1" s="547"/>
      <c r="B1" s="522"/>
      <c r="G1" s="428">
        <v>4</v>
      </c>
      <c r="I1" s="428">
        <v>4</v>
      </c>
      <c r="K1" s="1377" t="s">
        <v>91</v>
      </c>
      <c r="L1" s="1377"/>
      <c r="M1" s="1377">
        <v>4</v>
      </c>
      <c r="N1" s="1377"/>
      <c r="O1" s="1377">
        <v>4</v>
      </c>
      <c r="P1" s="1377"/>
      <c r="Q1" s="428" t="s">
        <v>92</v>
      </c>
      <c r="AD1" s="428" t="s">
        <v>14</v>
      </c>
    </row>
    <row customHeight="1" ht="3">
      <c r="K2" s="1646"/>
      <c r="L2" s="1646"/>
      <c r="M2" s="1646"/>
      <c r="N2" s="1646"/>
      <c r="O2" s="1646"/>
      <c r="P2" s="1646"/>
      <c r="AD2" s="516">
        <v>3</v>
      </c>
    </row>
    <row customHeight="1" ht="78.75">
      <c r="D3" s="226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69"/>
      <c r="F3" s="2270"/>
      <c r="K3" s="1646"/>
      <c r="L3" s="1646"/>
      <c r="M3" s="1646"/>
      <c r="N3" s="1646"/>
      <c r="O3" s="1646"/>
      <c r="P3" s="1646"/>
      <c r="AD3" s="516">
        <v>75</v>
      </c>
    </row>
    <row s="1646" customFormat="1" customHeight="1" ht="21">
      <c r="A4" s="962"/>
      <c r="B4" s="522"/>
      <c r="D4" s="2244" t="str">
        <f>IF(org=0,"Не определено",org)</f>
        <v>ПАО "КГК"</v>
      </c>
      <c r="E4" s="2245"/>
      <c r="F4" s="2246"/>
      <c r="K4" s="1646"/>
      <c r="L4" s="1646"/>
      <c r="M4" s="1646"/>
      <c r="N4" s="1646"/>
      <c r="O4" s="1646"/>
      <c r="P4" s="1646"/>
      <c r="AD4" s="769">
        <v>20</v>
      </c>
    </row>
    <row customHeight="1" ht="11.549999999999999">
      <c r="C5" s="520"/>
      <c r="D5" s="599"/>
      <c r="E5" s="599"/>
      <c r="F5" s="599"/>
      <c r="G5" s="599"/>
      <c r="H5" s="763"/>
      <c r="I5" s="599"/>
      <c r="J5" s="763"/>
      <c r="K5" s="1646"/>
      <c r="L5" s="763"/>
      <c r="M5" s="1646"/>
      <c r="N5" s="763"/>
      <c r="O5" s="1646"/>
      <c r="P5" s="763"/>
      <c r="Q5" s="599"/>
      <c r="AD5" s="516">
        <v>11</v>
      </c>
    </row>
    <row customHeight="1" ht="1.05">
      <c r="C6" s="520"/>
      <c r="D6" s="520"/>
      <c r="E6" s="533"/>
      <c r="F6" s="625"/>
      <c r="G6" s="1033"/>
      <c r="H6" s="1033"/>
      <c r="I6" s="1033" t="s">
        <v>128</v>
      </c>
      <c r="J6" s="1033"/>
      <c r="K6" s="1033" t="s">
        <v>132</v>
      </c>
      <c r="L6" s="1033"/>
      <c r="M6" s="1033" t="s">
        <v>134</v>
      </c>
      <c r="N6" s="1033"/>
      <c r="O6" s="1033" t="s">
        <v>135</v>
      </c>
      <c r="P6" s="1033"/>
      <c r="AD6" s="516">
        <v>1</v>
      </c>
    </row>
    <row customHeight="1" ht="11.549999999999999">
      <c r="D7" s="722"/>
      <c r="E7" s="2397" t="s">
        <v>116</v>
      </c>
      <c r="F7" s="2398"/>
      <c r="G7" s="2423" t="str">
        <f>IF(G6="","",INDEX(DIFFERENTIATION_UNMERGE_VD,MATCH(G6,DIFFERENTIATION_ID_DIFF,0)))</f>
        <v/>
      </c>
      <c r="H7" s="2424"/>
      <c r="I7" s="2423"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7" s="2424"/>
      <c r="K7" s="2423" t="str">
        <f>IF(K6="","",INDEX(DIFFERENTIATION_UNMERGE_VD,MATCH(K6,DIFFERENTIATION_ID_DIFF,0)))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7" s="2424"/>
      <c r="M7" s="2423" t="str">
        <f>IF(M6="","",INDEX(DIFFERENTIATION_UNMERGE_VD,MATCH(M6,DIFFERENTIATION_ID_DIFF,0)))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N7" s="2424"/>
      <c r="O7" s="2423" t="str">
        <f>IF(O6="","",INDEX(DIFFERENTIATION_UNMERGE_VD,MATCH(O6,DIFFERENTIATION_ID_DIFF,0)))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P7" s="2424"/>
      <c r="Q7" s="2205"/>
      <c r="R7" s="520"/>
      <c r="AD7" s="516">
        <v>11</v>
      </c>
    </row>
    <row customHeight="1" ht="11.549999999999999">
      <c r="A8" s="715"/>
      <c r="D8" s="722"/>
      <c r="E8" s="2397" t="s">
        <v>576</v>
      </c>
      <c r="F8" s="2398"/>
      <c r="G8" s="2423" t="str">
        <f>IF(G6="","",INDEX(DIFFERENTIATION_UNMERGE_AREA,MATCH(G6,DIFFERENTIATION_ID_DIFF,0)))</f>
        <v/>
      </c>
      <c r="H8" s="2424"/>
      <c r="I8" s="2423" t="str">
        <f>IF(I6="","",INDEX(DIFFERENTIATION_UNMERGE_AREA,MATCH(I6,DIFFERENTIATION_ID_DIFF,0)))</f>
        <v>Территория 1</v>
      </c>
      <c r="J8" s="2424"/>
      <c r="K8" s="2423" t="str">
        <f>IF(K6="","",INDEX(DIFFERENTIATION_UNMERGE_AREA,MATCH(K6,DIFFERENTIATION_ID_DIFF,0)))</f>
        <v>Территория 1</v>
      </c>
      <c r="L8" s="2424"/>
      <c r="M8" s="2423" t="str">
        <f>IF(M6="","",INDEX(DIFFERENTIATION_UNMERGE_AREA,MATCH(M6,DIFFERENTIATION_ID_DIFF,0)))</f>
        <v>Территория 2</v>
      </c>
      <c r="N8" s="2424"/>
      <c r="O8" s="2423" t="str">
        <f>IF(O6="","",INDEX(DIFFERENTIATION_UNMERGE_AREA,MATCH(O6,DIFFERENTIATION_ID_DIFF,0)))</f>
        <v>Территория 3</v>
      </c>
      <c r="P8" s="2424"/>
      <c r="Q8" s="2229"/>
      <c r="R8" s="520"/>
      <c r="AD8" s="516">
        <v>11</v>
      </c>
    </row>
    <row customHeight="1" ht="11.549999999999999">
      <c r="A9" s="715"/>
      <c r="D9" s="722"/>
      <c r="E9" s="2397" t="s">
        <v>577</v>
      </c>
      <c r="F9" s="2398"/>
      <c r="G9" s="2423" t="str">
        <f>IF(G6="","",INDEX(DIFFERENTIATION_UNMERGE_SYSTEM,MATCH(G6,DIFFERENTIATION_ID_DIFF,0)))</f>
        <v/>
      </c>
      <c r="H9" s="2424"/>
      <c r="I9" s="2423" t="str">
        <f>IF(I6="","",INDEX(DIFFERENTIATION_UNMERGE_SYSTEM,MATCH(I6,DIFFERENTIATION_ID_DIFF,0)))</f>
        <v>СП "Тепловые сети"</v>
      </c>
      <c r="J9" s="2424"/>
      <c r="K9" s="2423" t="str">
        <f>IF(K6="","",INDEX(DIFFERENTIATION_UNMERGE_SYSTEM,MATCH(K6,DIFFERENTIATION_ID_DIFF,0)))</f>
        <v>ОП "Энергетические сети"</v>
      </c>
      <c r="L9" s="2424"/>
      <c r="M9" s="2423" t="str">
        <f>IF(M6="","",INDEX(DIFFERENTIATION_UNMERGE_SYSTEM,MATCH(M6,DIFFERENTIATION_ID_DIFF,0)))</f>
        <v>без дифференциации</v>
      </c>
      <c r="N9" s="2424"/>
      <c r="O9" s="2423" t="str">
        <f>IF(O6="","",INDEX(DIFFERENTIATION_UNMERGE_SYSTEM,MATCH(O6,DIFFERENTIATION_ID_DIFF,0)))</f>
        <v>без дифференциации</v>
      </c>
      <c r="P9" s="2424"/>
      <c r="Q9" s="2229"/>
      <c r="R9" s="520"/>
      <c r="AD9" s="516">
        <v>11</v>
      </c>
    </row>
    <row s="1646" customFormat="1" customHeight="1" ht="11.549999999999999">
      <c r="A10" s="1032"/>
      <c r="B10" s="522"/>
      <c r="D10" s="2131" t="s">
        <v>314</v>
      </c>
      <c r="E10" s="2132"/>
      <c r="F10" s="2132"/>
      <c r="G10" s="2132"/>
      <c r="H10" s="2132"/>
      <c r="I10" s="2132"/>
      <c r="J10" s="2133"/>
      <c r="K10" s="2299"/>
      <c r="L10" s="2299"/>
      <c r="M10" s="2299"/>
      <c r="N10" s="2299"/>
      <c r="O10" s="2299"/>
      <c r="P10" s="2299"/>
      <c r="Q10" s="2229"/>
      <c r="R10" s="520"/>
      <c r="AD10" s="769">
        <v>11</v>
      </c>
    </row>
    <row s="1646" customFormat="1" customHeight="1" ht="24">
      <c r="A11" s="2415"/>
      <c r="B11" s="2415"/>
      <c r="C11" s="668"/>
      <c r="D11" s="714" t="s">
        <v>89</v>
      </c>
      <c r="E11" s="716" t="s">
        <v>899</v>
      </c>
      <c r="F11" s="716" t="s">
        <v>578</v>
      </c>
      <c r="G11" s="476" t="s">
        <v>317</v>
      </c>
      <c r="H11" s="476" t="s">
        <v>404</v>
      </c>
      <c r="I11" s="818" t="s">
        <v>317</v>
      </c>
      <c r="J11" s="819" t="s">
        <v>404</v>
      </c>
      <c r="K11" s="2342" t="s">
        <v>317</v>
      </c>
      <c r="L11" s="2342" t="s">
        <v>404</v>
      </c>
      <c r="M11" s="2342" t="s">
        <v>317</v>
      </c>
      <c r="N11" s="2342" t="s">
        <v>404</v>
      </c>
      <c r="O11" s="2342" t="s">
        <v>317</v>
      </c>
      <c r="P11" s="2342" t="s">
        <v>404</v>
      </c>
      <c r="Q11" s="2262"/>
      <c r="R11" s="669"/>
      <c r="AD11" s="520">
        <v>23</v>
      </c>
    </row>
    <row s="1653" customFormat="1" customHeight="1" ht="10.5">
      <c r="A12" s="963"/>
      <c r="D12" s="1036" t="s">
        <v>120</v>
      </c>
      <c r="E12" s="1036" t="s">
        <v>104</v>
      </c>
      <c r="F12" s="1036" t="s">
        <v>91</v>
      </c>
      <c r="G12" s="1037" t="str">
        <f>G1&amp;".1"</f>
        <v>4.1</v>
      </c>
      <c r="H12" s="1037" t="str">
        <f>G1&amp;".2"</f>
        <v>4.2</v>
      </c>
      <c r="I12" s="1037" t="str">
        <f>I1&amp;".1"</f>
        <v>4.1</v>
      </c>
      <c r="J12" s="1037" t="str">
        <f>I1&amp;".2"</f>
        <v>4.2</v>
      </c>
      <c r="K12" s="2404" t="str">
        <f>K1&amp;".1"</f>
        <v>3.1</v>
      </c>
      <c r="L12" s="2404" t="str">
        <f>K1&amp;".2"</f>
        <v>3.2</v>
      </c>
      <c r="M12" s="2404" t="str">
        <f>M1&amp;".1"</f>
        <v>4.1</v>
      </c>
      <c r="N12" s="2404" t="str">
        <f>M1&amp;".2"</f>
        <v>4.2</v>
      </c>
      <c r="O12" s="2404" t="str">
        <f>O1&amp;".1"</f>
        <v>4.1</v>
      </c>
      <c r="P12" s="2404" t="str">
        <f>O1&amp;".2"</f>
        <v>4.2</v>
      </c>
      <c r="Q12" s="1037"/>
      <c r="AD12" s="522">
        <v>10</v>
      </c>
    </row>
    <row customHeight="1" ht="22.5">
      <c r="A13" s="2422" t="s">
        <v>900</v>
      </c>
      <c r="D13" s="964" t="s">
        <v>120</v>
      </c>
      <c r="E13" s="290" t="s">
        <v>901</v>
      </c>
      <c r="F13" s="671" t="s">
        <v>902</v>
      </c>
      <c r="G13" s="568"/>
      <c r="H13" s="672"/>
      <c r="I13" s="568">
        <v>0</v>
      </c>
      <c r="J13" s="672"/>
      <c r="K13" s="568">
        <v>0</v>
      </c>
      <c r="L13" s="673"/>
      <c r="M13" s="568">
        <v>0</v>
      </c>
      <c r="N13" s="673"/>
      <c r="O13" s="568">
        <v>0</v>
      </c>
      <c r="P13" s="673"/>
      <c r="Q13" s="300" t="s">
        <v>903</v>
      </c>
      <c r="R13" s="731"/>
      <c r="AD13" s="516">
        <v>0</v>
      </c>
    </row>
    <row customHeight="1" ht="22.5">
      <c r="A14" s="2422"/>
      <c r="D14" s="550" t="s">
        <v>104</v>
      </c>
      <c r="E14" s="290" t="s">
        <v>904</v>
      </c>
      <c r="F14" s="671" t="s">
        <v>905</v>
      </c>
      <c r="G14" s="568"/>
      <c r="H14" s="673"/>
      <c r="I14" s="568">
        <v>0</v>
      </c>
      <c r="J14" s="673"/>
      <c r="K14" s="568">
        <v>0</v>
      </c>
      <c r="L14" s="673"/>
      <c r="M14" s="568">
        <v>0</v>
      </c>
      <c r="N14" s="673"/>
      <c r="O14" s="568">
        <v>0</v>
      </c>
      <c r="P14" s="673"/>
      <c r="Q14" s="300" t="s">
        <v>906</v>
      </c>
      <c r="R14" s="731"/>
      <c r="AD14" s="516">
        <v>0</v>
      </c>
    </row>
    <row s="1646" customFormat="1" customHeight="1" ht="78.75">
      <c r="A15" s="2422"/>
      <c r="B15" s="522"/>
      <c r="D15" s="964" t="s">
        <v>91</v>
      </c>
      <c r="E15" s="718" t="s">
        <v>907</v>
      </c>
      <c r="F15" s="961" t="s">
        <v>320</v>
      </c>
      <c r="G15" s="961" t="s">
        <v>320</v>
      </c>
      <c r="H15" s="117"/>
      <c r="I15" s="961" t="s">
        <v>320</v>
      </c>
      <c r="J15" s="117"/>
      <c r="K15" s="2342" t="s">
        <v>320</v>
      </c>
      <c r="L15" s="2531"/>
      <c r="M15" s="2342" t="s">
        <v>320</v>
      </c>
      <c r="N15" s="2531"/>
      <c r="O15" s="2342" t="s">
        <v>320</v>
      </c>
      <c r="P15" s="2531"/>
      <c r="Q15" s="300" t="s">
        <v>908</v>
      </c>
      <c r="R15" s="731"/>
      <c r="AD15" s="769">
        <v>0</v>
      </c>
    </row>
    <row s="1646" customFormat="1" customHeight="1" ht="22.5">
      <c r="A16" s="2422"/>
      <c r="B16" s="522"/>
      <c r="D16" s="964" t="s">
        <v>338</v>
      </c>
      <c r="E16" s="965" t="s">
        <v>909</v>
      </c>
      <c r="F16" s="961" t="s">
        <v>910</v>
      </c>
      <c r="G16" s="828"/>
      <c r="H16" s="117"/>
      <c r="I16" s="828">
        <v>0</v>
      </c>
      <c r="J16" s="117"/>
      <c r="K16" s="828">
        <v>0</v>
      </c>
      <c r="L16" s="2531"/>
      <c r="M16" s="828">
        <v>0</v>
      </c>
      <c r="N16" s="2531"/>
      <c r="O16" s="828">
        <v>0</v>
      </c>
      <c r="P16" s="2531"/>
      <c r="Q16" s="300"/>
      <c r="R16" s="731"/>
      <c r="AD16" s="769">
        <v>0</v>
      </c>
    </row>
    <row s="1646" customFormat="1" customHeight="1" ht="22.5">
      <c r="A17" s="2422"/>
      <c r="B17" s="522"/>
      <c r="D17" s="964" t="s">
        <v>346</v>
      </c>
      <c r="E17" s="965" t="s">
        <v>911</v>
      </c>
      <c r="F17" s="961" t="s">
        <v>912</v>
      </c>
      <c r="G17" s="828"/>
      <c r="H17" s="117"/>
      <c r="I17" s="828">
        <v>0</v>
      </c>
      <c r="J17" s="117"/>
      <c r="K17" s="828">
        <v>0</v>
      </c>
      <c r="L17" s="2531"/>
      <c r="M17" s="828">
        <v>0</v>
      </c>
      <c r="N17" s="2531"/>
      <c r="O17" s="828">
        <v>0</v>
      </c>
      <c r="P17" s="2531"/>
      <c r="Q17" s="300"/>
      <c r="R17" s="731"/>
      <c r="AD17" s="769">
        <v>0</v>
      </c>
    </row>
    <row s="1646" customFormat="1" customHeight="1" ht="33.75">
      <c r="A18" s="2422"/>
      <c r="B18" s="522"/>
      <c r="D18" s="964" t="s">
        <v>348</v>
      </c>
      <c r="E18" s="965" t="s">
        <v>913</v>
      </c>
      <c r="F18" s="961" t="s">
        <v>595</v>
      </c>
      <c r="G18" s="691"/>
      <c r="H18" s="117"/>
      <c r="I18" s="691">
        <v>0</v>
      </c>
      <c r="J18" s="117"/>
      <c r="K18" s="691">
        <v>0</v>
      </c>
      <c r="L18" s="2531"/>
      <c r="M18" s="691">
        <v>0</v>
      </c>
      <c r="N18" s="2531"/>
      <c r="O18" s="691">
        <v>0</v>
      </c>
      <c r="P18" s="2531"/>
      <c r="Q18" s="300"/>
      <c r="R18" s="731"/>
      <c r="AD18" s="769">
        <v>0</v>
      </c>
    </row>
    <row customHeight="1" ht="101.25">
      <c r="A19" s="2422"/>
      <c r="D19" s="964" t="s">
        <v>92</v>
      </c>
      <c r="E19" s="290" t="s">
        <v>914</v>
      </c>
      <c r="F19" s="671" t="s">
        <v>558</v>
      </c>
      <c r="G19" s="674"/>
      <c r="H19" s="673"/>
      <c r="I19" s="2547" t="s">
        <v>915</v>
      </c>
      <c r="J19" s="673"/>
      <c r="K19" s="2547" t="s">
        <v>915</v>
      </c>
      <c r="L19" s="673"/>
      <c r="M19" s="2547" t="s">
        <v>915</v>
      </c>
      <c r="N19" s="673"/>
      <c r="O19" s="2547" t="s">
        <v>915</v>
      </c>
      <c r="P19" s="673"/>
      <c r="Q19" s="300" t="s">
        <v>916</v>
      </c>
      <c r="R19" s="731"/>
      <c r="AD19" s="516">
        <v>0</v>
      </c>
    </row>
    <row s="1646" customFormat="1" customHeight="1" ht="18.75">
      <c r="A20" s="2422"/>
      <c r="C20" s="967"/>
      <c r="D20" s="964" t="s">
        <v>834</v>
      </c>
      <c r="E20" s="965" t="s">
        <v>917</v>
      </c>
      <c r="F20" s="961" t="s">
        <v>320</v>
      </c>
      <c r="G20" s="961" t="s">
        <v>320</v>
      </c>
      <c r="H20" s="960" t="s">
        <v>320</v>
      </c>
      <c r="I20" s="961" t="s">
        <v>320</v>
      </c>
      <c r="J20" s="960" t="s">
        <v>320</v>
      </c>
      <c r="K20" s="2342" t="s">
        <v>320</v>
      </c>
      <c r="L20" s="2290" t="s">
        <v>320</v>
      </c>
      <c r="M20" s="2342" t="s">
        <v>320</v>
      </c>
      <c r="N20" s="2290" t="s">
        <v>320</v>
      </c>
      <c r="O20" s="2342" t="s">
        <v>320</v>
      </c>
      <c r="P20" s="2290" t="s">
        <v>320</v>
      </c>
      <c r="Q20" s="959"/>
      <c r="R20" s="731"/>
      <c r="AC20" s="686"/>
      <c r="AD20" s="769">
        <v>0</v>
      </c>
    </row>
    <row s="1646" customFormat="1" customHeight="1" ht="33.75">
      <c r="A21" s="2422"/>
      <c r="C21" s="967"/>
      <c r="D21" s="964" t="s">
        <v>837</v>
      </c>
      <c r="E21" s="587" t="s">
        <v>918</v>
      </c>
      <c r="F21" s="961" t="s">
        <v>919</v>
      </c>
      <c r="G21" s="691"/>
      <c r="H21" s="117"/>
      <c r="I21" s="691">
        <v>0.2</v>
      </c>
      <c r="J21" s="117"/>
      <c r="K21" s="691">
        <v>0</v>
      </c>
      <c r="L21" s="2531"/>
      <c r="M21" s="691">
        <v>2.448</v>
      </c>
      <c r="N21" s="2531"/>
      <c r="O21" s="691">
        <v>0.311</v>
      </c>
      <c r="P21" s="2531"/>
      <c r="Q21" s="959"/>
      <c r="R21" s="731"/>
      <c r="AC21" s="686"/>
      <c r="AD21" s="769">
        <v>0</v>
      </c>
    </row>
    <row s="1646" customFormat="1" customHeight="1" ht="33.75">
      <c r="A22" s="2422"/>
      <c r="C22" s="967"/>
      <c r="D22" s="964" t="s">
        <v>840</v>
      </c>
      <c r="E22" s="587" t="s">
        <v>920</v>
      </c>
      <c r="F22" s="961" t="s">
        <v>921</v>
      </c>
      <c r="G22" s="691"/>
      <c r="H22" s="117"/>
      <c r="I22" s="691">
        <v>0</v>
      </c>
      <c r="J22" s="117"/>
      <c r="K22" s="691">
        <v>0</v>
      </c>
      <c r="L22" s="2531"/>
      <c r="M22" s="691">
        <v>0</v>
      </c>
      <c r="N22" s="2531"/>
      <c r="O22" s="691">
        <v>0</v>
      </c>
      <c r="P22" s="2531"/>
      <c r="Q22" s="959"/>
      <c r="R22" s="731"/>
      <c r="AC22" s="686"/>
      <c r="AD22" s="769">
        <v>0</v>
      </c>
    </row>
    <row s="1646" customFormat="1" customHeight="1" ht="22.5">
      <c r="A23" s="2422"/>
      <c r="C23" s="967"/>
      <c r="D23" s="964" t="s">
        <v>878</v>
      </c>
      <c r="E23" s="965" t="s">
        <v>922</v>
      </c>
      <c r="F23" s="961" t="s">
        <v>320</v>
      </c>
      <c r="G23" s="961" t="s">
        <v>320</v>
      </c>
      <c r="H23" s="960" t="s">
        <v>320</v>
      </c>
      <c r="I23" s="961" t="s">
        <v>320</v>
      </c>
      <c r="J23" s="960" t="s">
        <v>320</v>
      </c>
      <c r="K23" s="2342" t="s">
        <v>320</v>
      </c>
      <c r="L23" s="2290" t="s">
        <v>320</v>
      </c>
      <c r="M23" s="2342" t="s">
        <v>320</v>
      </c>
      <c r="N23" s="2290" t="s">
        <v>320</v>
      </c>
      <c r="O23" s="2342" t="s">
        <v>320</v>
      </c>
      <c r="P23" s="2290" t="s">
        <v>320</v>
      </c>
      <c r="Q23" s="959"/>
      <c r="R23" s="731"/>
      <c r="AC23" s="686"/>
      <c r="AD23" s="769">
        <v>0</v>
      </c>
    </row>
    <row s="1646" customFormat="1" customHeight="1" ht="22.5">
      <c r="A24" s="2422"/>
      <c r="C24" s="967"/>
      <c r="D24" s="964" t="s">
        <v>923</v>
      </c>
      <c r="E24" s="587" t="s">
        <v>924</v>
      </c>
      <c r="F24" s="961" t="s">
        <v>925</v>
      </c>
      <c r="G24" s="691"/>
      <c r="H24" s="697"/>
      <c r="I24" s="691">
        <v>0.152499</v>
      </c>
      <c r="J24" s="697"/>
      <c r="K24" s="691">
        <v>0.16491</v>
      </c>
      <c r="L24" s="2383"/>
      <c r="M24" s="691">
        <v>0.175477</v>
      </c>
      <c r="N24" s="2383"/>
      <c r="O24" s="691">
        <v>0.178755</v>
      </c>
      <c r="P24" s="2383"/>
      <c r="Q24" s="959"/>
      <c r="R24" s="731"/>
      <c r="AC24" s="686"/>
      <c r="AD24" s="769">
        <v>0</v>
      </c>
    </row>
    <row s="1646" customFormat="1" customHeight="1" ht="22.5">
      <c r="A25" s="2422"/>
      <c r="C25" s="967"/>
      <c r="D25" s="964" t="s">
        <v>926</v>
      </c>
      <c r="E25" s="587" t="s">
        <v>927</v>
      </c>
      <c r="F25" s="961" t="s">
        <v>320</v>
      </c>
      <c r="G25" s="961" t="s">
        <v>320</v>
      </c>
      <c r="H25" s="960" t="s">
        <v>320</v>
      </c>
      <c r="I25" s="961" t="s">
        <v>320</v>
      </c>
      <c r="J25" s="960" t="s">
        <v>320</v>
      </c>
      <c r="K25" s="2342" t="s">
        <v>320</v>
      </c>
      <c r="L25" s="2290" t="s">
        <v>320</v>
      </c>
      <c r="M25" s="2342" t="s">
        <v>320</v>
      </c>
      <c r="N25" s="2290" t="s">
        <v>320</v>
      </c>
      <c r="O25" s="2342" t="s">
        <v>320</v>
      </c>
      <c r="P25" s="2290" t="s">
        <v>320</v>
      </c>
      <c r="Q25" s="959"/>
      <c r="R25" s="731"/>
      <c r="AC25" s="686"/>
      <c r="AD25" s="769">
        <v>0</v>
      </c>
    </row>
    <row s="1646" customFormat="1" customHeight="1" ht="18.75">
      <c r="A26" s="2422"/>
      <c r="C26" s="967"/>
      <c r="D26" s="964" t="s">
        <v>928</v>
      </c>
      <c r="E26" s="564" t="s">
        <v>929</v>
      </c>
      <c r="F26" s="961" t="s">
        <v>930</v>
      </c>
      <c r="G26" s="691"/>
      <c r="H26" s="697"/>
      <c r="I26" s="691">
        <v>2.871</v>
      </c>
      <c r="J26" s="697"/>
      <c r="K26" s="691">
        <v>2.067</v>
      </c>
      <c r="L26" s="2383"/>
      <c r="M26" s="691">
        <v>3.443</v>
      </c>
      <c r="N26" s="2383"/>
      <c r="O26" s="691">
        <v>2.583</v>
      </c>
      <c r="P26" s="2383"/>
      <c r="Q26" s="959"/>
      <c r="R26" s="731"/>
      <c r="AC26" s="686"/>
      <c r="AD26" s="769">
        <v>0</v>
      </c>
    </row>
    <row s="1646" customFormat="1" customHeight="1" ht="18.75">
      <c r="A27" s="2422"/>
      <c r="C27" s="967"/>
      <c r="D27" s="964" t="s">
        <v>931</v>
      </c>
      <c r="E27" s="564" t="s">
        <v>932</v>
      </c>
      <c r="F27" s="961" t="s">
        <v>933</v>
      </c>
      <c r="G27" s="691"/>
      <c r="H27" s="697"/>
      <c r="I27" s="691">
        <v>9.365</v>
      </c>
      <c r="J27" s="697"/>
      <c r="K27" s="691">
        <v>0.188</v>
      </c>
      <c r="L27" s="2383"/>
      <c r="M27" s="691">
        <v>3.733</v>
      </c>
      <c r="N27" s="2383"/>
      <c r="O27" s="691">
        <v>2.438</v>
      </c>
      <c r="P27" s="2383"/>
      <c r="Q27" s="959"/>
      <c r="R27" s="731"/>
      <c r="AC27" s="686"/>
      <c r="AD27" s="769">
        <v>0</v>
      </c>
    </row>
    <row s="1646" customFormat="1" customHeight="1" ht="18.75">
      <c r="A28" s="2422"/>
      <c r="C28" s="967"/>
      <c r="D28" s="964" t="s">
        <v>934</v>
      </c>
      <c r="E28" s="587" t="s">
        <v>935</v>
      </c>
      <c r="F28" s="961" t="s">
        <v>320</v>
      </c>
      <c r="G28" s="961" t="s">
        <v>320</v>
      </c>
      <c r="H28" s="960" t="s">
        <v>320</v>
      </c>
      <c r="I28" s="961" t="s">
        <v>320</v>
      </c>
      <c r="J28" s="960" t="s">
        <v>320</v>
      </c>
      <c r="K28" s="2342" t="s">
        <v>320</v>
      </c>
      <c r="L28" s="2290" t="s">
        <v>320</v>
      </c>
      <c r="M28" s="2342" t="s">
        <v>320</v>
      </c>
      <c r="N28" s="2290" t="s">
        <v>320</v>
      </c>
      <c r="O28" s="2342" t="s">
        <v>320</v>
      </c>
      <c r="P28" s="2290" t="s">
        <v>320</v>
      </c>
      <c r="Q28" s="959"/>
      <c r="R28" s="731"/>
      <c r="AC28" s="686"/>
      <c r="AD28" s="769">
        <v>0</v>
      </c>
    </row>
    <row s="1646" customFormat="1" customHeight="1" ht="18.75">
      <c r="A29" s="2422"/>
      <c r="C29" s="967"/>
      <c r="D29" s="964" t="s">
        <v>936</v>
      </c>
      <c r="E29" s="564" t="s">
        <v>929</v>
      </c>
      <c r="F29" s="961" t="s">
        <v>937</v>
      </c>
      <c r="G29" s="691"/>
      <c r="H29" s="697"/>
      <c r="I29" s="691">
        <v>466840.995</v>
      </c>
      <c r="J29" s="697"/>
      <c r="K29" s="691">
        <v>35785.59</v>
      </c>
      <c r="L29" s="2383"/>
      <c r="M29" s="691">
        <v>117676.6</v>
      </c>
      <c r="N29" s="2383"/>
      <c r="O29" s="691">
        <v>5555.186</v>
      </c>
      <c r="P29" s="2383"/>
      <c r="Q29" s="959"/>
      <c r="R29" s="731"/>
      <c r="AC29" s="686"/>
      <c r="AD29" s="769">
        <v>0</v>
      </c>
    </row>
    <row s="1646" customFormat="1" customHeight="1" ht="18.75">
      <c r="A30" s="2422"/>
      <c r="C30" s="967"/>
      <c r="D30" s="964" t="s">
        <v>938</v>
      </c>
      <c r="E30" s="564" t="s">
        <v>939</v>
      </c>
      <c r="F30" s="961" t="s">
        <v>940</v>
      </c>
      <c r="G30" s="691"/>
      <c r="H30" s="697"/>
      <c r="I30" s="691">
        <v>1522912.03</v>
      </c>
      <c r="J30" s="697"/>
      <c r="K30" s="691">
        <v>3261.38</v>
      </c>
      <c r="L30" s="2383"/>
      <c r="M30" s="691">
        <v>127573.71</v>
      </c>
      <c r="N30" s="2383"/>
      <c r="O30" s="691">
        <v>5240.576</v>
      </c>
      <c r="P30" s="2383"/>
      <c r="Q30" s="959"/>
      <c r="R30" s="731"/>
      <c r="AC30" s="686"/>
      <c r="AD30" s="769">
        <v>0</v>
      </c>
    </row>
    <row customHeight="1" ht="126.75">
      <c r="A31" s="2422"/>
      <c r="D31" s="964" t="s">
        <v>121</v>
      </c>
      <c r="E31" s="290" t="s">
        <v>941</v>
      </c>
      <c r="F31" s="671" t="s">
        <v>570</v>
      </c>
      <c r="G31" s="568"/>
      <c r="H31" s="673"/>
      <c r="I31" s="568">
        <v>100</v>
      </c>
      <c r="J31" s="673"/>
      <c r="K31" s="568">
        <v>0</v>
      </c>
      <c r="L31" s="673"/>
      <c r="M31" s="568">
        <v>100</v>
      </c>
      <c r="N31" s="673"/>
      <c r="O31" s="568">
        <v>100</v>
      </c>
      <c r="P31" s="673"/>
      <c r="Q31" s="300" t="s">
        <v>942</v>
      </c>
      <c r="R31" s="731"/>
      <c r="AD31" s="516">
        <v>0</v>
      </c>
    </row>
    <row customHeight="1" ht="56.25">
      <c r="A32" s="2422"/>
      <c r="D32" s="964" t="s">
        <v>93</v>
      </c>
      <c r="E32" s="290" t="s">
        <v>943</v>
      </c>
      <c r="F32" s="550" t="s">
        <v>912</v>
      </c>
      <c r="G32" s="568"/>
      <c r="H32" s="673"/>
      <c r="I32" s="568">
        <v>30</v>
      </c>
      <c r="J32" s="673"/>
      <c r="K32" s="568">
        <v>5</v>
      </c>
      <c r="L32" s="673"/>
      <c r="M32" s="568">
        <v>30</v>
      </c>
      <c r="N32" s="673"/>
      <c r="O32" s="568">
        <v>30</v>
      </c>
      <c r="P32" s="673"/>
      <c r="Q32" s="300" t="s">
        <v>944</v>
      </c>
      <c r="R32" s="731"/>
      <c r="AD32" s="516">
        <v>0</v>
      </c>
    </row>
    <row customHeight="1" ht="11.25">
      <c r="A33" s="2422"/>
      <c r="E33" s="675"/>
      <c r="F33" s="192"/>
      <c r="G33" s="192"/>
      <c r="H33" s="192"/>
      <c r="I33" s="192"/>
      <c r="J33" s="192"/>
      <c r="K33" s="1075"/>
      <c r="L33" s="1075"/>
      <c r="M33" s="1075"/>
      <c r="N33" s="1075"/>
      <c r="O33" s="1075"/>
      <c r="P33" s="1075"/>
      <c r="Q33" s="192"/>
      <c r="AD33" s="516">
        <v>0</v>
      </c>
    </row>
    <row customHeight="1" ht="12.75">
      <c r="A34" s="2422"/>
      <c r="D34" s="76">
        <v>1</v>
      </c>
      <c r="E34" s="346" t="s">
        <v>945</v>
      </c>
      <c r="K34" s="1646"/>
      <c r="L34" s="1646"/>
      <c r="M34" s="1646"/>
      <c r="N34" s="1646"/>
      <c r="O34" s="1646"/>
      <c r="P34" s="1646"/>
      <c r="AD34" s="516">
        <v>0</v>
      </c>
    </row>
    <row customHeight="1" ht="11.25">
      <c r="A35" s="2422"/>
      <c r="D35" s="380"/>
      <c r="E35" s="346" t="s">
        <v>946</v>
      </c>
      <c r="K35" s="1646"/>
      <c r="L35" s="1646"/>
      <c r="M35" s="1646"/>
      <c r="N35" s="1646"/>
      <c r="O35" s="1646"/>
      <c r="P35" s="1646"/>
      <c r="AD35" s="516">
        <v>0</v>
      </c>
    </row>
    <row s="1646" customFormat="1" customHeight="1" ht="11.549999999999999">
      <c r="A36" s="1044"/>
      <c r="B36" s="529"/>
      <c r="D36" s="1045"/>
      <c r="E36" s="1046"/>
      <c r="K36" s="1646"/>
      <c r="L36" s="1646"/>
      <c r="M36" s="1646"/>
      <c r="N36" s="1646"/>
      <c r="O36" s="1646"/>
      <c r="P36" s="1646"/>
      <c r="AD36" s="520">
        <v>11</v>
      </c>
    </row>
    <row s="1646" customFormat="1" customHeight="1" ht="22.5" hidden="1">
      <c r="A37" s="2422" t="s">
        <v>947</v>
      </c>
      <c r="B37" s="522"/>
      <c r="D37" s="964">
        <v>1</v>
      </c>
      <c r="E37" s="718" t="s">
        <v>948</v>
      </c>
      <c r="F37" s="671" t="s">
        <v>902</v>
      </c>
      <c r="G37" s="568"/>
      <c r="H37" s="530"/>
      <c r="I37" s="568"/>
      <c r="J37" s="530"/>
      <c r="K37" s="568"/>
      <c r="L37" s="530"/>
      <c r="M37" s="568"/>
      <c r="N37" s="530"/>
      <c r="O37" s="568"/>
      <c r="P37" s="530"/>
      <c r="Q37" s="300" t="s">
        <v>949</v>
      </c>
      <c r="AD37" s="769">
        <v>0</v>
      </c>
    </row>
    <row s="1646" customFormat="1" customHeight="1" ht="22.5" hidden="1">
      <c r="A38" s="2422"/>
      <c r="B38" s="522"/>
      <c r="D38" s="680" t="s">
        <v>104</v>
      </c>
      <c r="E38" s="1043" t="s">
        <v>950</v>
      </c>
      <c r="F38" s="1047" t="s">
        <v>558</v>
      </c>
      <c r="G38" s="1047" t="s">
        <v>558</v>
      </c>
      <c r="H38" s="1041"/>
      <c r="I38" s="1047" t="s">
        <v>558</v>
      </c>
      <c r="J38" s="1041"/>
      <c r="K38" s="1047" t="s">
        <v>558</v>
      </c>
      <c r="L38" s="1041"/>
      <c r="M38" s="1047" t="s">
        <v>558</v>
      </c>
      <c r="N38" s="1041"/>
      <c r="O38" s="1047" t="s">
        <v>558</v>
      </c>
      <c r="P38" s="1041"/>
      <c r="Q38" s="1042"/>
      <c r="AD38" s="769">
        <v>0</v>
      </c>
    </row>
    <row s="1646" customFormat="1" customHeight="1" ht="33.75" hidden="1">
      <c r="A39" s="2422"/>
      <c r="B39" s="522"/>
      <c r="D39" s="676" t="s">
        <v>786</v>
      </c>
      <c r="E39" s="734" t="s">
        <v>951</v>
      </c>
      <c r="F39" s="671" t="s">
        <v>952</v>
      </c>
      <c r="G39" s="679"/>
      <c r="H39" s="1034"/>
      <c r="I39" s="679"/>
      <c r="J39" s="1034"/>
      <c r="K39" s="1180"/>
      <c r="L39" s="1034"/>
      <c r="M39" s="1180"/>
      <c r="N39" s="1034"/>
      <c r="O39" s="1180"/>
      <c r="P39" s="1034"/>
      <c r="Q39" s="300" t="s">
        <v>953</v>
      </c>
      <c r="AD39" s="769">
        <v>0</v>
      </c>
    </row>
    <row s="1646" customFormat="1" customHeight="1" ht="33.75" hidden="1">
      <c r="A40" s="2422"/>
      <c r="B40" s="522"/>
      <c r="D40" s="676" t="s">
        <v>789</v>
      </c>
      <c r="E40" s="734" t="s">
        <v>954</v>
      </c>
      <c r="F40" s="1038" t="s">
        <v>955</v>
      </c>
      <c r="G40" s="752"/>
      <c r="H40" s="1034"/>
      <c r="I40" s="752"/>
      <c r="J40" s="1034"/>
      <c r="K40" s="752"/>
      <c r="L40" s="1034"/>
      <c r="M40" s="752"/>
      <c r="N40" s="1034"/>
      <c r="O40" s="752"/>
      <c r="P40" s="1034"/>
      <c r="Q40" s="300" t="s">
        <v>956</v>
      </c>
      <c r="AD40" s="769">
        <v>0</v>
      </c>
    </row>
    <row s="1646" customFormat="1" customHeight="1" ht="22.5" hidden="1">
      <c r="A41" s="2422"/>
      <c r="B41" s="522"/>
      <c r="D41" s="676" t="s">
        <v>91</v>
      </c>
      <c r="E41" s="733" t="s">
        <v>957</v>
      </c>
      <c r="F41" s="671" t="s">
        <v>558</v>
      </c>
      <c r="G41" s="671" t="s">
        <v>558</v>
      </c>
      <c r="H41" s="1035"/>
      <c r="I41" s="671" t="s">
        <v>558</v>
      </c>
      <c r="J41" s="1035"/>
      <c r="K41" s="2134" t="s">
        <v>558</v>
      </c>
      <c r="L41" s="1035"/>
      <c r="M41" s="2134" t="s">
        <v>558</v>
      </c>
      <c r="N41" s="1035"/>
      <c r="O41" s="2134" t="s">
        <v>558</v>
      </c>
      <c r="P41" s="1035"/>
      <c r="Q41" s="313"/>
      <c r="AD41" s="769">
        <v>0</v>
      </c>
    </row>
    <row s="1646" customFormat="1" customHeight="1" ht="45" hidden="1">
      <c r="A42" s="2422"/>
      <c r="B42" s="522"/>
      <c r="D42" s="676" t="s">
        <v>338</v>
      </c>
      <c r="E42" s="734" t="s">
        <v>958</v>
      </c>
      <c r="F42" s="671" t="s">
        <v>570</v>
      </c>
      <c r="G42" s="568"/>
      <c r="H42" s="1035"/>
      <c r="I42" s="568"/>
      <c r="J42" s="1035"/>
      <c r="K42" s="568"/>
      <c r="L42" s="1035"/>
      <c r="M42" s="568"/>
      <c r="N42" s="1035"/>
      <c r="O42" s="568"/>
      <c r="P42" s="1035"/>
      <c r="Q42" s="313" t="s">
        <v>959</v>
      </c>
      <c r="AD42" s="769">
        <v>0</v>
      </c>
    </row>
    <row s="1646" customFormat="1" customHeight="1" ht="45" hidden="1">
      <c r="A43" s="2422"/>
      <c r="B43" s="522"/>
      <c r="D43" s="676" t="s">
        <v>346</v>
      </c>
      <c r="E43" s="678" t="s">
        <v>960</v>
      </c>
      <c r="F43" s="1039" t="s">
        <v>570</v>
      </c>
      <c r="G43" s="753"/>
      <c r="H43" s="1034"/>
      <c r="I43" s="753"/>
      <c r="J43" s="1034"/>
      <c r="K43" s="753"/>
      <c r="L43" s="1034"/>
      <c r="M43" s="753"/>
      <c r="N43" s="1034"/>
      <c r="O43" s="753"/>
      <c r="P43" s="1034"/>
      <c r="Q43" s="313" t="s">
        <v>961</v>
      </c>
      <c r="AD43" s="769">
        <v>0</v>
      </c>
    </row>
    <row s="1646" customFormat="1" customHeight="1" ht="11.25" hidden="1">
      <c r="A44" s="2422"/>
      <c r="B44" s="522"/>
      <c r="D44" s="676" t="s">
        <v>92</v>
      </c>
      <c r="E44" s="677" t="s">
        <v>962</v>
      </c>
      <c r="F44" s="671" t="s">
        <v>952</v>
      </c>
      <c r="G44" s="679"/>
      <c r="H44" s="1034"/>
      <c r="I44" s="679"/>
      <c r="J44" s="1034"/>
      <c r="K44" s="1180"/>
      <c r="L44" s="1034"/>
      <c r="M44" s="1180"/>
      <c r="N44" s="1034"/>
      <c r="O44" s="1180"/>
      <c r="P44" s="1034"/>
      <c r="Q44" s="300"/>
      <c r="AD44" s="769">
        <v>0</v>
      </c>
    </row>
    <row s="1646" customFormat="1" customHeight="1" ht="11.25" hidden="1">
      <c r="A45" s="2422"/>
      <c r="B45" s="522"/>
      <c r="D45" s="676" t="s">
        <v>834</v>
      </c>
      <c r="E45" s="678" t="s">
        <v>963</v>
      </c>
      <c r="F45" s="671" t="s">
        <v>952</v>
      </c>
      <c r="G45" s="679"/>
      <c r="H45" s="1034"/>
      <c r="I45" s="679"/>
      <c r="J45" s="1034"/>
      <c r="K45" s="1180"/>
      <c r="L45" s="1034"/>
      <c r="M45" s="1180"/>
      <c r="N45" s="1034"/>
      <c r="O45" s="1180"/>
      <c r="P45" s="1034"/>
      <c r="Q45" s="300"/>
      <c r="AD45" s="769">
        <v>0</v>
      </c>
    </row>
    <row s="1646" customFormat="1" customHeight="1" ht="11.25" hidden="1">
      <c r="A46" s="2422"/>
      <c r="B46" s="522"/>
      <c r="D46" s="676" t="s">
        <v>878</v>
      </c>
      <c r="E46" s="678" t="s">
        <v>964</v>
      </c>
      <c r="F46" s="671" t="s">
        <v>952</v>
      </c>
      <c r="G46" s="679"/>
      <c r="H46" s="1034"/>
      <c r="I46" s="679"/>
      <c r="J46" s="1034"/>
      <c r="K46" s="1180"/>
      <c r="L46" s="1034"/>
      <c r="M46" s="1180"/>
      <c r="N46" s="1034"/>
      <c r="O46" s="1180"/>
      <c r="P46" s="1034"/>
      <c r="Q46" s="300"/>
      <c r="AD46" s="769">
        <v>0</v>
      </c>
    </row>
    <row s="1646" customFormat="1" customHeight="1" ht="11.25" hidden="1">
      <c r="A47" s="2422"/>
      <c r="B47" s="522"/>
      <c r="D47" s="676" t="s">
        <v>881</v>
      </c>
      <c r="E47" s="678" t="s">
        <v>965</v>
      </c>
      <c r="F47" s="671" t="s">
        <v>952</v>
      </c>
      <c r="G47" s="679"/>
      <c r="H47" s="1034"/>
      <c r="I47" s="679"/>
      <c r="J47" s="1034"/>
      <c r="K47" s="1180"/>
      <c r="L47" s="1034"/>
      <c r="M47" s="1180"/>
      <c r="N47" s="1034"/>
      <c r="O47" s="1180"/>
      <c r="P47" s="1034"/>
      <c r="Q47" s="300"/>
      <c r="AD47" s="769">
        <v>0</v>
      </c>
    </row>
    <row s="1646" customFormat="1" customHeight="1" ht="11.25" hidden="1">
      <c r="A48" s="2422"/>
      <c r="B48" s="522"/>
      <c r="D48" s="676" t="s">
        <v>966</v>
      </c>
      <c r="E48" s="682" t="s">
        <v>967</v>
      </c>
      <c r="F48" s="671" t="s">
        <v>952</v>
      </c>
      <c r="G48" s="679"/>
      <c r="H48" s="1034"/>
      <c r="I48" s="679"/>
      <c r="J48" s="1034"/>
      <c r="K48" s="1180"/>
      <c r="L48" s="1034"/>
      <c r="M48" s="1180"/>
      <c r="N48" s="1034"/>
      <c r="O48" s="1180"/>
      <c r="P48" s="1034"/>
      <c r="Q48" s="300"/>
      <c r="AD48" s="769">
        <v>0</v>
      </c>
    </row>
    <row s="1646" customFormat="1" customHeight="1" ht="11.25" hidden="1">
      <c r="A49" s="2422"/>
      <c r="B49" s="522"/>
      <c r="D49" s="676" t="s">
        <v>968</v>
      </c>
      <c r="E49" s="682" t="s">
        <v>969</v>
      </c>
      <c r="F49" s="671" t="s">
        <v>952</v>
      </c>
      <c r="G49" s="679"/>
      <c r="H49" s="1034"/>
      <c r="I49" s="679"/>
      <c r="J49" s="1034"/>
      <c r="K49" s="1180"/>
      <c r="L49" s="1034"/>
      <c r="M49" s="1180"/>
      <c r="N49" s="1034"/>
      <c r="O49" s="1180"/>
      <c r="P49" s="1034"/>
      <c r="Q49" s="300"/>
      <c r="AD49" s="769">
        <v>0</v>
      </c>
    </row>
    <row s="1646" customFormat="1" customHeight="1" ht="11.25" hidden="1">
      <c r="A50" s="2422"/>
      <c r="B50" s="522"/>
      <c r="D50" s="676" t="s">
        <v>970</v>
      </c>
      <c r="E50" s="678" t="s">
        <v>971</v>
      </c>
      <c r="F50" s="671" t="s">
        <v>952</v>
      </c>
      <c r="G50" s="679"/>
      <c r="H50" s="1034"/>
      <c r="I50" s="679"/>
      <c r="J50" s="1034"/>
      <c r="K50" s="1180"/>
      <c r="L50" s="1034"/>
      <c r="M50" s="1180"/>
      <c r="N50" s="1034"/>
      <c r="O50" s="1180"/>
      <c r="P50" s="1034"/>
      <c r="Q50" s="300"/>
      <c r="AD50" s="769">
        <v>0</v>
      </c>
    </row>
    <row s="1646" customFormat="1" customHeight="1" ht="11.25" hidden="1">
      <c r="A51" s="2422"/>
      <c r="B51" s="522"/>
      <c r="D51" s="676" t="s">
        <v>972</v>
      </c>
      <c r="E51" s="678" t="s">
        <v>973</v>
      </c>
      <c r="F51" s="671" t="s">
        <v>952</v>
      </c>
      <c r="G51" s="679"/>
      <c r="H51" s="1034"/>
      <c r="I51" s="679"/>
      <c r="J51" s="1034"/>
      <c r="K51" s="1180"/>
      <c r="L51" s="1034"/>
      <c r="M51" s="1180"/>
      <c r="N51" s="1034"/>
      <c r="O51" s="1180"/>
      <c r="P51" s="1034"/>
      <c r="Q51" s="300"/>
      <c r="AD51" s="769">
        <v>0</v>
      </c>
    </row>
    <row s="1646" customFormat="1" customHeight="1" ht="45" hidden="1">
      <c r="A52" s="2422"/>
      <c r="B52" s="522"/>
      <c r="D52" s="676" t="s">
        <v>121</v>
      </c>
      <c r="E52" s="677" t="s">
        <v>974</v>
      </c>
      <c r="F52" s="671" t="s">
        <v>952</v>
      </c>
      <c r="G52" s="679"/>
      <c r="H52" s="1034"/>
      <c r="I52" s="679"/>
      <c r="J52" s="1034"/>
      <c r="K52" s="1180"/>
      <c r="L52" s="1034"/>
      <c r="M52" s="1180"/>
      <c r="N52" s="1034"/>
      <c r="O52" s="1180"/>
      <c r="P52" s="1034"/>
      <c r="Q52" s="300"/>
      <c r="AD52" s="769">
        <v>0</v>
      </c>
    </row>
    <row s="1646" customFormat="1" customHeight="1" ht="11.25" hidden="1">
      <c r="A53" s="2422"/>
      <c r="B53" s="522"/>
      <c r="D53" s="676" t="s">
        <v>327</v>
      </c>
      <c r="E53" s="678" t="s">
        <v>963</v>
      </c>
      <c r="F53" s="671" t="s">
        <v>952</v>
      </c>
      <c r="G53" s="679"/>
      <c r="H53" s="1034"/>
      <c r="I53" s="679"/>
      <c r="J53" s="1034"/>
      <c r="K53" s="1180"/>
      <c r="L53" s="1034"/>
      <c r="M53" s="1180"/>
      <c r="N53" s="1034"/>
      <c r="O53" s="1180"/>
      <c r="P53" s="1034"/>
      <c r="Q53" s="300"/>
      <c r="AD53" s="769">
        <v>0</v>
      </c>
    </row>
    <row s="1646" customFormat="1" customHeight="1" ht="11.25" hidden="1">
      <c r="A54" s="2422"/>
      <c r="B54" s="522"/>
      <c r="D54" s="676" t="s">
        <v>975</v>
      </c>
      <c r="E54" s="678" t="s">
        <v>964</v>
      </c>
      <c r="F54" s="671" t="s">
        <v>952</v>
      </c>
      <c r="G54" s="679"/>
      <c r="H54" s="1034"/>
      <c r="I54" s="679"/>
      <c r="J54" s="1034"/>
      <c r="K54" s="1180"/>
      <c r="L54" s="1034"/>
      <c r="M54" s="1180"/>
      <c r="N54" s="1034"/>
      <c r="O54" s="1180"/>
      <c r="P54" s="1034"/>
      <c r="Q54" s="300"/>
      <c r="AD54" s="769">
        <v>0</v>
      </c>
    </row>
    <row s="1646" customFormat="1" customHeight="1" ht="11.25" hidden="1">
      <c r="A55" s="2422"/>
      <c r="B55" s="522"/>
      <c r="D55" s="676" t="s">
        <v>976</v>
      </c>
      <c r="E55" s="678" t="s">
        <v>965</v>
      </c>
      <c r="F55" s="671" t="s">
        <v>952</v>
      </c>
      <c r="G55" s="679"/>
      <c r="H55" s="1034"/>
      <c r="I55" s="679"/>
      <c r="J55" s="1034"/>
      <c r="K55" s="1180"/>
      <c r="L55" s="1034"/>
      <c r="M55" s="1180"/>
      <c r="N55" s="1034"/>
      <c r="O55" s="1180"/>
      <c r="P55" s="1034"/>
      <c r="Q55" s="300"/>
      <c r="AD55" s="769">
        <v>0</v>
      </c>
    </row>
    <row s="1646" customFormat="1" customHeight="1" ht="11.25" hidden="1">
      <c r="A56" s="2422"/>
      <c r="B56" s="522"/>
      <c r="D56" s="676" t="s">
        <v>977</v>
      </c>
      <c r="E56" s="682" t="s">
        <v>967</v>
      </c>
      <c r="F56" s="671" t="s">
        <v>952</v>
      </c>
      <c r="G56" s="679"/>
      <c r="H56" s="1034"/>
      <c r="I56" s="679"/>
      <c r="J56" s="1034"/>
      <c r="K56" s="1180"/>
      <c r="L56" s="1034"/>
      <c r="M56" s="1180"/>
      <c r="N56" s="1034"/>
      <c r="O56" s="1180"/>
      <c r="P56" s="1034"/>
      <c r="Q56" s="300"/>
      <c r="AD56" s="769">
        <v>0</v>
      </c>
    </row>
    <row s="1646" customFormat="1" customHeight="1" ht="11.25" hidden="1">
      <c r="A57" s="2422"/>
      <c r="B57" s="522"/>
      <c r="D57" s="676" t="s">
        <v>978</v>
      </c>
      <c r="E57" s="682" t="s">
        <v>969</v>
      </c>
      <c r="F57" s="671" t="s">
        <v>952</v>
      </c>
      <c r="G57" s="679"/>
      <c r="H57" s="1034"/>
      <c r="I57" s="679"/>
      <c r="J57" s="1034"/>
      <c r="K57" s="1180"/>
      <c r="L57" s="1034"/>
      <c r="M57" s="1180"/>
      <c r="N57" s="1034"/>
      <c r="O57" s="1180"/>
      <c r="P57" s="1034"/>
      <c r="Q57" s="300"/>
      <c r="AD57" s="769">
        <v>0</v>
      </c>
    </row>
    <row s="1646" customFormat="1" customHeight="1" ht="11.25" hidden="1">
      <c r="A58" s="2422"/>
      <c r="B58" s="522"/>
      <c r="D58" s="676" t="s">
        <v>979</v>
      </c>
      <c r="E58" s="678" t="s">
        <v>971</v>
      </c>
      <c r="F58" s="671" t="s">
        <v>952</v>
      </c>
      <c r="G58" s="679"/>
      <c r="H58" s="1034"/>
      <c r="I58" s="679"/>
      <c r="J58" s="1034"/>
      <c r="K58" s="1180"/>
      <c r="L58" s="1034"/>
      <c r="M58" s="1180"/>
      <c r="N58" s="1034"/>
      <c r="O58" s="1180"/>
      <c r="P58" s="1034"/>
      <c r="Q58" s="300"/>
      <c r="AD58" s="769">
        <v>0</v>
      </c>
    </row>
    <row s="1646" customFormat="1" customHeight="1" ht="11.25" hidden="1">
      <c r="A59" s="2422"/>
      <c r="B59" s="522"/>
      <c r="D59" s="676" t="s">
        <v>980</v>
      </c>
      <c r="E59" s="678" t="s">
        <v>973</v>
      </c>
      <c r="F59" s="671" t="s">
        <v>952</v>
      </c>
      <c r="G59" s="679"/>
      <c r="H59" s="1034"/>
      <c r="I59" s="679"/>
      <c r="J59" s="1034"/>
      <c r="K59" s="1180"/>
      <c r="L59" s="1034"/>
      <c r="M59" s="1180"/>
      <c r="N59" s="1034"/>
      <c r="O59" s="1180"/>
      <c r="P59" s="1034"/>
      <c r="Q59" s="300"/>
      <c r="AD59" s="769">
        <v>0</v>
      </c>
    </row>
    <row s="1646" customFormat="1" customHeight="1" ht="33.75" hidden="1">
      <c r="A60" s="2422"/>
      <c r="B60" s="522"/>
      <c r="D60" s="676" t="s">
        <v>93</v>
      </c>
      <c r="E60" s="677" t="s">
        <v>981</v>
      </c>
      <c r="F60" s="732" t="s">
        <v>570</v>
      </c>
      <c r="G60" s="753"/>
      <c r="H60" s="1034"/>
      <c r="I60" s="753"/>
      <c r="J60" s="1034"/>
      <c r="K60" s="753"/>
      <c r="L60" s="1034"/>
      <c r="M60" s="753"/>
      <c r="N60" s="1034"/>
      <c r="O60" s="753"/>
      <c r="P60" s="1034"/>
      <c r="Q60" s="313" t="s">
        <v>982</v>
      </c>
      <c r="AD60" s="769">
        <v>0</v>
      </c>
    </row>
    <row s="1646" customFormat="1" customHeight="1" ht="33.75" hidden="1">
      <c r="A61" s="2422"/>
      <c r="B61" s="522"/>
      <c r="D61" s="676" t="s">
        <v>94</v>
      </c>
      <c r="E61" s="677" t="s">
        <v>983</v>
      </c>
      <c r="F61" s="737" t="s">
        <v>912</v>
      </c>
      <c r="G61" s="679"/>
      <c r="H61" s="1034"/>
      <c r="I61" s="679"/>
      <c r="J61" s="1034"/>
      <c r="K61" s="1180"/>
      <c r="L61" s="1034"/>
      <c r="M61" s="1180"/>
      <c r="N61" s="1034"/>
      <c r="O61" s="1180"/>
      <c r="P61" s="1034"/>
      <c r="Q61" s="300"/>
      <c r="AD61" s="769">
        <v>0</v>
      </c>
    </row>
    <row s="1646" customFormat="1" customHeight="1" ht="22.5" hidden="1">
      <c r="A62" s="2422"/>
      <c r="B62" s="522" t="s">
        <v>606</v>
      </c>
      <c r="D62" s="676" t="s">
        <v>122</v>
      </c>
      <c r="E62" s="677" t="s">
        <v>984</v>
      </c>
      <c r="F62" s="737" t="s">
        <v>320</v>
      </c>
      <c r="G62" s="393"/>
      <c r="H62" s="1034"/>
      <c r="I62" s="393"/>
      <c r="J62" s="1034"/>
      <c r="K62" s="1175"/>
      <c r="L62" s="1034"/>
      <c r="M62" s="1175"/>
      <c r="N62" s="1034"/>
      <c r="O62" s="1175"/>
      <c r="P62" s="1034"/>
      <c r="Q62" s="300" t="s">
        <v>706</v>
      </c>
      <c r="AD62" s="769">
        <v>0</v>
      </c>
    </row>
    <row s="1646" customFormat="1" customHeight="1" ht="45" hidden="1">
      <c r="A63" s="2422"/>
      <c r="B63" s="522" t="s">
        <v>606</v>
      </c>
      <c r="D63" s="676" t="s">
        <v>985</v>
      </c>
      <c r="E63" s="678" t="s">
        <v>986</v>
      </c>
      <c r="F63" s="732" t="s">
        <v>320</v>
      </c>
      <c r="G63" s="393"/>
      <c r="H63" s="1034"/>
      <c r="I63" s="393"/>
      <c r="J63" s="1034"/>
      <c r="K63" s="1175"/>
      <c r="L63" s="1034"/>
      <c r="M63" s="1175"/>
      <c r="N63" s="1034"/>
      <c r="O63" s="1175"/>
      <c r="P63" s="1034"/>
      <c r="Q63" s="300" t="s">
        <v>706</v>
      </c>
      <c r="AD63" s="769">
        <v>0</v>
      </c>
    </row>
    <row s="1646" customFormat="1" customHeight="1" ht="11.549999999999999">
      <c r="A64" s="1044"/>
      <c r="B64" s="529"/>
      <c r="D64" s="1045"/>
      <c r="E64" s="1046"/>
      <c r="K64" s="1646"/>
      <c r="L64" s="1646"/>
      <c r="M64" s="1646"/>
      <c r="N64" s="1646"/>
      <c r="O64" s="1646"/>
      <c r="P64" s="1646"/>
      <c r="AD64" s="520">
        <v>11</v>
      </c>
    </row>
    <row s="1646" customFormat="1" customHeight="1" ht="22.5" hidden="1">
      <c r="A65" s="2422" t="s">
        <v>987</v>
      </c>
      <c r="B65" s="522"/>
      <c r="D65" s="676">
        <v>1</v>
      </c>
      <c r="E65" s="755" t="s">
        <v>988</v>
      </c>
      <c r="F65" s="751" t="s">
        <v>902</v>
      </c>
      <c r="G65" s="752"/>
      <c r="H65" s="1040"/>
      <c r="I65" s="752"/>
      <c r="J65" s="1040"/>
      <c r="K65" s="752"/>
      <c r="L65" s="1040"/>
      <c r="M65" s="752"/>
      <c r="N65" s="1040"/>
      <c r="O65" s="752"/>
      <c r="P65" s="1040"/>
      <c r="Q65" s="312" t="s">
        <v>989</v>
      </c>
      <c r="AD65" s="769">
        <v>0</v>
      </c>
    </row>
    <row s="1646" customFormat="1" customHeight="1" ht="56.25" hidden="1">
      <c r="A66" s="2422"/>
      <c r="B66" s="522"/>
      <c r="D66" s="754" t="s">
        <v>104</v>
      </c>
      <c r="E66" s="718" t="s">
        <v>990</v>
      </c>
      <c r="F66" s="671" t="s">
        <v>558</v>
      </c>
      <c r="G66" s="671" t="s">
        <v>558</v>
      </c>
      <c r="H66" s="530"/>
      <c r="I66" s="671" t="s">
        <v>558</v>
      </c>
      <c r="J66" s="530"/>
      <c r="K66" s="2134" t="s">
        <v>558</v>
      </c>
      <c r="L66" s="530"/>
      <c r="M66" s="2134" t="s">
        <v>558</v>
      </c>
      <c r="N66" s="530"/>
      <c r="O66" s="2134" t="s">
        <v>558</v>
      </c>
      <c r="P66" s="530"/>
      <c r="Q66" s="300"/>
      <c r="AD66" s="769">
        <v>0</v>
      </c>
    </row>
    <row s="1646" customFormat="1" customHeight="1" ht="33.75" hidden="1">
      <c r="A67" s="2422"/>
      <c r="B67" s="522"/>
      <c r="D67" s="754" t="s">
        <v>783</v>
      </c>
      <c r="E67" s="965" t="s">
        <v>991</v>
      </c>
      <c r="F67" s="671" t="s">
        <v>955</v>
      </c>
      <c r="G67" s="738"/>
      <c r="H67" s="530"/>
      <c r="I67" s="738"/>
      <c r="J67" s="530"/>
      <c r="K67" s="738"/>
      <c r="L67" s="530"/>
      <c r="M67" s="738"/>
      <c r="N67" s="530"/>
      <c r="O67" s="738"/>
      <c r="P67" s="530"/>
      <c r="Q67" s="300"/>
      <c r="AD67" s="769">
        <v>0</v>
      </c>
    </row>
    <row s="1646" customFormat="1" customHeight="1" ht="22.5" hidden="1">
      <c r="A68" s="2422"/>
      <c r="B68" s="522"/>
      <c r="D68" s="754" t="s">
        <v>321</v>
      </c>
      <c r="E68" s="965" t="s">
        <v>992</v>
      </c>
      <c r="F68" s="671" t="s">
        <v>955</v>
      </c>
      <c r="G68" s="738"/>
      <c r="H68" s="530"/>
      <c r="I68" s="738"/>
      <c r="J68" s="530"/>
      <c r="K68" s="738"/>
      <c r="L68" s="530"/>
      <c r="M68" s="738"/>
      <c r="N68" s="530"/>
      <c r="O68" s="738"/>
      <c r="P68" s="530"/>
      <c r="Q68" s="300"/>
      <c r="AD68" s="769">
        <v>0</v>
      </c>
    </row>
    <row s="1646" customFormat="1" customHeight="1" ht="22.5" hidden="1">
      <c r="A69" s="2422"/>
      <c r="B69" s="522"/>
      <c r="D69" s="754" t="s">
        <v>324</v>
      </c>
      <c r="E69" s="965" t="s">
        <v>993</v>
      </c>
      <c r="F69" s="732" t="s">
        <v>570</v>
      </c>
      <c r="G69" s="753"/>
      <c r="H69" s="530"/>
      <c r="I69" s="753"/>
      <c r="J69" s="530"/>
      <c r="K69" s="753"/>
      <c r="L69" s="530"/>
      <c r="M69" s="753"/>
      <c r="N69" s="530"/>
      <c r="O69" s="753"/>
      <c r="P69" s="530"/>
      <c r="Q69" s="300"/>
      <c r="AD69" s="769">
        <v>0</v>
      </c>
    </row>
    <row s="1646" customFormat="1" customHeight="1" ht="22.5" hidden="1">
      <c r="A70" s="2422"/>
      <c r="B70" s="522"/>
      <c r="D70" s="754" t="s">
        <v>803</v>
      </c>
      <c r="E70" s="965" t="s">
        <v>994</v>
      </c>
      <c r="F70" s="732" t="s">
        <v>570</v>
      </c>
      <c r="G70" s="753"/>
      <c r="H70" s="530"/>
      <c r="I70" s="753"/>
      <c r="J70" s="530"/>
      <c r="K70" s="753"/>
      <c r="L70" s="530"/>
      <c r="M70" s="753"/>
      <c r="N70" s="530"/>
      <c r="O70" s="753"/>
      <c r="P70" s="530"/>
      <c r="Q70" s="300"/>
      <c r="AD70" s="769">
        <v>0</v>
      </c>
    </row>
    <row s="1646" customFormat="1" customHeight="1" ht="22.5" hidden="1">
      <c r="A71" s="2422"/>
      <c r="B71" s="522"/>
      <c r="D71" s="676" t="s">
        <v>91</v>
      </c>
      <c r="E71" s="677" t="s">
        <v>995</v>
      </c>
      <c r="F71" s="671" t="s">
        <v>955</v>
      </c>
      <c r="G71" s="568"/>
      <c r="H71" s="1041"/>
      <c r="I71" s="568"/>
      <c r="J71" s="1041"/>
      <c r="K71" s="568"/>
      <c r="L71" s="1041"/>
      <c r="M71" s="568"/>
      <c r="N71" s="1041"/>
      <c r="O71" s="568"/>
      <c r="P71" s="1041"/>
      <c r="Q71" s="313"/>
      <c r="AD71" s="769">
        <v>0</v>
      </c>
    </row>
    <row s="1646" customFormat="1" customHeight="1" ht="56.25" hidden="1">
      <c r="A72" s="2422"/>
      <c r="B72" s="522"/>
      <c r="D72" s="676" t="s">
        <v>92</v>
      </c>
      <c r="E72" s="677" t="s">
        <v>996</v>
      </c>
      <c r="F72" s="732" t="s">
        <v>570</v>
      </c>
      <c r="G72" s="753"/>
      <c r="H72" s="1034"/>
      <c r="I72" s="753"/>
      <c r="J72" s="1034"/>
      <c r="K72" s="753"/>
      <c r="L72" s="1034"/>
      <c r="M72" s="753"/>
      <c r="N72" s="1034"/>
      <c r="O72" s="753"/>
      <c r="P72" s="1034"/>
      <c r="Q72" s="313"/>
      <c r="AD72" s="769">
        <v>0</v>
      </c>
    </row>
    <row s="1646" customFormat="1" customHeight="1" ht="33.75" hidden="1">
      <c r="A73" s="2422"/>
      <c r="B73" s="522"/>
      <c r="D73" s="676" t="s">
        <v>121</v>
      </c>
      <c r="E73" s="677" t="s">
        <v>997</v>
      </c>
      <c r="F73" s="737" t="s">
        <v>912</v>
      </c>
      <c r="G73" s="679"/>
      <c r="H73" s="1034"/>
      <c r="I73" s="679"/>
      <c r="J73" s="1034"/>
      <c r="K73" s="1180"/>
      <c r="L73" s="1034"/>
      <c r="M73" s="1180"/>
      <c r="N73" s="1034"/>
      <c r="O73" s="1180"/>
      <c r="P73" s="1034"/>
      <c r="Q73" s="300"/>
      <c r="AD73" s="769">
        <v>0</v>
      </c>
    </row>
    <row s="1646" customFormat="1" customHeight="1" ht="22.5" hidden="1">
      <c r="A74" s="2422"/>
      <c r="B74" s="522" t="s">
        <v>606</v>
      </c>
      <c r="D74" s="676" t="s">
        <v>93</v>
      </c>
      <c r="E74" s="677" t="s">
        <v>998</v>
      </c>
      <c r="F74" s="737" t="s">
        <v>320</v>
      </c>
      <c r="G74" s="393"/>
      <c r="H74" s="1034"/>
      <c r="I74" s="393"/>
      <c r="J74" s="1034"/>
      <c r="K74" s="1175"/>
      <c r="L74" s="1034"/>
      <c r="M74" s="1175"/>
      <c r="N74" s="1034"/>
      <c r="O74" s="1175"/>
      <c r="P74" s="1034"/>
      <c r="Q74" s="300" t="s">
        <v>706</v>
      </c>
      <c r="AD74" s="769">
        <v>0</v>
      </c>
    </row>
    <row s="1646" customFormat="1" customHeight="1" ht="45" hidden="1">
      <c r="A75" s="2422"/>
      <c r="B75" s="522" t="s">
        <v>606</v>
      </c>
      <c r="D75" s="676" t="s">
        <v>727</v>
      </c>
      <c r="E75" s="678" t="s">
        <v>999</v>
      </c>
      <c r="F75" s="732" t="s">
        <v>320</v>
      </c>
      <c r="G75" s="393"/>
      <c r="H75" s="1034"/>
      <c r="I75" s="393"/>
      <c r="J75" s="1034"/>
      <c r="K75" s="1175"/>
      <c r="L75" s="1034"/>
      <c r="M75" s="1175"/>
      <c r="N75" s="1034"/>
      <c r="O75" s="1175"/>
      <c r="P75" s="1034"/>
      <c r="Q75" s="300" t="s">
        <v>706</v>
      </c>
      <c r="AD75" s="769">
        <v>0</v>
      </c>
    </row>
    <row s="1646" customFormat="1" customHeight="1" ht="11.549999999999999">
      <c r="A76" s="1044"/>
      <c r="B76" s="529"/>
      <c r="D76" s="1045"/>
      <c r="E76" s="1046"/>
      <c r="K76" s="1646"/>
      <c r="L76" s="1646"/>
      <c r="M76" s="1646"/>
      <c r="N76" s="1646"/>
      <c r="O76" s="1646"/>
      <c r="P76" s="1646"/>
      <c r="AD76" s="520">
        <v>11</v>
      </c>
    </row>
    <row s="1646" customFormat="1" customHeight="1" ht="11.25" hidden="1">
      <c r="A77" s="2422" t="s">
        <v>1000</v>
      </c>
      <c r="B77" s="522"/>
      <c r="D77" s="676">
        <v>1</v>
      </c>
      <c r="E77" s="677" t="s">
        <v>1001</v>
      </c>
      <c r="F77" s="732" t="s">
        <v>902</v>
      </c>
      <c r="G77" s="735"/>
      <c r="H77" s="1034"/>
      <c r="I77" s="735"/>
      <c r="J77" s="1034"/>
      <c r="K77" s="735"/>
      <c r="L77" s="1034"/>
      <c r="M77" s="735"/>
      <c r="N77" s="1034"/>
      <c r="O77" s="735"/>
      <c r="P77" s="1034"/>
      <c r="Q77" s="300" t="s">
        <v>1002</v>
      </c>
      <c r="AD77" s="769">
        <v>0</v>
      </c>
    </row>
    <row s="1646" customFormat="1" customHeight="1" ht="11.25" hidden="1">
      <c r="A78" s="2422"/>
      <c r="B78" s="522"/>
      <c r="D78" s="676" t="s">
        <v>104</v>
      </c>
      <c r="E78" s="677" t="s">
        <v>1003</v>
      </c>
      <c r="F78" s="732" t="s">
        <v>902</v>
      </c>
      <c r="G78" s="735"/>
      <c r="H78" s="1034"/>
      <c r="I78" s="735"/>
      <c r="J78" s="1034"/>
      <c r="K78" s="735"/>
      <c r="L78" s="1034"/>
      <c r="M78" s="735"/>
      <c r="N78" s="1034"/>
      <c r="O78" s="735"/>
      <c r="P78" s="1034"/>
      <c r="Q78" s="300" t="s">
        <v>1004</v>
      </c>
      <c r="AD78" s="769">
        <v>0</v>
      </c>
    </row>
    <row s="1646" customFormat="1" customHeight="1" ht="22.5" hidden="1">
      <c r="A79" s="2422"/>
      <c r="B79" s="522"/>
      <c r="D79" s="676" t="s">
        <v>91</v>
      </c>
      <c r="E79" s="733" t="s">
        <v>1005</v>
      </c>
      <c r="F79" s="671" t="s">
        <v>952</v>
      </c>
      <c r="G79" s="735"/>
      <c r="H79" s="1034"/>
      <c r="I79" s="735"/>
      <c r="J79" s="1034"/>
      <c r="K79" s="735"/>
      <c r="L79" s="1034"/>
      <c r="M79" s="735"/>
      <c r="N79" s="1034"/>
      <c r="O79" s="735"/>
      <c r="P79" s="1034"/>
      <c r="Q79" s="300" t="s">
        <v>1006</v>
      </c>
      <c r="AD79" s="769">
        <v>0</v>
      </c>
    </row>
    <row s="1646" customFormat="1" customHeight="1" ht="11.25" hidden="1">
      <c r="A80" s="2422"/>
      <c r="B80" s="522"/>
      <c r="D80" s="676" t="s">
        <v>338</v>
      </c>
      <c r="E80" s="734" t="s">
        <v>1007</v>
      </c>
      <c r="F80" s="671" t="s">
        <v>952</v>
      </c>
      <c r="G80" s="735"/>
      <c r="H80" s="1034"/>
      <c r="I80" s="735"/>
      <c r="J80" s="1034"/>
      <c r="K80" s="735"/>
      <c r="L80" s="1034"/>
      <c r="M80" s="735"/>
      <c r="N80" s="1034"/>
      <c r="O80" s="735"/>
      <c r="P80" s="1034"/>
      <c r="Q80" s="300"/>
      <c r="AD80" s="769">
        <v>0</v>
      </c>
    </row>
    <row s="1646" customFormat="1" customHeight="1" ht="11.25" hidden="1">
      <c r="A81" s="2422"/>
      <c r="B81" s="522"/>
      <c r="D81" s="676" t="s">
        <v>346</v>
      </c>
      <c r="E81" s="734" t="s">
        <v>1008</v>
      </c>
      <c r="F81" s="671" t="s">
        <v>952</v>
      </c>
      <c r="G81" s="735"/>
      <c r="H81" s="1034"/>
      <c r="I81" s="735"/>
      <c r="J81" s="1034"/>
      <c r="K81" s="735"/>
      <c r="L81" s="1034"/>
      <c r="M81" s="735"/>
      <c r="N81" s="1034"/>
      <c r="O81" s="735"/>
      <c r="P81" s="1034"/>
      <c r="Q81" s="300"/>
      <c r="AD81" s="769">
        <v>0</v>
      </c>
    </row>
    <row s="1646" customFormat="1" customHeight="1" ht="11.25" hidden="1">
      <c r="A82" s="2422"/>
      <c r="B82" s="522"/>
      <c r="D82" s="676" t="s">
        <v>348</v>
      </c>
      <c r="E82" s="734" t="s">
        <v>1009</v>
      </c>
      <c r="F82" s="671" t="s">
        <v>952</v>
      </c>
      <c r="G82" s="735"/>
      <c r="H82" s="1034"/>
      <c r="I82" s="735"/>
      <c r="J82" s="1034"/>
      <c r="K82" s="735"/>
      <c r="L82" s="1034"/>
      <c r="M82" s="735"/>
      <c r="N82" s="1034"/>
      <c r="O82" s="735"/>
      <c r="P82" s="1034"/>
      <c r="Q82" s="300"/>
      <c r="AD82" s="769">
        <v>0</v>
      </c>
    </row>
    <row s="1646" customFormat="1" customHeight="1" ht="11.25" hidden="1">
      <c r="A83" s="2422"/>
      <c r="B83" s="522"/>
      <c r="D83" s="676" t="s">
        <v>350</v>
      </c>
      <c r="E83" s="734" t="s">
        <v>1010</v>
      </c>
      <c r="F83" s="671" t="s">
        <v>952</v>
      </c>
      <c r="G83" s="735"/>
      <c r="H83" s="1034"/>
      <c r="I83" s="735"/>
      <c r="J83" s="1034"/>
      <c r="K83" s="735"/>
      <c r="L83" s="1034"/>
      <c r="M83" s="735"/>
      <c r="N83" s="1034"/>
      <c r="O83" s="735"/>
      <c r="P83" s="1034"/>
      <c r="Q83" s="300"/>
      <c r="AD83" s="769">
        <v>0</v>
      </c>
    </row>
    <row s="1646" customFormat="1" customHeight="1" ht="11.25" hidden="1">
      <c r="A84" s="2422"/>
      <c r="B84" s="522"/>
      <c r="D84" s="676" t="s">
        <v>1011</v>
      </c>
      <c r="E84" s="734" t="s">
        <v>1012</v>
      </c>
      <c r="F84" s="671" t="s">
        <v>952</v>
      </c>
      <c r="G84" s="735"/>
      <c r="H84" s="1034"/>
      <c r="I84" s="735"/>
      <c r="J84" s="1034"/>
      <c r="K84" s="735"/>
      <c r="L84" s="1034"/>
      <c r="M84" s="735"/>
      <c r="N84" s="1034"/>
      <c r="O84" s="735"/>
      <c r="P84" s="1034"/>
      <c r="Q84" s="300"/>
      <c r="AD84" s="769">
        <v>0</v>
      </c>
    </row>
    <row s="1646" customFormat="1" customHeight="1" ht="11.25" hidden="1">
      <c r="A85" s="2422"/>
      <c r="B85" s="522"/>
      <c r="D85" s="676" t="s">
        <v>1013</v>
      </c>
      <c r="E85" s="734" t="s">
        <v>1014</v>
      </c>
      <c r="F85" s="671" t="s">
        <v>952</v>
      </c>
      <c r="G85" s="735"/>
      <c r="H85" s="1034"/>
      <c r="I85" s="735"/>
      <c r="J85" s="1034"/>
      <c r="K85" s="735"/>
      <c r="L85" s="1034"/>
      <c r="M85" s="735"/>
      <c r="N85" s="1034"/>
      <c r="O85" s="735"/>
      <c r="P85" s="1034"/>
      <c r="Q85" s="300"/>
      <c r="AD85" s="769">
        <v>0</v>
      </c>
    </row>
    <row s="1646" customFormat="1" customHeight="1" ht="11.25" hidden="1">
      <c r="A86" s="2422"/>
      <c r="B86" s="522"/>
      <c r="D86" s="676" t="s">
        <v>1015</v>
      </c>
      <c r="E86" s="734" t="s">
        <v>1016</v>
      </c>
      <c r="F86" s="671" t="s">
        <v>952</v>
      </c>
      <c r="G86" s="735"/>
      <c r="H86" s="1034"/>
      <c r="I86" s="735"/>
      <c r="J86" s="1034"/>
      <c r="K86" s="735"/>
      <c r="L86" s="1034"/>
      <c r="M86" s="735"/>
      <c r="N86" s="1034"/>
      <c r="O86" s="735"/>
      <c r="P86" s="1034"/>
      <c r="Q86" s="300"/>
      <c r="AD86" s="769">
        <v>0</v>
      </c>
    </row>
    <row s="1646" customFormat="1" customHeight="1" ht="45" hidden="1">
      <c r="A87" s="2422"/>
      <c r="B87" s="522"/>
      <c r="D87" s="676" t="s">
        <v>92</v>
      </c>
      <c r="E87" s="677" t="s">
        <v>1017</v>
      </c>
      <c r="F87" s="671" t="s">
        <v>952</v>
      </c>
      <c r="G87" s="735"/>
      <c r="H87" s="1034"/>
      <c r="I87" s="735"/>
      <c r="J87" s="1034"/>
      <c r="K87" s="735"/>
      <c r="L87" s="1034"/>
      <c r="M87" s="735"/>
      <c r="N87" s="1034"/>
      <c r="O87" s="735"/>
      <c r="P87" s="1034"/>
      <c r="Q87" s="300" t="s">
        <v>1018</v>
      </c>
      <c r="AD87" s="769">
        <v>0</v>
      </c>
    </row>
    <row s="1646" customFormat="1" customHeight="1" ht="11.25" hidden="1">
      <c r="A88" s="2422"/>
      <c r="B88" s="522"/>
      <c r="D88" s="676" t="s">
        <v>834</v>
      </c>
      <c r="E88" s="734" t="s">
        <v>1007</v>
      </c>
      <c r="F88" s="671" t="s">
        <v>952</v>
      </c>
      <c r="G88" s="735"/>
      <c r="H88" s="1034"/>
      <c r="I88" s="735"/>
      <c r="J88" s="1034"/>
      <c r="K88" s="735"/>
      <c r="L88" s="1034"/>
      <c r="M88" s="735"/>
      <c r="N88" s="1034"/>
      <c r="O88" s="735"/>
      <c r="P88" s="1034"/>
      <c r="Q88" s="300"/>
      <c r="AD88" s="769">
        <v>0</v>
      </c>
    </row>
    <row s="1646" customFormat="1" customHeight="1" ht="11.25" hidden="1">
      <c r="A89" s="2422"/>
      <c r="B89" s="522"/>
      <c r="D89" s="676" t="s">
        <v>878</v>
      </c>
      <c r="E89" s="734" t="s">
        <v>1008</v>
      </c>
      <c r="F89" s="671" t="s">
        <v>952</v>
      </c>
      <c r="G89" s="735"/>
      <c r="H89" s="1034"/>
      <c r="I89" s="735"/>
      <c r="J89" s="1034"/>
      <c r="K89" s="735"/>
      <c r="L89" s="1034"/>
      <c r="M89" s="735"/>
      <c r="N89" s="1034"/>
      <c r="O89" s="735"/>
      <c r="P89" s="1034"/>
      <c r="Q89" s="300"/>
      <c r="AD89" s="769">
        <v>0</v>
      </c>
    </row>
    <row s="1646" customFormat="1" customHeight="1" ht="11.25" hidden="1">
      <c r="A90" s="2422"/>
      <c r="B90" s="522"/>
      <c r="D90" s="676" t="s">
        <v>881</v>
      </c>
      <c r="E90" s="734" t="s">
        <v>1009</v>
      </c>
      <c r="F90" s="671" t="s">
        <v>952</v>
      </c>
      <c r="G90" s="735"/>
      <c r="H90" s="1034"/>
      <c r="I90" s="735"/>
      <c r="J90" s="1034"/>
      <c r="K90" s="735"/>
      <c r="L90" s="1034"/>
      <c r="M90" s="735"/>
      <c r="N90" s="1034"/>
      <c r="O90" s="735"/>
      <c r="P90" s="1034"/>
      <c r="Q90" s="300"/>
      <c r="AD90" s="769">
        <v>0</v>
      </c>
    </row>
    <row s="1646" customFormat="1" customHeight="1" ht="11.25" hidden="1">
      <c r="A91" s="2422"/>
      <c r="B91" s="522"/>
      <c r="D91" s="676" t="s">
        <v>970</v>
      </c>
      <c r="E91" s="734" t="s">
        <v>1010</v>
      </c>
      <c r="F91" s="671" t="s">
        <v>952</v>
      </c>
      <c r="G91" s="735"/>
      <c r="H91" s="1034"/>
      <c r="I91" s="735"/>
      <c r="J91" s="1034"/>
      <c r="K91" s="735"/>
      <c r="L91" s="1034"/>
      <c r="M91" s="735"/>
      <c r="N91" s="1034"/>
      <c r="O91" s="735"/>
      <c r="P91" s="1034"/>
      <c r="Q91" s="300"/>
      <c r="AD91" s="769">
        <v>0</v>
      </c>
    </row>
    <row s="1646" customFormat="1" customHeight="1" ht="11.25" hidden="1">
      <c r="A92" s="2422"/>
      <c r="B92" s="522"/>
      <c r="D92" s="676" t="s">
        <v>972</v>
      </c>
      <c r="E92" s="734" t="s">
        <v>1012</v>
      </c>
      <c r="F92" s="671" t="s">
        <v>952</v>
      </c>
      <c r="G92" s="735"/>
      <c r="H92" s="1034"/>
      <c r="I92" s="735"/>
      <c r="J92" s="1034"/>
      <c r="K92" s="735"/>
      <c r="L92" s="1034"/>
      <c r="M92" s="735"/>
      <c r="N92" s="1034"/>
      <c r="O92" s="735"/>
      <c r="P92" s="1034"/>
      <c r="Q92" s="300"/>
      <c r="AD92" s="769">
        <v>0</v>
      </c>
    </row>
    <row s="1646" customFormat="1" customHeight="1" ht="11.25" hidden="1">
      <c r="A93" s="2422"/>
      <c r="B93" s="522"/>
      <c r="D93" s="676" t="s">
        <v>1019</v>
      </c>
      <c r="E93" s="734" t="s">
        <v>1014</v>
      </c>
      <c r="F93" s="671" t="s">
        <v>952</v>
      </c>
      <c r="G93" s="735"/>
      <c r="H93" s="1034"/>
      <c r="I93" s="735"/>
      <c r="J93" s="1034"/>
      <c r="K93" s="735"/>
      <c r="L93" s="1034"/>
      <c r="M93" s="735"/>
      <c r="N93" s="1034"/>
      <c r="O93" s="735"/>
      <c r="P93" s="1034"/>
      <c r="Q93" s="300"/>
      <c r="AD93" s="769">
        <v>0</v>
      </c>
    </row>
    <row s="1646" customFormat="1" customHeight="1" ht="11.25" hidden="1">
      <c r="A94" s="2422"/>
      <c r="B94" s="522"/>
      <c r="D94" s="676" t="s">
        <v>1020</v>
      </c>
      <c r="E94" s="734" t="s">
        <v>1016</v>
      </c>
      <c r="F94" s="671" t="s">
        <v>952</v>
      </c>
      <c r="G94" s="735"/>
      <c r="H94" s="1034"/>
      <c r="I94" s="735"/>
      <c r="J94" s="1034"/>
      <c r="K94" s="735"/>
      <c r="L94" s="1034"/>
      <c r="M94" s="735"/>
      <c r="N94" s="1034"/>
      <c r="O94" s="735"/>
      <c r="P94" s="1034"/>
      <c r="Q94" s="300"/>
      <c r="AD94" s="769">
        <v>0</v>
      </c>
    </row>
    <row s="1646" customFormat="1" customHeight="1" ht="24.75" hidden="1">
      <c r="A95" s="2422"/>
      <c r="B95" s="522"/>
      <c r="D95" s="676" t="s">
        <v>121</v>
      </c>
      <c r="E95" s="677" t="s">
        <v>1021</v>
      </c>
      <c r="F95" s="736" t="s">
        <v>570</v>
      </c>
      <c r="G95" s="738"/>
      <c r="H95" s="1034"/>
      <c r="I95" s="738"/>
      <c r="J95" s="1034"/>
      <c r="K95" s="738"/>
      <c r="L95" s="1034"/>
      <c r="M95" s="738"/>
      <c r="N95" s="1034"/>
      <c r="O95" s="738"/>
      <c r="P95" s="1034"/>
      <c r="Q95" s="300" t="s">
        <v>1022</v>
      </c>
      <c r="AD95" s="769">
        <v>0</v>
      </c>
    </row>
    <row s="1646" customFormat="1" customHeight="1" ht="33.75" hidden="1">
      <c r="A96" s="2422"/>
      <c r="B96" s="522"/>
      <c r="D96" s="676" t="s">
        <v>93</v>
      </c>
      <c r="E96" s="677" t="s">
        <v>1023</v>
      </c>
      <c r="F96" s="737" t="s">
        <v>912</v>
      </c>
      <c r="G96" s="739"/>
      <c r="H96" s="1034"/>
      <c r="I96" s="739"/>
      <c r="J96" s="1034"/>
      <c r="K96" s="739"/>
      <c r="L96" s="1034"/>
      <c r="M96" s="739"/>
      <c r="N96" s="1034"/>
      <c r="O96" s="739"/>
      <c r="P96" s="1034"/>
      <c r="Q96" s="300"/>
      <c r="AD96" s="769">
        <v>0</v>
      </c>
    </row>
    <row s="1646" customFormat="1" customHeight="1" ht="22.5" hidden="1">
      <c r="A97" s="2422"/>
      <c r="B97" s="522" t="s">
        <v>606</v>
      </c>
      <c r="D97" s="676" t="s">
        <v>94</v>
      </c>
      <c r="E97" s="677" t="s">
        <v>1024</v>
      </c>
      <c r="F97" s="737" t="s">
        <v>320</v>
      </c>
      <c r="G97" s="396"/>
      <c r="H97" s="1034"/>
      <c r="I97" s="396"/>
      <c r="J97" s="1034"/>
      <c r="K97" s="396"/>
      <c r="L97" s="1034"/>
      <c r="M97" s="396"/>
      <c r="N97" s="1034"/>
      <c r="O97" s="396"/>
      <c r="P97" s="1034"/>
      <c r="Q97" s="300" t="s">
        <v>706</v>
      </c>
      <c r="AD97" s="769">
        <v>0</v>
      </c>
    </row>
    <row s="1646" customFormat="1" customHeight="1" ht="45" hidden="1">
      <c r="A98" s="2422"/>
      <c r="B98" s="522" t="s">
        <v>606</v>
      </c>
      <c r="D98" s="676" t="s">
        <v>890</v>
      </c>
      <c r="E98" s="678" t="s">
        <v>1025</v>
      </c>
      <c r="F98" s="732" t="s">
        <v>320</v>
      </c>
      <c r="G98" s="396"/>
      <c r="H98" s="1034"/>
      <c r="I98" s="396"/>
      <c r="J98" s="1034"/>
      <c r="K98" s="396"/>
      <c r="L98" s="1034"/>
      <c r="M98" s="396"/>
      <c r="N98" s="1034"/>
      <c r="O98" s="396"/>
      <c r="P98" s="1034"/>
      <c r="Q98" s="300" t="s">
        <v>706</v>
      </c>
      <c r="AD98" s="769">
        <v>0</v>
      </c>
    </row>
    <row s="1646" customFormat="1" customHeight="1" ht="95.25" hidden="1">
      <c r="A99" s="2422"/>
      <c r="B99" s="522" t="s">
        <v>606</v>
      </c>
      <c r="D99" s="676" t="s">
        <v>122</v>
      </c>
      <c r="E99" s="677" t="s">
        <v>1026</v>
      </c>
      <c r="F99" s="732" t="s">
        <v>320</v>
      </c>
      <c r="G99" s="396"/>
      <c r="H99" s="1034"/>
      <c r="I99" s="396"/>
      <c r="J99" s="1034"/>
      <c r="K99" s="396"/>
      <c r="L99" s="1034"/>
      <c r="M99" s="396"/>
      <c r="N99" s="1034"/>
      <c r="O99" s="396"/>
      <c r="P99" s="1034"/>
      <c r="Q99" s="300" t="s">
        <v>706</v>
      </c>
      <c r="AD99" s="769">
        <v>0</v>
      </c>
    </row>
    <row s="1646" customFormat="1" customHeight="1" ht="22.5" hidden="1">
      <c r="A100" s="2422"/>
      <c r="B100" s="522" t="s">
        <v>606</v>
      </c>
      <c r="D100" s="676" t="s">
        <v>164</v>
      </c>
      <c r="E100" s="677" t="s">
        <v>1027</v>
      </c>
      <c r="F100" s="732" t="s">
        <v>320</v>
      </c>
      <c r="G100" s="396"/>
      <c r="H100" s="1034"/>
      <c r="I100" s="396"/>
      <c r="J100" s="1034"/>
      <c r="K100" s="396"/>
      <c r="L100" s="1034"/>
      <c r="M100" s="396"/>
      <c r="N100" s="1034"/>
      <c r="O100" s="396"/>
      <c r="P100" s="1034"/>
      <c r="Q100" s="300" t="s">
        <v>706</v>
      </c>
      <c r="AD100" s="769">
        <v>0</v>
      </c>
    </row>
    <row s="1646" customFormat="1" customHeight="1" ht="11.549999999999999">
      <c r="A101" s="1044"/>
      <c r="B101" s="529"/>
      <c r="D101" s="1045"/>
      <c r="E101" s="1046"/>
      <c r="K101" s="1646"/>
      <c r="L101" s="1646"/>
      <c r="M101" s="1646"/>
      <c r="N101" s="1646"/>
      <c r="O101" s="1646"/>
      <c r="P101" s="1646"/>
      <c r="AD101" s="520">
        <v>11</v>
      </c>
    </row>
    <row customHeight="1" ht="22.5" hidden="1">
      <c r="A102" s="547" t="s">
        <v>83</v>
      </c>
      <c r="B102" s="522">
        <v>0</v>
      </c>
      <c r="C102" s="516">
        <v>3</v>
      </c>
      <c r="D102" s="516">
        <v>7</v>
      </c>
      <c r="E102" s="516">
        <v>69</v>
      </c>
      <c r="F102" s="516">
        <v>10</v>
      </c>
      <c r="G102" s="516">
        <v>0</v>
      </c>
      <c r="H102" s="516">
        <v>0</v>
      </c>
      <c r="I102" s="769">
        <v>43</v>
      </c>
      <c r="J102" s="769">
        <v>43</v>
      </c>
      <c r="K102" s="1646">
        <v>0</v>
      </c>
      <c r="L102" s="1646">
        <v>0</v>
      </c>
      <c r="M102" s="1646">
        <v>0</v>
      </c>
      <c r="N102" s="1646">
        <v>0</v>
      </c>
      <c r="O102" s="1646">
        <v>0</v>
      </c>
      <c r="P102" s="1646">
        <v>0</v>
      </c>
      <c r="Q102" s="516">
        <v>73</v>
      </c>
      <c r="R102" s="516">
        <v>3</v>
      </c>
      <c r="S102" s="516">
        <v>10</v>
      </c>
      <c r="T102" s="516">
        <v>10</v>
      </c>
      <c r="U102" s="516">
        <v>10</v>
      </c>
      <c r="V102" s="516">
        <v>10</v>
      </c>
      <c r="W102" s="516">
        <v>10</v>
      </c>
      <c r="X102" s="516">
        <v>10</v>
      </c>
      <c r="Y102" s="516">
        <v>10</v>
      </c>
      <c r="Z102" s="516">
        <v>10</v>
      </c>
      <c r="AA102" s="516">
        <v>10</v>
      </c>
      <c r="AB102" s="516">
        <v>10</v>
      </c>
      <c r="AC102" s="516">
        <v>10</v>
      </c>
      <c r="AD102" s="516">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974C8-A5C1-8498-3568-334550238204}" mc:Ignorable="x14ac xr xr2 xr3">
  <sheetPr>
    <tabColor rgb="FFCCCCFF"/>
  </sheetPr>
  <dimension ref="A1:AM22"/>
  <sheetViews>
    <sheetView showGridLines="0" zoomScale="90" workbookViewId="0">
      <pane xSplit="4" ySplit="12" topLeftCell="F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81" width="8.00390625" customWidth="1"/>
    <col min="15" max="20" style="1635" width="9.140625" hidden="1"/>
    <col min="21" max="24" style="1277" width="9.140625" hidden="1"/>
    <col min="25" max="37" style="1381" width="9.140625" hidden="1"/>
    <col min="38" max="38" style="1381" width="8.00390625" customWidth="1"/>
    <col min="39" max="39" style="1861" width="9.140625" hidden="1"/>
  </cols>
  <sheetData>
    <row customHeight="1" ht="11.25" hidden="1">
      <c r="AM1" s="594" t="s">
        <v>14</v>
      </c>
    </row>
    <row customHeight="1" ht="11.25" hidden="1">
      <c r="AM2" s="594">
        <v>0</v>
      </c>
    </row>
    <row customHeight="1" ht="11.549999999999999">
      <c r="AM3" s="594">
        <v>11</v>
      </c>
    </row>
    <row customHeight="1" ht="35.699999999999996">
      <c r="A4" s="596"/>
      <c r="B4" s="596"/>
      <c r="D4" s="214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50"/>
      <c r="F4" s="2150"/>
      <c r="G4" s="2150"/>
      <c r="H4" s="2150"/>
      <c r="I4" s="2151"/>
      <c r="J4" s="595"/>
      <c r="K4" s="595"/>
      <c r="L4" s="595"/>
      <c r="M4" s="595"/>
      <c r="AM4" s="594">
        <v>34</v>
      </c>
    </row>
    <row s="600" customFormat="1" customHeight="1" ht="14.699999999999998">
      <c r="A5" s="596"/>
      <c r="B5" s="596"/>
      <c r="C5" s="596"/>
      <c r="D5" s="2152" t="str">
        <f>IF(org=0,"Не определено",org)</f>
        <v>ПАО "КГК"</v>
      </c>
      <c r="E5" s="2153"/>
      <c r="F5" s="2153"/>
      <c r="G5" s="2153"/>
      <c r="H5" s="2153"/>
      <c r="I5" s="2154"/>
      <c r="J5" s="597"/>
      <c r="K5" s="597"/>
      <c r="L5" s="597"/>
      <c r="M5" s="597"/>
      <c r="N5" s="597"/>
      <c r="O5" s="881"/>
      <c r="P5" s="881"/>
      <c r="Q5" s="881"/>
      <c r="R5" s="881"/>
      <c r="S5" s="881"/>
      <c r="T5" s="881"/>
      <c r="U5" s="1272"/>
      <c r="V5" s="1272"/>
      <c r="W5" s="1272"/>
      <c r="X5" s="1272"/>
      <c r="Y5" s="597"/>
      <c r="Z5" s="597"/>
      <c r="AA5" s="597"/>
      <c r="AB5" s="597"/>
      <c r="AC5" s="597"/>
      <c r="AD5" s="597"/>
      <c r="AE5" s="597"/>
      <c r="AF5" s="597"/>
      <c r="AG5" s="597"/>
      <c r="AH5" s="597"/>
      <c r="AI5" s="597"/>
      <c r="AJ5" s="597"/>
      <c r="AK5" s="597"/>
      <c r="AL5" s="597"/>
      <c r="AM5" s="598">
        <v>14</v>
      </c>
    </row>
    <row s="600" customFormat="1" customHeight="1" ht="6.3">
      <c r="A6" s="2155"/>
      <c r="B6" s="2155"/>
      <c r="C6" s="2155"/>
      <c r="D6" s="2155"/>
      <c r="E6" s="2155"/>
      <c r="F6" s="2155"/>
      <c r="G6" s="599"/>
      <c r="H6" s="599"/>
      <c r="I6" s="599"/>
      <c r="J6" s="599"/>
      <c r="K6" s="599"/>
      <c r="N6" s="601"/>
      <c r="O6" s="1425"/>
      <c r="P6" s="1425"/>
      <c r="Q6" s="1425"/>
      <c r="R6" s="1425"/>
      <c r="S6" s="1425"/>
      <c r="T6" s="1425"/>
      <c r="U6" s="1275"/>
      <c r="V6" s="1275"/>
      <c r="W6" s="1275"/>
      <c r="X6" s="1275"/>
      <c r="Y6" s="601"/>
      <c r="Z6" s="601"/>
      <c r="AA6" s="601"/>
      <c r="AB6" s="601"/>
      <c r="AC6" s="601"/>
      <c r="AD6" s="601"/>
      <c r="AE6" s="601"/>
      <c r="AF6" s="601"/>
      <c r="AG6" s="601"/>
      <c r="AH6" s="601"/>
      <c r="AI6" s="601"/>
      <c r="AJ6" s="601"/>
      <c r="AK6" s="601"/>
      <c r="AL6" s="601"/>
      <c r="AM6" s="600">
        <v>6</v>
      </c>
    </row>
    <row customHeight="1" ht="45.75" hidden="1">
      <c r="E7" s="21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61"/>
      <c r="G7" s="2161"/>
      <c r="H7" s="2161"/>
      <c r="I7" s="2161"/>
      <c r="J7" s="2161"/>
      <c r="K7" s="2161"/>
      <c r="L7" s="2161"/>
      <c r="M7" s="2161"/>
      <c r="AM7" s="594">
        <v>0</v>
      </c>
    </row>
    <row s="600" customFormat="1" customHeight="1" ht="6.3">
      <c r="A8" s="602"/>
      <c r="B8" s="602"/>
      <c r="C8" s="602"/>
      <c r="D8" s="602"/>
      <c r="E8" s="602"/>
      <c r="F8" s="602"/>
      <c r="G8" s="602"/>
      <c r="H8" s="602"/>
      <c r="I8" s="602"/>
      <c r="J8" s="602"/>
      <c r="K8" s="602"/>
      <c r="L8" s="602"/>
      <c r="M8" s="600"/>
      <c r="N8" s="597"/>
      <c r="O8" s="881"/>
      <c r="P8" s="881"/>
      <c r="Q8" s="881"/>
      <c r="R8" s="881"/>
      <c r="S8" s="881"/>
      <c r="T8" s="881"/>
      <c r="U8" s="1272"/>
      <c r="V8" s="1272"/>
      <c r="W8" s="1272"/>
      <c r="X8" s="1272"/>
      <c r="Y8" s="597"/>
      <c r="Z8" s="597"/>
      <c r="AA8" s="597"/>
      <c r="AB8" s="597"/>
      <c r="AC8" s="597"/>
      <c r="AD8" s="597"/>
      <c r="AE8" s="597"/>
      <c r="AF8" s="597"/>
      <c r="AG8" s="597"/>
      <c r="AH8" s="597"/>
      <c r="AI8" s="597"/>
      <c r="AJ8" s="597"/>
      <c r="AK8" s="597"/>
      <c r="AL8" s="597"/>
      <c r="AM8" s="598">
        <v>6</v>
      </c>
    </row>
    <row customHeight="1" ht="18.75">
      <c r="A9" s="2156"/>
      <c r="B9" s="334"/>
      <c r="C9" s="334"/>
      <c r="D9" s="2157" t="s">
        <v>116</v>
      </c>
      <c r="E9" s="2157"/>
      <c r="F9" s="2158" t="s">
        <v>117</v>
      </c>
      <c r="G9" s="2159"/>
      <c r="H9" s="2159"/>
      <c r="I9" s="2159"/>
      <c r="J9" s="2162" t="s">
        <v>118</v>
      </c>
      <c r="K9" s="2162"/>
      <c r="L9" s="2162"/>
      <c r="M9" s="2162"/>
      <c r="AM9" s="594">
        <v>18</v>
      </c>
    </row>
    <row customHeight="1" ht="24">
      <c r="A10" s="2156"/>
      <c r="B10" s="603"/>
      <c r="C10" s="536"/>
      <c r="D10" s="534" t="s">
        <v>89</v>
      </c>
      <c r="E10" s="534" t="s">
        <v>90</v>
      </c>
      <c r="F10" s="534" t="s">
        <v>119</v>
      </c>
      <c r="G10" s="2163" t="s">
        <v>89</v>
      </c>
      <c r="H10" s="2164"/>
      <c r="I10" s="534" t="s">
        <v>90</v>
      </c>
      <c r="J10" s="534" t="s">
        <v>119</v>
      </c>
      <c r="K10" s="2163" t="s">
        <v>89</v>
      </c>
      <c r="L10" s="2164"/>
      <c r="M10" s="534" t="s">
        <v>90</v>
      </c>
      <c r="N10" s="1638"/>
      <c r="AM10" s="594">
        <v>23</v>
      </c>
    </row>
    <row s="1861" customFormat="1" customHeight="1" ht="11.25" hidden="1">
      <c r="A11" s="604"/>
      <c r="B11" s="604"/>
      <c r="C11" s="604"/>
      <c r="D11" s="605" t="s">
        <v>120</v>
      </c>
      <c r="E11" s="605" t="s">
        <v>104</v>
      </c>
      <c r="F11" s="605" t="s">
        <v>91</v>
      </c>
      <c r="G11" s="2145" t="s">
        <v>92</v>
      </c>
      <c r="H11" s="2146"/>
      <c r="I11" s="605" t="s">
        <v>121</v>
      </c>
      <c r="J11" s="605" t="s">
        <v>93</v>
      </c>
      <c r="K11" s="2147" t="s">
        <v>94</v>
      </c>
      <c r="L11" s="2148"/>
      <c r="M11" s="605" t="s">
        <v>122</v>
      </c>
      <c r="N11" s="1637"/>
      <c r="O11" s="1424"/>
      <c r="P11" s="1426"/>
      <c r="Q11" s="1426"/>
      <c r="R11" s="1426"/>
      <c r="S11" s="1426"/>
      <c r="T11" s="1426"/>
      <c r="U11" s="1276"/>
      <c r="V11" s="1276"/>
      <c r="W11" s="1276"/>
      <c r="X11" s="1276"/>
      <c r="Y11" s="606"/>
      <c r="Z11" s="606"/>
      <c r="AA11" s="606"/>
      <c r="AB11" s="606"/>
      <c r="AC11" s="606"/>
      <c r="AD11" s="606"/>
      <c r="AE11" s="606"/>
      <c r="AF11" s="606"/>
      <c r="AG11" s="606"/>
      <c r="AH11" s="606"/>
      <c r="AI11" s="606"/>
      <c r="AJ11" s="606"/>
      <c r="AK11" s="606"/>
      <c r="AL11" s="606"/>
      <c r="AM11" s="607">
        <v>0</v>
      </c>
    </row>
    <row customHeight="1" ht="1.05">
      <c r="A12" s="608"/>
      <c r="B12" s="609"/>
      <c r="C12" s="609"/>
      <c r="D12" s="610"/>
      <c r="E12" s="378"/>
      <c r="F12" s="611"/>
      <c r="G12" s="1070"/>
      <c r="H12" s="1070"/>
      <c r="I12" s="611"/>
      <c r="J12" s="611"/>
      <c r="K12" s="185"/>
      <c r="L12" s="378"/>
      <c r="M12" s="612"/>
      <c r="N12" s="1638"/>
      <c r="O12" s="1424" t="s">
        <v>123</v>
      </c>
      <c r="P12" s="1424" t="s">
        <v>124</v>
      </c>
      <c r="Q12" s="1424" t="s">
        <v>125</v>
      </c>
      <c r="R12" s="1424" t="s">
        <v>126</v>
      </c>
      <c r="AM12" s="594">
        <v>1</v>
      </c>
    </row>
    <row s="1861" customFormat="1" customHeight="1" ht="15.75">
      <c r="A13" s="304"/>
      <c r="B13" s="304"/>
      <c r="C13" s="537"/>
      <c r="D13" s="2138" t="s">
        <v>120</v>
      </c>
      <c r="E13" s="2139"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"&amp;INDEX(VD_NAME_LIST,MATCH("4190072",VD_ID_LIST,0))&amp;"; "&amp;INDEX(VD_NAME_LIST,MATCH("4190073",VD_ID_LIST,0))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F13" s="2142" t="s">
        <v>63</v>
      </c>
      <c r="G13" s="2143"/>
      <c r="H13" s="2144">
        <v>1</v>
      </c>
      <c r="I13" s="2135" t="str">
        <f>IF(U13="","",INDEX(TERRITORY_MR_LIST,MATCH(U13,TERRITORY_LIST_ID,0)))</f>
        <v>Территория 1</v>
      </c>
      <c r="J13" s="2137" t="s">
        <v>63</v>
      </c>
      <c r="K13" s="613"/>
      <c r="L13" s="538" t="s">
        <v>120</v>
      </c>
      <c r="M13" s="2664" t="s">
        <v>127</v>
      </c>
      <c r="N13" s="823"/>
      <c r="O13" s="1427" t="s">
        <v>128</v>
      </c>
      <c r="P13" s="1424"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3" s="1424" t="str">
        <f>IF($F$13="нет","без дифференциации",$I$13)</f>
        <v>Территория 1</v>
      </c>
      <c r="R13" s="1424" t="str">
        <f>IF($J$13="нет","без дифференциации",M13)</f>
        <v>СП "Тепловые сети"</v>
      </c>
      <c r="S13" s="1427"/>
      <c r="T13" s="1427"/>
      <c r="U13" s="1277" t="s">
        <v>99</v>
      </c>
      <c r="V13" s="1277" t="s">
        <v>129</v>
      </c>
      <c r="W13" s="1277"/>
      <c r="X13" s="1277"/>
      <c r="Y13" s="615" t="s">
        <v>130</v>
      </c>
      <c r="Z13" s="615">
        <v>1705000</v>
      </c>
      <c r="AA13" s="615"/>
      <c r="AB13" s="615"/>
      <c r="AC13" s="615"/>
      <c r="AD13" s="615"/>
      <c r="AE13" s="615"/>
      <c r="AF13" s="615"/>
      <c r="AG13" s="615"/>
      <c r="AH13" s="615"/>
      <c r="AI13" s="615"/>
      <c r="AJ13" s="615"/>
      <c r="AK13" s="615"/>
      <c r="AL13" s="615"/>
      <c r="AM13" s="617">
        <v>15</v>
      </c>
    </row>
    <row customHeight="1" ht="15">
      <c r="A14" s="434"/>
      <c r="B14" s="434"/>
      <c r="C14" s="187"/>
      <c r="D14" s="1831"/>
      <c r="E14" s="1831"/>
      <c r="F14" s="1831"/>
      <c r="G14" s="1831"/>
      <c r="H14" s="1831"/>
      <c r="I14" s="1831"/>
      <c r="J14" s="1831"/>
      <c r="K14" s="1809" t="s">
        <v>105</v>
      </c>
      <c r="L14" s="1739" t="s">
        <v>104</v>
      </c>
      <c r="M14" s="822" t="s">
        <v>131</v>
      </c>
      <c r="N14" s="823"/>
      <c r="O14" s="615" t="s">
        <v>132</v>
      </c>
      <c r="P14" s="615"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4" s="615" t="str">
        <f>IF($F$13="нет","без дифференциации",$I$13)</f>
        <v>Территория 1</v>
      </c>
      <c r="R14" s="615" t="str">
        <f>IF($J$14="нет","без дифференциации",$M$14)</f>
        <v>ОП "Энергетические сети"</v>
      </c>
      <c r="S14" s="615"/>
      <c r="T14" s="615"/>
      <c r="U14" s="616"/>
      <c r="V14" s="615"/>
      <c r="W14" s="615"/>
      <c r="X14" s="606"/>
      <c r="Y14" s="606" t="s">
        <v>130</v>
      </c>
      <c r="Z14" s="606">
        <v>1705000</v>
      </c>
      <c r="AA14" s="606"/>
      <c r="AB14" s="606"/>
      <c r="AC14" s="606"/>
      <c r="AD14" s="606"/>
      <c r="AE14" s="606"/>
      <c r="AF14" s="606"/>
      <c r="AG14" s="606"/>
      <c r="AH14" s="606"/>
      <c r="AI14" s="606"/>
      <c r="AJ14" s="606"/>
      <c r="AK14" s="606"/>
      <c r="AL14" s="606"/>
      <c r="AM14" s="1861"/>
    </row>
    <row s="1861" customFormat="1" customHeight="1" ht="15.75">
      <c r="A15" s="304"/>
      <c r="B15" s="304"/>
      <c r="C15" s="187"/>
      <c r="D15" s="2138"/>
      <c r="E15" s="2140"/>
      <c r="F15" s="2137"/>
      <c r="G15" s="2143"/>
      <c r="H15" s="2144"/>
      <c r="I15" s="2136"/>
      <c r="J15" s="2137"/>
      <c r="K15" s="432"/>
      <c r="L15" s="188"/>
      <c r="M15" s="618" t="s">
        <v>133</v>
      </c>
      <c r="N15" s="823"/>
      <c r="O15" s="1427"/>
      <c r="P15" s="1424"/>
      <c r="Q15" s="1424"/>
      <c r="R15" s="1424"/>
      <c r="S15" s="1427"/>
      <c r="T15" s="1427"/>
      <c r="U15" s="1277"/>
      <c r="V15" s="1277"/>
      <c r="W15" s="1277"/>
      <c r="X15" s="1277"/>
      <c r="Y15" s="615"/>
      <c r="Z15" s="615"/>
      <c r="AA15" s="615"/>
      <c r="AB15" s="615"/>
      <c r="AC15" s="615"/>
      <c r="AD15" s="615"/>
      <c r="AE15" s="615"/>
      <c r="AF15" s="615"/>
      <c r="AG15" s="615"/>
      <c r="AH15" s="615"/>
      <c r="AI15" s="615"/>
      <c r="AJ15" s="615"/>
      <c r="AK15" s="615"/>
      <c r="AL15" s="615"/>
      <c r="AM15" s="617">
        <v>15</v>
      </c>
    </row>
    <row customHeight="1" ht="15">
      <c r="A16" s="434"/>
      <c r="B16" s="434"/>
      <c r="C16" s="187"/>
      <c r="D16" s="1831"/>
      <c r="E16" s="1831"/>
      <c r="F16" s="1831"/>
      <c r="G16" s="2591" t="s">
        <v>105</v>
      </c>
      <c r="H16" s="2133" t="s">
        <v>104</v>
      </c>
      <c r="I16" s="2592" t="str">
        <f>IF(U16="","",INDEX(TERRITORY_MR_LIST,MATCH(U16,TERRITORY_LIST_ID,0)))</f>
        <v>Территория 2</v>
      </c>
      <c r="J16" s="2137" t="s">
        <v>19</v>
      </c>
      <c r="K16" s="843"/>
      <c r="L16" s="1792" t="s">
        <v>120</v>
      </c>
      <c r="M16" s="614"/>
      <c r="N16" s="615"/>
      <c r="O16" s="615" t="s">
        <v>134</v>
      </c>
      <c r="P16" s="615"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6" s="615" t="str">
        <f>IF($F$16="нет","без дифференциации",$I$16)</f>
        <v>Территория 2</v>
      </c>
      <c r="R16" s="615" t="str">
        <f>IF($J$16="нет","без дифференциации",$M$16)</f>
        <v>без дифференциации</v>
      </c>
      <c r="S16" s="615"/>
      <c r="T16" s="615"/>
      <c r="U16" s="616" t="s">
        <v>106</v>
      </c>
      <c r="V16" s="615"/>
      <c r="W16" s="615"/>
      <c r="X16" s="606"/>
      <c r="Y16" s="606" t="s">
        <v>130</v>
      </c>
      <c r="Z16" s="606">
        <v>1705000</v>
      </c>
      <c r="AA16" s="606"/>
      <c r="AB16" s="606"/>
      <c r="AC16" s="606"/>
      <c r="AD16" s="606"/>
      <c r="AE16" s="606"/>
      <c r="AF16" s="606"/>
      <c r="AG16" s="606"/>
      <c r="AH16" s="606"/>
      <c r="AI16" s="606"/>
      <c r="AJ16" s="606"/>
      <c r="AK16" s="606"/>
      <c r="AL16" s="606"/>
      <c r="AM16" s="1861"/>
    </row>
    <row customHeight="1" ht="15">
      <c r="A17" s="434"/>
      <c r="B17" s="434"/>
      <c r="C17" s="187"/>
      <c r="D17" s="1831"/>
      <c r="E17" s="1831"/>
      <c r="F17" s="1831"/>
      <c r="G17" s="2591"/>
      <c r="H17" s="2133"/>
      <c r="I17" s="2592"/>
      <c r="J17" s="2137"/>
      <c r="K17" s="432"/>
      <c r="L17" s="188"/>
      <c r="M17" s="618" t="s">
        <v>133</v>
      </c>
      <c r="N17" s="615"/>
      <c r="O17" s="615"/>
      <c r="P17" s="615"/>
      <c r="Q17" s="615"/>
      <c r="R17" s="615"/>
      <c r="S17" s="615"/>
      <c r="T17" s="615"/>
      <c r="U17" s="616"/>
      <c r="V17" s="615"/>
      <c r="W17" s="615"/>
      <c r="X17" s="606"/>
      <c r="Y17" s="606"/>
      <c r="Z17" s="606"/>
      <c r="AA17" s="606"/>
      <c r="AB17" s="606"/>
      <c r="AC17" s="606"/>
      <c r="AD17" s="606"/>
      <c r="AE17" s="606"/>
      <c r="AF17" s="606"/>
      <c r="AG17" s="606"/>
      <c r="AH17" s="606"/>
      <c r="AI17" s="606"/>
      <c r="AJ17" s="606"/>
      <c r="AK17" s="606"/>
      <c r="AL17" s="606"/>
      <c r="AM17" s="1861"/>
    </row>
    <row customHeight="1" ht="15">
      <c r="A18" s="434"/>
      <c r="B18" s="434"/>
      <c r="C18" s="187"/>
      <c r="D18" s="1831"/>
      <c r="E18" s="1831"/>
      <c r="F18" s="1831"/>
      <c r="G18" s="2591" t="s">
        <v>105</v>
      </c>
      <c r="H18" s="2133" t="s">
        <v>91</v>
      </c>
      <c r="I18" s="2592" t="str">
        <f>IF(U18="","",INDEX(TERRITORY_MR_LIST,MATCH(U18,TERRITORY_LIST_ID,0)))</f>
        <v>Территория 3</v>
      </c>
      <c r="J18" s="2137" t="s">
        <v>19</v>
      </c>
      <c r="K18" s="843"/>
      <c r="L18" s="1792" t="s">
        <v>120</v>
      </c>
      <c r="M18" s="614"/>
      <c r="N18" s="615"/>
      <c r="O18" s="615" t="s">
        <v>135</v>
      </c>
      <c r="P18" s="615"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8" s="615" t="str">
        <f>IF($F$18="нет","без дифференциации",$I$18)</f>
        <v>Территория 3</v>
      </c>
      <c r="R18" s="615" t="str">
        <f>IF($J$18="нет","без дифференциации",$M$18)</f>
        <v>без дифференциации</v>
      </c>
      <c r="S18" s="615"/>
      <c r="T18" s="615"/>
      <c r="U18" s="616" t="s">
        <v>110</v>
      </c>
      <c r="V18" s="615"/>
      <c r="W18" s="615"/>
      <c r="X18" s="606"/>
      <c r="Y18" s="606" t="s">
        <v>130</v>
      </c>
      <c r="Z18" s="606">
        <v>1705000</v>
      </c>
      <c r="AA18" s="606"/>
      <c r="AB18" s="606"/>
      <c r="AC18" s="606"/>
      <c r="AD18" s="606"/>
      <c r="AE18" s="606"/>
      <c r="AF18" s="606"/>
      <c r="AG18" s="606"/>
      <c r="AH18" s="606"/>
      <c r="AI18" s="606"/>
      <c r="AJ18" s="606"/>
      <c r="AK18" s="606"/>
      <c r="AL18" s="606"/>
      <c r="AM18" s="1861"/>
    </row>
    <row customHeight="1" ht="15">
      <c r="A19" s="434"/>
      <c r="B19" s="434"/>
      <c r="C19" s="187"/>
      <c r="D19" s="1831"/>
      <c r="E19" s="1831"/>
      <c r="F19" s="1831"/>
      <c r="G19" s="2591"/>
      <c r="H19" s="2133"/>
      <c r="I19" s="2592"/>
      <c r="J19" s="2137"/>
      <c r="K19" s="432"/>
      <c r="L19" s="188"/>
      <c r="M19" s="618" t="s">
        <v>133</v>
      </c>
      <c r="N19" s="615"/>
      <c r="O19" s="615"/>
      <c r="P19" s="615"/>
      <c r="Q19" s="615"/>
      <c r="R19" s="615"/>
      <c r="S19" s="615"/>
      <c r="T19" s="615"/>
      <c r="U19" s="616"/>
      <c r="V19" s="615"/>
      <c r="W19" s="615"/>
      <c r="X19" s="606"/>
      <c r="Y19" s="606"/>
      <c r="Z19" s="606"/>
      <c r="AA19" s="606"/>
      <c r="AB19" s="606"/>
      <c r="AC19" s="606"/>
      <c r="AD19" s="606"/>
      <c r="AE19" s="606"/>
      <c r="AF19" s="606"/>
      <c r="AG19" s="606"/>
      <c r="AH19" s="606"/>
      <c r="AI19" s="606"/>
      <c r="AJ19" s="606"/>
      <c r="AK19" s="606"/>
      <c r="AL19" s="606"/>
      <c r="AM19" s="1861"/>
    </row>
    <row s="1861" customFormat="1" customHeight="1" ht="15.75">
      <c r="A20" s="304"/>
      <c r="B20" s="304"/>
      <c r="C20" s="187"/>
      <c r="D20" s="2138"/>
      <c r="E20" s="2141"/>
      <c r="F20" s="2137"/>
      <c r="G20" s="1071"/>
      <c r="H20" s="1072"/>
      <c r="I20" s="591" t="s">
        <v>136</v>
      </c>
      <c r="J20" s="188"/>
      <c r="K20" s="188"/>
      <c r="L20" s="188"/>
      <c r="M20" s="619"/>
      <c r="N20" s="823"/>
      <c r="O20" s="1427"/>
      <c r="P20" s="1424"/>
      <c r="Q20" s="1424"/>
      <c r="R20" s="1424"/>
      <c r="S20" s="1427"/>
      <c r="T20" s="1427"/>
      <c r="U20" s="1277"/>
      <c r="V20" s="1277"/>
      <c r="W20" s="1277"/>
      <c r="X20" s="1277"/>
      <c r="Y20" s="615"/>
      <c r="Z20" s="615"/>
      <c r="AA20" s="615"/>
      <c r="AB20" s="615"/>
      <c r="AC20" s="615"/>
      <c r="AD20" s="615"/>
      <c r="AE20" s="615"/>
      <c r="AF20" s="615"/>
      <c r="AG20" s="615"/>
      <c r="AH20" s="615"/>
      <c r="AI20" s="615"/>
      <c r="AJ20" s="615"/>
      <c r="AK20" s="615"/>
      <c r="AL20" s="615"/>
      <c r="AM20" s="617">
        <v>15</v>
      </c>
    </row>
    <row customHeight="1" ht="15.75">
      <c r="A21" s="620"/>
      <c r="B21" s="146"/>
      <c r="C21" s="817"/>
      <c r="D21" s="432"/>
      <c r="E21" s="582" t="s">
        <v>137</v>
      </c>
      <c r="F21" s="188"/>
      <c r="G21" s="188"/>
      <c r="H21" s="188"/>
      <c r="I21" s="188"/>
      <c r="J21" s="188"/>
      <c r="K21" s="188" t="s">
        <v>22</v>
      </c>
      <c r="L21" s="188"/>
      <c r="M21" s="619"/>
      <c r="N21" s="1638"/>
      <c r="AM21" s="594">
        <v>15</v>
      </c>
    </row>
    <row customHeight="1" ht="11.25" hidden="1">
      <c r="A22" s="594" t="s">
        <v>83</v>
      </c>
      <c r="B22" s="594">
        <v>0</v>
      </c>
      <c r="C22" s="594">
        <v>3</v>
      </c>
      <c r="D22" s="594">
        <v>4</v>
      </c>
      <c r="E22" s="594">
        <v>44</v>
      </c>
      <c r="F22" s="594">
        <v>6</v>
      </c>
      <c r="G22" s="594">
        <v>4</v>
      </c>
      <c r="H22" s="594">
        <v>5</v>
      </c>
      <c r="I22" s="594">
        <v>52</v>
      </c>
      <c r="J22" s="594">
        <v>6</v>
      </c>
      <c r="K22" s="594">
        <v>3</v>
      </c>
      <c r="L22" s="594">
        <v>6</v>
      </c>
      <c r="M22" s="594">
        <v>56</v>
      </c>
      <c r="N22" s="595">
        <v>8</v>
      </c>
      <c r="O22" s="1424">
        <v>0</v>
      </c>
      <c r="P22" s="1424">
        <v>0</v>
      </c>
      <c r="Q22" s="1424">
        <v>0</v>
      </c>
      <c r="R22" s="1424">
        <v>0</v>
      </c>
      <c r="S22" s="1424">
        <v>0</v>
      </c>
      <c r="T22" s="1424">
        <v>0</v>
      </c>
      <c r="U22" s="1274">
        <v>0</v>
      </c>
      <c r="V22" s="1274">
        <v>0</v>
      </c>
      <c r="W22" s="1274">
        <v>0</v>
      </c>
      <c r="X22" s="1274">
        <v>0</v>
      </c>
      <c r="Y22" s="595">
        <v>0</v>
      </c>
      <c r="Z22" s="595">
        <v>0</v>
      </c>
      <c r="AA22" s="595">
        <v>0</v>
      </c>
      <c r="AB22" s="595">
        <v>0</v>
      </c>
      <c r="AC22" s="595">
        <v>0</v>
      </c>
      <c r="AD22" s="595">
        <v>0</v>
      </c>
      <c r="AE22" s="595">
        <v>0</v>
      </c>
      <c r="AF22" s="595">
        <v>0</v>
      </c>
      <c r="AG22" s="595">
        <v>0</v>
      </c>
      <c r="AH22" s="595">
        <v>0</v>
      </c>
      <c r="AI22" s="595">
        <v>0</v>
      </c>
      <c r="AJ22" s="595">
        <v>0</v>
      </c>
      <c r="AK22" s="595">
        <v>0</v>
      </c>
      <c r="AL22" s="595">
        <v>8</v>
      </c>
      <c r="AM22" s="594">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20"/>
    <mergeCell ref="E13:E20"/>
    <mergeCell ref="F13:F20"/>
    <mergeCell ref="G13:G15"/>
    <mergeCell ref="H13:H15"/>
    <mergeCell ref="G16:G17"/>
    <mergeCell ref="H16:H17"/>
    <mergeCell ref="I16:I17"/>
    <mergeCell ref="J16:J17"/>
    <mergeCell ref="G18:G19"/>
    <mergeCell ref="H18:H19"/>
    <mergeCell ref="I18:I19"/>
    <mergeCell ref="J18:J19"/>
  </mergeCells>
  <dataValidations count="5">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DBB9A8-C12B-CD9D-4454-FF31280935A8}" mc:Ignorable="x14ac xr xr2 xr3">
  <sheetPr>
    <tabColor rgb="FFE26B0A"/>
  </sheetPr>
  <dimension ref="A1:AB40"/>
  <sheetViews>
    <sheetView showGridLines="0" zoomScale="90" workbookViewId="0">
      <pane xSplit="8" ySplit="31" topLeftCell="O32" activePane="bottomRight" state="frozen"/>
      <selection pane="bottomLeft" activeCell="A32" sqref="A32"/>
      <selection pane="topRight" activeCell="I1" sqref="I1"/>
      <selection pane="bottomRight" activeCell="O25" sqref="O25"/>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36.00390625" customWidth="1"/>
    <col min="6" max="6" style="1646" width="9.00390625" customWidth="1"/>
    <col min="7" max="7" style="1646" width="25.7109375" hidden="1" customWidth="1"/>
    <col min="8" max="8" style="1646" width="33.7109375" hidden="1" customWidth="1"/>
    <col min="9" max="9" style="1646" width="25.7109375" customWidth="1"/>
    <col min="10" max="10" style="1646" width="33.00390625" customWidth="1"/>
    <col min="11" max="11" style="1646" width="25.7109375" customWidth="1"/>
    <col min="12" max="12" style="1646" width="33.7109375" customWidth="1"/>
    <col min="13" max="13" style="1646" width="25.7109375" customWidth="1"/>
    <col min="14" max="14" style="1646" width="33.7109375" customWidth="1"/>
    <col min="15" max="15" style="1646" width="25.7109375" customWidth="1"/>
    <col min="16" max="16" style="1646" width="33.7109375" customWidth="1"/>
    <col min="17" max="17" style="1377" width="93.00390625" customWidth="1"/>
    <col min="18" max="26" style="1646" width="10.00390625" customWidth="1"/>
    <col min="27" max="27" style="686" width="10.00390625" customWidth="1"/>
    <col min="28" max="28" style="1646" width="10.57421875" hidden="1"/>
  </cols>
  <sheetData>
    <row s="1377" customFormat="1" customHeight="1" ht="22.5" hidden="1">
      <c r="C1" s="683"/>
      <c r="G1" s="428">
        <v>4</v>
      </c>
      <c r="I1" s="428">
        <v>4</v>
      </c>
      <c r="K1" s="1377" t="s">
        <v>91</v>
      </c>
      <c r="L1" s="1377"/>
      <c r="M1" s="1377">
        <v>4</v>
      </c>
      <c r="N1" s="1377"/>
      <c r="O1" s="1377">
        <v>4</v>
      </c>
      <c r="P1" s="1377"/>
      <c r="AA1" s="431"/>
      <c r="AB1" s="428" t="s">
        <v>14</v>
      </c>
    </row>
    <row s="1377" customFormat="1" customHeight="1" ht="15" hidden="1">
      <c r="C2" s="683"/>
      <c r="K2" s="1377"/>
      <c r="L2" s="1377"/>
      <c r="M2" s="1377"/>
      <c r="N2" s="1377"/>
      <c r="O2" s="1377"/>
      <c r="P2" s="1377"/>
      <c r="AA2" s="431"/>
      <c r="AB2" s="428">
        <v>0</v>
      </c>
    </row>
    <row customHeight="1" ht="22.5" hidden="1">
      <c r="A3" s="516"/>
      <c r="B3" s="2427"/>
      <c r="C3" s="2428" t="s">
        <v>105</v>
      </c>
      <c r="D3" s="700" t="str">
        <f>B3&amp;".1"</f>
        <v>.1</v>
      </c>
      <c r="E3" s="701" t="s">
        <v>1028</v>
      </c>
      <c r="F3" s="702" t="s">
        <v>320</v>
      </c>
      <c r="G3" s="697"/>
      <c r="H3" s="412"/>
      <c r="I3" s="697"/>
      <c r="J3" s="412"/>
      <c r="K3" s="2383"/>
      <c r="L3" s="829"/>
      <c r="M3" s="2383"/>
      <c r="N3" s="829"/>
      <c r="O3" s="2383"/>
      <c r="P3" s="829"/>
      <c r="Q3" s="300" t="s">
        <v>1029</v>
      </c>
      <c r="AB3" s="516">
        <v>0</v>
      </c>
    </row>
    <row customHeight="1" ht="15" hidden="1">
      <c r="A4" s="516"/>
      <c r="B4" s="2427"/>
      <c r="C4" s="2428"/>
      <c r="D4" s="700" t="str">
        <f>B3&amp;".2"</f>
        <v>.2</v>
      </c>
      <c r="E4" s="701" t="s">
        <v>1030</v>
      </c>
      <c r="F4" s="702" t="s">
        <v>320</v>
      </c>
      <c r="G4" s="1748" t="s">
        <v>22</v>
      </c>
      <c r="H4" s="412"/>
      <c r="I4" s="1748" t="s">
        <v>22</v>
      </c>
      <c r="J4" s="412"/>
      <c r="K4" s="1748" t="s">
        <v>22</v>
      </c>
      <c r="L4" s="829"/>
      <c r="M4" s="1748" t="s">
        <v>22</v>
      </c>
      <c r="N4" s="829"/>
      <c r="O4" s="1748" t="s">
        <v>22</v>
      </c>
      <c r="P4" s="829"/>
      <c r="Q4" s="300" t="s">
        <v>1031</v>
      </c>
      <c r="AB4" s="516">
        <v>0</v>
      </c>
    </row>
    <row s="1377" customFormat="1" customHeight="1" ht="15" hidden="1">
      <c r="C5" s="683"/>
      <c r="K5" s="1377"/>
      <c r="L5" s="1377"/>
      <c r="M5" s="1377"/>
      <c r="N5" s="1377"/>
      <c r="O5" s="1377"/>
      <c r="P5" s="1377"/>
      <c r="AA5" s="431"/>
      <c r="AB5" s="428">
        <v>0</v>
      </c>
    </row>
    <row customHeight="1" ht="22.5" hidden="1">
      <c r="A6" s="516"/>
      <c r="B6" s="2427"/>
      <c r="C6" s="2428" t="s">
        <v>105</v>
      </c>
      <c r="D6" s="700" t="str">
        <f>B6&amp;".1"</f>
        <v>.1</v>
      </c>
      <c r="E6" s="701" t="s">
        <v>1032</v>
      </c>
      <c r="F6" s="702" t="s">
        <v>320</v>
      </c>
      <c r="G6" s="697"/>
      <c r="H6" s="412"/>
      <c r="I6" s="697"/>
      <c r="J6" s="412"/>
      <c r="K6" s="2383"/>
      <c r="L6" s="829"/>
      <c r="M6" s="2383"/>
      <c r="N6" s="829"/>
      <c r="O6" s="2383"/>
      <c r="P6" s="829"/>
      <c r="Q6" s="300" t="s">
        <v>1033</v>
      </c>
      <c r="AB6" s="516">
        <v>0</v>
      </c>
    </row>
    <row customHeight="1" ht="15" hidden="1">
      <c r="A7" s="516"/>
      <c r="B7" s="2427"/>
      <c r="C7" s="2428"/>
      <c r="D7" s="700" t="str">
        <f>B6&amp;".2"</f>
        <v>.2</v>
      </c>
      <c r="E7" s="701" t="s">
        <v>1030</v>
      </c>
      <c r="F7" s="702" t="s">
        <v>320</v>
      </c>
      <c r="G7" s="1748" t="s">
        <v>22</v>
      </c>
      <c r="H7" s="412"/>
      <c r="I7" s="1748" t="s">
        <v>22</v>
      </c>
      <c r="J7" s="412"/>
      <c r="K7" s="1748" t="s">
        <v>22</v>
      </c>
      <c r="L7" s="829"/>
      <c r="M7" s="1748" t="s">
        <v>22</v>
      </c>
      <c r="N7" s="829"/>
      <c r="O7" s="1748" t="s">
        <v>22</v>
      </c>
      <c r="P7" s="829"/>
      <c r="Q7" s="300" t="s">
        <v>1031</v>
      </c>
      <c r="AB7" s="516">
        <v>0</v>
      </c>
    </row>
    <row s="1377" customFormat="1" customHeight="1" ht="15" hidden="1">
      <c r="C8" s="683"/>
      <c r="K8" s="1377"/>
      <c r="L8" s="1377"/>
      <c r="M8" s="1377"/>
      <c r="N8" s="1377"/>
      <c r="O8" s="1377"/>
      <c r="P8" s="1377"/>
      <c r="AA8" s="431"/>
      <c r="AB8" s="428">
        <v>0</v>
      </c>
    </row>
    <row customHeight="1" ht="22.5" hidden="1">
      <c r="A9" s="516"/>
      <c r="B9" s="2427"/>
      <c r="C9" s="2428" t="s">
        <v>105</v>
      </c>
      <c r="D9" s="700" t="str">
        <f>B9&amp;".1"</f>
        <v>.1</v>
      </c>
      <c r="E9" s="701" t="s">
        <v>1034</v>
      </c>
      <c r="F9" s="702" t="s">
        <v>320</v>
      </c>
      <c r="G9" s="708" t="s">
        <v>22</v>
      </c>
      <c r="H9" s="412" t="s">
        <v>22</v>
      </c>
      <c r="I9" s="708" t="s">
        <v>22</v>
      </c>
      <c r="J9" s="412" t="s">
        <v>22</v>
      </c>
      <c r="K9" s="872" t="s">
        <v>22</v>
      </c>
      <c r="L9" s="829" t="s">
        <v>22</v>
      </c>
      <c r="M9" s="872" t="s">
        <v>22</v>
      </c>
      <c r="N9" s="829" t="s">
        <v>22</v>
      </c>
      <c r="O9" s="872" t="s">
        <v>22</v>
      </c>
      <c r="P9" s="829" t="s">
        <v>22</v>
      </c>
      <c r="Q9" s="300"/>
      <c r="AB9" s="516">
        <v>0</v>
      </c>
    </row>
    <row customHeight="1" ht="15" hidden="1">
      <c r="A10" s="516"/>
      <c r="B10" s="2427"/>
      <c r="C10" s="2428"/>
      <c r="D10" s="700" t="str">
        <f>B9&amp;".2"</f>
        <v>.2</v>
      </c>
      <c r="E10" s="701" t="s">
        <v>1035</v>
      </c>
      <c r="F10" s="702" t="s">
        <v>320</v>
      </c>
      <c r="G10" s="1742" t="s">
        <v>22</v>
      </c>
      <c r="H10" s="412" t="s">
        <v>22</v>
      </c>
      <c r="I10" s="1742" t="s">
        <v>22</v>
      </c>
      <c r="J10" s="412" t="s">
        <v>22</v>
      </c>
      <c r="K10" s="1742" t="s">
        <v>22</v>
      </c>
      <c r="L10" s="829" t="s">
        <v>22</v>
      </c>
      <c r="M10" s="1742" t="s">
        <v>22</v>
      </c>
      <c r="N10" s="829" t="s">
        <v>22</v>
      </c>
      <c r="O10" s="1742" t="s">
        <v>22</v>
      </c>
      <c r="P10" s="829" t="s">
        <v>22</v>
      </c>
      <c r="Q10" s="300" t="s">
        <v>1036</v>
      </c>
      <c r="AB10" s="516">
        <v>0</v>
      </c>
    </row>
    <row customHeight="1" ht="15" hidden="1">
      <c r="A11" s="516"/>
      <c r="B11" s="2427"/>
      <c r="C11" s="2428"/>
      <c r="D11" s="700" t="str">
        <f>B9&amp;".3"</f>
        <v>.3</v>
      </c>
      <c r="E11" s="701" t="s">
        <v>1037</v>
      </c>
      <c r="F11" s="702" t="s">
        <v>320</v>
      </c>
      <c r="G11" s="1742" t="s">
        <v>22</v>
      </c>
      <c r="H11" s="412" t="s">
        <v>22</v>
      </c>
      <c r="I11" s="1742" t="s">
        <v>22</v>
      </c>
      <c r="J11" s="412" t="s">
        <v>22</v>
      </c>
      <c r="K11" s="1742" t="s">
        <v>22</v>
      </c>
      <c r="L11" s="829" t="s">
        <v>22</v>
      </c>
      <c r="M11" s="1742" t="s">
        <v>22</v>
      </c>
      <c r="N11" s="829" t="s">
        <v>22</v>
      </c>
      <c r="O11" s="1742" t="s">
        <v>22</v>
      </c>
      <c r="P11" s="829" t="s">
        <v>22</v>
      </c>
      <c r="Q11" s="300" t="s">
        <v>1038</v>
      </c>
      <c r="AB11" s="516">
        <v>0</v>
      </c>
    </row>
    <row s="1377" customFormat="1" customHeight="1" ht="15" hidden="1">
      <c r="C12" s="683"/>
      <c r="K12" s="1377"/>
      <c r="L12" s="1377"/>
      <c r="M12" s="1377"/>
      <c r="N12" s="1377"/>
      <c r="O12" s="1377"/>
      <c r="P12" s="1377"/>
      <c r="AA12" s="431"/>
      <c r="AB12" s="428">
        <v>0</v>
      </c>
    </row>
    <row customHeight="1" ht="33.75" hidden="1">
      <c r="A13" s="516"/>
      <c r="B13" s="2427"/>
      <c r="C13" s="2428" t="s">
        <v>105</v>
      </c>
      <c r="D13" s="700" t="str">
        <f>B13&amp;".1"</f>
        <v>.1</v>
      </c>
      <c r="E13" s="701" t="s">
        <v>1039</v>
      </c>
      <c r="F13" s="702" t="s">
        <v>320</v>
      </c>
      <c r="G13" s="708" t="s">
        <v>22</v>
      </c>
      <c r="H13" s="412" t="s">
        <v>22</v>
      </c>
      <c r="I13" s="708" t="s">
        <v>22</v>
      </c>
      <c r="J13" s="412" t="s">
        <v>22</v>
      </c>
      <c r="K13" s="872" t="s">
        <v>22</v>
      </c>
      <c r="L13" s="829" t="s">
        <v>22</v>
      </c>
      <c r="M13" s="872" t="s">
        <v>22</v>
      </c>
      <c r="N13" s="829" t="s">
        <v>22</v>
      </c>
      <c r="O13" s="872" t="s">
        <v>22</v>
      </c>
      <c r="P13" s="829" t="s">
        <v>22</v>
      </c>
      <c r="Q13" s="300" t="s">
        <v>1040</v>
      </c>
      <c r="AB13" s="516">
        <v>0</v>
      </c>
    </row>
    <row customHeight="1" ht="15" hidden="1">
      <c r="B14" s="2427"/>
      <c r="C14" s="2428"/>
      <c r="D14" s="700" t="str">
        <f>B13&amp;".2"</f>
        <v>.2</v>
      </c>
      <c r="E14" s="701" t="s">
        <v>1041</v>
      </c>
      <c r="F14" s="702" t="s">
        <v>320</v>
      </c>
      <c r="G14" s="1742" t="s">
        <v>22</v>
      </c>
      <c r="H14" s="412" t="s">
        <v>22</v>
      </c>
      <c r="I14" s="1742" t="s">
        <v>22</v>
      </c>
      <c r="J14" s="412" t="s">
        <v>22</v>
      </c>
      <c r="K14" s="1742" t="s">
        <v>22</v>
      </c>
      <c r="L14" s="829" t="s">
        <v>22</v>
      </c>
      <c r="M14" s="1742" t="s">
        <v>22</v>
      </c>
      <c r="N14" s="829" t="s">
        <v>22</v>
      </c>
      <c r="O14" s="1742" t="s">
        <v>22</v>
      </c>
      <c r="P14" s="829" t="s">
        <v>22</v>
      </c>
      <c r="Q14" s="300" t="s">
        <v>1042</v>
      </c>
      <c r="AB14" s="516">
        <v>0</v>
      </c>
    </row>
    <row s="1377" customFormat="1" customHeight="1" ht="15" hidden="1">
      <c r="C15" s="683"/>
      <c r="K15" s="1377"/>
      <c r="L15" s="1377"/>
      <c r="M15" s="1377"/>
      <c r="N15" s="1377"/>
      <c r="O15" s="1377"/>
      <c r="P15" s="1377"/>
      <c r="AA15" s="431"/>
      <c r="AB15" s="428">
        <v>0</v>
      </c>
    </row>
    <row s="1377" customFormat="1" customHeight="1" ht="15" hidden="1">
      <c r="C16" s="683"/>
      <c r="K16" s="1377"/>
      <c r="L16" s="1377"/>
      <c r="M16" s="1377"/>
      <c r="N16" s="1377"/>
      <c r="O16" s="1377"/>
      <c r="P16" s="1377"/>
      <c r="AA16" s="431"/>
      <c r="AB16" s="428">
        <v>0</v>
      </c>
    </row>
    <row s="1377" customFormat="1" customHeight="1" ht="15" hidden="1">
      <c r="C17" s="683"/>
      <c r="K17" s="1377"/>
      <c r="L17" s="1377"/>
      <c r="M17" s="1377"/>
      <c r="N17" s="1377"/>
      <c r="O17" s="1377"/>
      <c r="P17" s="1377"/>
      <c r="AA17" s="431"/>
      <c r="AB17" s="428">
        <v>0</v>
      </c>
    </row>
    <row s="1377" customFormat="1" customHeight="1" ht="15" hidden="1">
      <c r="C18" s="683"/>
      <c r="K18" s="1377"/>
      <c r="L18" s="1377"/>
      <c r="M18" s="1377"/>
      <c r="N18" s="1377"/>
      <c r="O18" s="1377"/>
      <c r="P18" s="1377"/>
      <c r="AA18" s="431"/>
      <c r="AB18" s="428">
        <v>0</v>
      </c>
    </row>
    <row s="1377" customFormat="1" customHeight="1" ht="15" hidden="1">
      <c r="C19" s="683"/>
      <c r="K19" s="1377"/>
      <c r="L19" s="1377"/>
      <c r="M19" s="1377"/>
      <c r="N19" s="1377"/>
      <c r="O19" s="1377"/>
      <c r="P19" s="1377"/>
      <c r="AA19" s="431"/>
      <c r="AB19" s="428">
        <v>0</v>
      </c>
    </row>
    <row s="1377" customFormat="1" customHeight="1" ht="15" hidden="1">
      <c r="C20" s="683"/>
      <c r="K20" s="1377"/>
      <c r="L20" s="1377"/>
      <c r="M20" s="1377"/>
      <c r="N20" s="1377"/>
      <c r="O20" s="1377"/>
      <c r="P20" s="1377"/>
      <c r="AA20" s="431"/>
      <c r="AB20" s="428">
        <v>0</v>
      </c>
    </row>
    <row customHeight="1" ht="15.75">
      <c r="C21" s="187"/>
      <c r="D21" s="520"/>
      <c r="E21" s="520"/>
      <c r="F21" s="520"/>
      <c r="G21" s="520"/>
      <c r="H21" s="520"/>
      <c r="I21" s="520"/>
      <c r="J21" s="520"/>
      <c r="K21" s="1646"/>
      <c r="L21" s="1646"/>
      <c r="M21" s="1646"/>
      <c r="N21" s="1646"/>
      <c r="O21" s="1646"/>
      <c r="P21" s="1646"/>
      <c r="AB21" s="516">
        <v>15</v>
      </c>
    </row>
    <row customHeight="1" ht="23.25">
      <c r="C22" s="187"/>
      <c r="D22" s="22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67"/>
      <c r="F22" s="2267"/>
      <c r="G22" s="2267"/>
      <c r="H22" s="2267"/>
      <c r="I22" s="2267"/>
      <c r="J22" s="687"/>
      <c r="K22" s="2278"/>
      <c r="L22" s="2278"/>
      <c r="M22" s="2278"/>
      <c r="N22" s="2278"/>
      <c r="O22" s="2278"/>
      <c r="P22" s="2278"/>
      <c r="Q22" s="548"/>
      <c r="AB22" s="516">
        <v>22</v>
      </c>
    </row>
    <row customHeight="1" ht="15.75">
      <c r="C23" s="187"/>
      <c r="D23" s="2206" t="str">
        <f>IF(org=0,"Не определено",org)</f>
        <v>ПАО "КГК"</v>
      </c>
      <c r="E23" s="2206"/>
      <c r="F23" s="2206"/>
      <c r="G23" s="2206"/>
      <c r="H23" s="2206"/>
      <c r="I23" s="2206"/>
      <c r="J23" s="687"/>
      <c r="K23" s="2279"/>
      <c r="L23" s="2279"/>
      <c r="M23" s="2279"/>
      <c r="N23" s="2279"/>
      <c r="O23" s="2279"/>
      <c r="P23" s="2279"/>
      <c r="Q23" s="548"/>
      <c r="AB23" s="516">
        <v>15</v>
      </c>
    </row>
    <row customHeight="1" ht="15.75">
      <c r="C24" s="187"/>
      <c r="D24" s="520"/>
      <c r="E24" s="520"/>
      <c r="F24" s="520"/>
      <c r="G24" s="548">
        <v>22</v>
      </c>
      <c r="H24" s="763"/>
      <c r="I24" s="548">
        <v>22</v>
      </c>
      <c r="J24" s="763"/>
      <c r="K24" s="1377" t="s">
        <v>22</v>
      </c>
      <c r="L24" s="763"/>
      <c r="M24" s="1377" t="s">
        <v>22</v>
      </c>
      <c r="N24" s="763"/>
      <c r="O24" s="1377" t="s">
        <v>22</v>
      </c>
      <c r="P24" s="763"/>
      <c r="AB24" s="516">
        <v>15</v>
      </c>
    </row>
    <row s="1646" customFormat="1" customHeight="1" ht="1.05">
      <c r="A25" s="770"/>
      <c r="C25" s="187"/>
      <c r="D25" s="520"/>
      <c r="E25" s="520"/>
      <c r="F25" s="520"/>
      <c r="G25" s="548"/>
      <c r="H25" s="763"/>
      <c r="I25" s="548" t="s">
        <v>128</v>
      </c>
      <c r="J25" s="763"/>
      <c r="K25" s="1377" t="s">
        <v>132</v>
      </c>
      <c r="L25" s="763"/>
      <c r="M25" s="1377" t="s">
        <v>134</v>
      </c>
      <c r="N25" s="763"/>
      <c r="O25" s="1377" t="s">
        <v>135</v>
      </c>
      <c r="P25" s="763"/>
      <c r="Q25" s="428"/>
      <c r="AA25" s="686"/>
      <c r="AB25" s="769">
        <v>1</v>
      </c>
    </row>
    <row customHeight="1" ht="15.75">
      <c r="C26" s="187"/>
      <c r="D26" s="722"/>
      <c r="E26" s="2397" t="s">
        <v>116</v>
      </c>
      <c r="F26" s="2398"/>
      <c r="G26" s="2425" t="str">
        <f>IF(G25="","",INDEX(DIFFERENTIATION_UNMERGE_VD,MATCH(G25,DIFFERENTIATION_ID_DIFF,0)))</f>
        <v/>
      </c>
      <c r="H26" s="2426"/>
      <c r="I26" s="2425"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6" s="2426"/>
      <c r="K26" s="2425" t="str">
        <f>IF(K25="","",INDEX(DIFFERENTIATION_UNMERGE_VD,MATCH(K25,DIFFERENTIATION_ID_DIFF,0)))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26" s="2426"/>
      <c r="M26" s="2425" t="str">
        <f>IF(M25="","",INDEX(DIFFERENTIATION_UNMERGE_VD,MATCH(M25,DIFFERENTIATION_ID_DIFF,0)))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N26" s="2426"/>
      <c r="O26" s="2425" t="str">
        <f>IF(O25="","",INDEX(DIFFERENTIATION_UNMERGE_VD,MATCH(O25,DIFFERENTIATION_ID_DIFF,0)))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P26" s="2426"/>
      <c r="Q26" s="2205" t="s">
        <v>315</v>
      </c>
      <c r="AB26" s="516">
        <v>15</v>
      </c>
    </row>
    <row s="1646" customFormat="1" customHeight="1" ht="15.75">
      <c r="A27" s="770"/>
      <c r="C27" s="187"/>
      <c r="D27" s="722"/>
      <c r="E27" s="2397" t="s">
        <v>576</v>
      </c>
      <c r="F27" s="2398"/>
      <c r="G27" s="2425" t="str">
        <f>IF(G25="","",INDEX(DIFFERENTIATION_UNMERGE_AREA,MATCH(G25,DIFFERENTIATION_ID_DIFF,0)))</f>
        <v/>
      </c>
      <c r="H27" s="2426"/>
      <c r="I27" s="2425" t="str">
        <f>IF(I25="","",INDEX(DIFFERENTIATION_UNMERGE_AREA,MATCH(I25,DIFFERENTIATION_ID_DIFF,0)))</f>
        <v>Территория 1</v>
      </c>
      <c r="J27" s="2426"/>
      <c r="K27" s="2425" t="str">
        <f>IF(K25="","",INDEX(DIFFERENTIATION_UNMERGE_AREA,MATCH(K25,DIFFERENTIATION_ID_DIFF,0)))</f>
        <v>Территория 1</v>
      </c>
      <c r="L27" s="2426"/>
      <c r="M27" s="2425" t="str">
        <f>IF(M25="","",INDEX(DIFFERENTIATION_UNMERGE_AREA,MATCH(M25,DIFFERENTIATION_ID_DIFF,0)))</f>
        <v>Территория 2</v>
      </c>
      <c r="N27" s="2426"/>
      <c r="O27" s="2425" t="str">
        <f>IF(O25="","",INDEX(DIFFERENTIATION_UNMERGE_AREA,MATCH(O25,DIFFERENTIATION_ID_DIFF,0)))</f>
        <v>Территория 3</v>
      </c>
      <c r="P27" s="2426"/>
      <c r="Q27" s="2225"/>
      <c r="AA27" s="686"/>
      <c r="AB27" s="769">
        <v>15</v>
      </c>
    </row>
    <row s="1646" customFormat="1" customHeight="1" ht="15.75">
      <c r="A28" s="770"/>
      <c r="C28" s="187"/>
      <c r="D28" s="722"/>
      <c r="E28" s="2397" t="s">
        <v>577</v>
      </c>
      <c r="F28" s="2398"/>
      <c r="G28" s="2425" t="str">
        <f>IF(G25="","",INDEX(DIFFERENTIATION_UNMERGE_SYSTEM,MATCH(G25,DIFFERENTIATION_ID_DIFF,0)))</f>
        <v/>
      </c>
      <c r="H28" s="2426"/>
      <c r="I28" s="2425" t="str">
        <f>IF(I25="","",INDEX(DIFFERENTIATION_UNMERGE_SYSTEM,MATCH(I25,DIFFERENTIATION_ID_DIFF,0)))</f>
        <v>СП "Тепловые сети"</v>
      </c>
      <c r="J28" s="2426"/>
      <c r="K28" s="2425" t="str">
        <f>IF(K25="","",INDEX(DIFFERENTIATION_UNMERGE_SYSTEM,MATCH(K25,DIFFERENTIATION_ID_DIFF,0)))</f>
        <v>ОП "Энергетические сети"</v>
      </c>
      <c r="L28" s="2426"/>
      <c r="M28" s="2425" t="str">
        <f>IF(M25="","",INDEX(DIFFERENTIATION_UNMERGE_SYSTEM,MATCH(M25,DIFFERENTIATION_ID_DIFF,0)))</f>
        <v>без дифференциации</v>
      </c>
      <c r="N28" s="2426"/>
      <c r="O28" s="2425" t="str">
        <f>IF(O25="","",INDEX(DIFFERENTIATION_UNMERGE_SYSTEM,MATCH(O25,DIFFERENTIATION_ID_DIFF,0)))</f>
        <v>без дифференциации</v>
      </c>
      <c r="P28" s="2426"/>
      <c r="Q28" s="2225"/>
      <c r="AA28" s="686"/>
      <c r="AB28" s="769">
        <v>15</v>
      </c>
    </row>
    <row s="1646" customFormat="1" customHeight="1" ht="15.75">
      <c r="A29" s="770"/>
      <c r="C29" s="187"/>
      <c r="D29" s="2399" t="s">
        <v>314</v>
      </c>
      <c r="E29" s="2400"/>
      <c r="F29" s="2400"/>
      <c r="G29" s="898"/>
      <c r="H29" s="898"/>
      <c r="I29" s="898"/>
      <c r="J29" s="899"/>
      <c r="K29" s="2397"/>
      <c r="L29" s="2397"/>
      <c r="M29" s="2397"/>
      <c r="N29" s="2397"/>
      <c r="O29" s="2397"/>
      <c r="P29" s="2397"/>
      <c r="Q29" s="2225"/>
      <c r="AA29" s="686"/>
      <c r="AB29" s="769">
        <v>15</v>
      </c>
    </row>
    <row customHeight="1" ht="35.699999999999996">
      <c r="C30" s="187"/>
      <c r="D30" s="772" t="s">
        <v>89</v>
      </c>
      <c r="E30" s="771" t="s">
        <v>316</v>
      </c>
      <c r="F30" s="771" t="s">
        <v>578</v>
      </c>
      <c r="G30" s="819" t="s">
        <v>317</v>
      </c>
      <c r="H30" s="818" t="s">
        <v>404</v>
      </c>
      <c r="I30" s="695" t="s">
        <v>317</v>
      </c>
      <c r="J30" s="476" t="s">
        <v>404</v>
      </c>
      <c r="K30" s="2292" t="s">
        <v>317</v>
      </c>
      <c r="L30" s="2342" t="s">
        <v>404</v>
      </c>
      <c r="M30" s="2292" t="s">
        <v>317</v>
      </c>
      <c r="N30" s="2342" t="s">
        <v>404</v>
      </c>
      <c r="O30" s="2292" t="s">
        <v>317</v>
      </c>
      <c r="P30" s="2342" t="s">
        <v>404</v>
      </c>
      <c r="Q30" s="2231"/>
      <c r="AB30" s="516">
        <v>34</v>
      </c>
    </row>
    <row customHeight="1" ht="15" hidden="1">
      <c r="C31" s="187"/>
      <c r="D31" s="604"/>
      <c r="E31" s="604"/>
      <c r="F31" s="604"/>
      <c r="G31" s="670"/>
      <c r="H31" s="670"/>
      <c r="I31" s="670"/>
      <c r="J31" s="670"/>
      <c r="K31" s="694"/>
      <c r="L31" s="694"/>
      <c r="M31" s="694"/>
      <c r="N31" s="694"/>
      <c r="O31" s="694"/>
      <c r="P31" s="694"/>
      <c r="Q31" s="300"/>
      <c r="AB31" s="516">
        <v>0</v>
      </c>
    </row>
    <row customHeight="1" ht="24">
      <c r="A32" s="516"/>
      <c r="B32" s="516" t="s">
        <v>1043</v>
      </c>
      <c r="C32" s="537"/>
      <c r="D32" s="703">
        <v>1</v>
      </c>
      <c r="E32" s="704" t="s">
        <v>1044</v>
      </c>
      <c r="F32" s="702" t="s">
        <v>320</v>
      </c>
      <c r="G32" s="824" t="s">
        <v>320</v>
      </c>
      <c r="H32" s="824" t="s">
        <v>320</v>
      </c>
      <c r="I32" s="702" t="s">
        <v>320</v>
      </c>
      <c r="J32" s="702" t="s">
        <v>320</v>
      </c>
      <c r="K32" s="2293" t="s">
        <v>320</v>
      </c>
      <c r="L32" s="2293" t="s">
        <v>320</v>
      </c>
      <c r="M32" s="2293" t="s">
        <v>320</v>
      </c>
      <c r="N32" s="2293" t="s">
        <v>320</v>
      </c>
      <c r="O32" s="2293" t="s">
        <v>320</v>
      </c>
      <c r="P32" s="2293" t="s">
        <v>320</v>
      </c>
      <c r="Q32" s="300"/>
      <c r="AB32" s="516">
        <v>23</v>
      </c>
    </row>
    <row customHeight="1" ht="11.549999999999999">
      <c r="A33" s="516"/>
      <c r="C33" s="516"/>
      <c r="D33" s="358"/>
      <c r="E33" s="591" t="s">
        <v>647</v>
      </c>
      <c r="F33" s="583"/>
      <c r="G33" s="583"/>
      <c r="H33" s="583"/>
      <c r="I33" s="583"/>
      <c r="J33" s="583"/>
      <c r="K33" s="2694"/>
      <c r="L33" s="2695"/>
      <c r="M33" s="2696"/>
      <c r="N33" s="2697"/>
      <c r="O33" s="2698"/>
      <c r="P33" s="2699"/>
      <c r="Q33" s="584"/>
      <c r="AA33" s="516"/>
      <c r="AB33" s="516">
        <v>11</v>
      </c>
    </row>
    <row customHeight="1" ht="24">
      <c r="A34" s="516"/>
      <c r="B34" s="592" t="s">
        <v>711</v>
      </c>
      <c r="C34" s="537"/>
      <c r="D34" s="703">
        <v>2</v>
      </c>
      <c r="E34" s="704" t="s">
        <v>1045</v>
      </c>
      <c r="F34" s="831" t="s">
        <v>320</v>
      </c>
      <c r="G34" s="831" t="s">
        <v>320</v>
      </c>
      <c r="H34" s="831" t="s">
        <v>320</v>
      </c>
      <c r="I34" s="702"/>
      <c r="J34" s="702"/>
      <c r="K34" s="2293" t="s">
        <v>320</v>
      </c>
      <c r="L34" s="2293" t="s">
        <v>320</v>
      </c>
      <c r="M34" s="2293" t="s">
        <v>320</v>
      </c>
      <c r="N34" s="2293" t="s">
        <v>320</v>
      </c>
      <c r="O34" s="2293" t="s">
        <v>320</v>
      </c>
      <c r="P34" s="2293" t="s">
        <v>320</v>
      </c>
      <c r="Q34" s="300"/>
      <c r="AB34" s="516">
        <v>23</v>
      </c>
    </row>
    <row customHeight="1" ht="11.549999999999999">
      <c r="A35" s="516"/>
      <c r="C35" s="516"/>
      <c r="D35" s="358"/>
      <c r="E35" s="591" t="s">
        <v>1046</v>
      </c>
      <c r="F35" s="583"/>
      <c r="G35" s="705"/>
      <c r="H35" s="583"/>
      <c r="I35" s="705"/>
      <c r="J35" s="583"/>
      <c r="K35" s="2700"/>
      <c r="L35" s="2701"/>
      <c r="M35" s="2702"/>
      <c r="N35" s="2703"/>
      <c r="O35" s="2704"/>
      <c r="P35" s="2705"/>
      <c r="Q35" s="584"/>
      <c r="AA35" s="516"/>
      <c r="AB35" s="516">
        <v>11</v>
      </c>
    </row>
    <row customHeight="1" ht="71.25">
      <c r="A36" s="516"/>
      <c r="B36" s="516" t="s">
        <v>1047</v>
      </c>
      <c r="C36" s="537"/>
      <c r="D36" s="703">
        <v>3</v>
      </c>
      <c r="E36" s="704" t="s">
        <v>1048</v>
      </c>
      <c r="F36" s="706" t="s">
        <v>320</v>
      </c>
      <c r="G36" s="825" t="s">
        <v>1049</v>
      </c>
      <c r="H36" s="824" t="s">
        <v>320</v>
      </c>
      <c r="I36" s="535" t="s">
        <v>1049</v>
      </c>
      <c r="J36" s="702" t="s">
        <v>320</v>
      </c>
      <c r="K36" s="2137" t="s">
        <v>1049</v>
      </c>
      <c r="L36" s="2293" t="s">
        <v>320</v>
      </c>
      <c r="M36" s="2137" t="s">
        <v>1049</v>
      </c>
      <c r="N36" s="2293" t="s">
        <v>320</v>
      </c>
      <c r="O36" s="2137" t="s">
        <v>1049</v>
      </c>
      <c r="P36" s="2293" t="s">
        <v>320</v>
      </c>
      <c r="Q36" s="300" t="s">
        <v>1050</v>
      </c>
      <c r="AB36" s="516">
        <v>68</v>
      </c>
    </row>
    <row customHeight="1" ht="11.549999999999999">
      <c r="A37" s="516"/>
      <c r="C37" s="516"/>
      <c r="D37" s="358"/>
      <c r="E37" s="591" t="s">
        <v>1051</v>
      </c>
      <c r="F37" s="583"/>
      <c r="G37" s="705"/>
      <c r="H37" s="705"/>
      <c r="I37" s="705"/>
      <c r="J37" s="705"/>
      <c r="K37" s="2706"/>
      <c r="L37" s="2707"/>
      <c r="M37" s="2708"/>
      <c r="N37" s="2709"/>
      <c r="O37" s="2710"/>
      <c r="P37" s="2711"/>
      <c r="Q37" s="584"/>
      <c r="AA37" s="516"/>
      <c r="AB37" s="516">
        <v>11</v>
      </c>
    </row>
    <row customHeight="1" ht="71.25">
      <c r="A38" s="516"/>
      <c r="B38" s="516" t="s">
        <v>1052</v>
      </c>
      <c r="C38" s="537"/>
      <c r="D38" s="703">
        <v>4</v>
      </c>
      <c r="E38" s="704" t="s">
        <v>1053</v>
      </c>
      <c r="F38" s="706" t="s">
        <v>320</v>
      </c>
      <c r="G38" s="825" t="s">
        <v>1049</v>
      </c>
      <c r="H38" s="826" t="s">
        <v>320</v>
      </c>
      <c r="I38" s="535" t="s">
        <v>1049</v>
      </c>
      <c r="J38" s="532" t="s">
        <v>320</v>
      </c>
      <c r="K38" s="2137" t="s">
        <v>1049</v>
      </c>
      <c r="L38" s="2342" t="s">
        <v>320</v>
      </c>
      <c r="M38" s="2137" t="s">
        <v>1049</v>
      </c>
      <c r="N38" s="2342" t="s">
        <v>320</v>
      </c>
      <c r="O38" s="2137" t="s">
        <v>1049</v>
      </c>
      <c r="P38" s="2342" t="s">
        <v>320</v>
      </c>
      <c r="Q38" s="690" t="s">
        <v>1054</v>
      </c>
      <c r="AB38" s="516">
        <v>68</v>
      </c>
    </row>
    <row customHeight="1" ht="11.549999999999999">
      <c r="A39" s="516"/>
      <c r="C39" s="516"/>
      <c r="D39" s="358"/>
      <c r="E39" s="591" t="s">
        <v>1055</v>
      </c>
      <c r="F39" s="583"/>
      <c r="G39" s="583"/>
      <c r="H39" s="707"/>
      <c r="I39" s="583"/>
      <c r="J39" s="707"/>
      <c r="K39" s="2712"/>
      <c r="L39" s="2713"/>
      <c r="M39" s="2714"/>
      <c r="N39" s="2715"/>
      <c r="O39" s="2716"/>
      <c r="P39" s="2717"/>
      <c r="Q39" s="584"/>
      <c r="AA39" s="516"/>
      <c r="AB39" s="516">
        <v>11</v>
      </c>
    </row>
    <row customHeight="1" ht="22.5" hidden="1">
      <c r="A40" s="460" t="s">
        <v>83</v>
      </c>
      <c r="B40" s="516">
        <v>0</v>
      </c>
      <c r="C40" s="694">
        <v>4</v>
      </c>
      <c r="D40" s="516">
        <v>6</v>
      </c>
      <c r="E40" s="516">
        <v>36</v>
      </c>
      <c r="F40" s="516">
        <v>9</v>
      </c>
      <c r="G40" s="769">
        <v>0</v>
      </c>
      <c r="H40" s="769">
        <v>0</v>
      </c>
      <c r="I40" s="516">
        <v>25</v>
      </c>
      <c r="J40" s="516">
        <v>33</v>
      </c>
      <c r="K40" s="1646">
        <v>0</v>
      </c>
      <c r="L40" s="1646">
        <v>0</v>
      </c>
      <c r="M40" s="1646">
        <v>0</v>
      </c>
      <c r="N40" s="1646">
        <v>0</v>
      </c>
      <c r="O40" s="1646">
        <v>0</v>
      </c>
      <c r="P40" s="1646">
        <v>0</v>
      </c>
      <c r="Q40" s="428">
        <v>93</v>
      </c>
      <c r="R40" s="516">
        <v>10</v>
      </c>
      <c r="S40" s="516">
        <v>10</v>
      </c>
      <c r="T40" s="516">
        <v>10</v>
      </c>
      <c r="U40" s="516">
        <v>10</v>
      </c>
      <c r="V40" s="516">
        <v>10</v>
      </c>
      <c r="W40" s="516">
        <v>10</v>
      </c>
      <c r="X40" s="516">
        <v>10</v>
      </c>
      <c r="Y40" s="516">
        <v>10</v>
      </c>
      <c r="Z40" s="516">
        <v>10</v>
      </c>
      <c r="AA40" s="686">
        <v>10</v>
      </c>
      <c r="AB40" s="516">
        <v>23</v>
      </c>
    </row>
  </sheetData>
  <sheetProtection formatColumns="0" formatRows="0" autoFilter="0" sort="0" insertRows="0" insertColumns="1" deleteRows="0" deleteColumns="0"/>
  <mergeCells count="3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E59D8-4D0E-3A48-8DED-A294E4E4CAE8}" mc:Ignorable="x14ac xr xr2 xr3">
  <sheetPr>
    <tabColor theme="9" tint="-0.25"/>
  </sheetPr>
  <dimension ref="A1:AE18"/>
  <sheetViews>
    <sheetView showGridLines="0" zoomScale="85" workbookViewId="0">
      <pane xSplit="7" ySplit="10" topLeftCell="O13" activePane="bottomRight" state="frozen"/>
      <selection pane="bottomLeft" activeCell="A11" sqref="A11"/>
      <selection pane="topRight" activeCell="H1" sqref="H1"/>
      <selection pane="bottomRight" activeCell="X13" sqref="X13:X14"/>
    </sheetView>
  </sheetViews>
  <sheetFormatPr defaultColWidth="9.140625" customHeight="1" defaultRowHeight="10.5"/>
  <cols>
    <col min="1" max="3" style="1177" width="6.7109375" hidden="1" customWidth="1"/>
    <col min="4" max="4" style="1377" width="6.7109375" hidden="1" customWidth="1"/>
    <col min="5" max="5" style="1646" width="3.00390625" customWidth="1"/>
    <col min="6" max="6" style="1646" width="6.00390625" customWidth="1"/>
    <col min="7" max="7" style="1646" width="37.00390625" customWidth="1"/>
    <col min="8" max="8" style="1646" width="16.00390625" customWidth="1"/>
    <col min="9" max="10" style="1646" width="19.00390625" customWidth="1"/>
    <col min="11" max="11" style="1646" width="24.00390625" customWidth="1"/>
    <col min="12" max="13" style="1646" width="25.00390625" customWidth="1"/>
    <col min="14" max="16" style="1646" width="17.00390625" customWidth="1"/>
    <col min="17" max="24" style="1646" width="19.00390625" customWidth="1"/>
    <col min="25" max="25" style="1646" width="7.00390625" customWidth="1"/>
    <col min="26" max="26" style="1646" width="3.00390625" customWidth="1"/>
    <col min="27" max="27" style="1646" width="6.00390625" customWidth="1"/>
    <col min="28" max="28" style="1646" width="34.00390625" customWidth="1"/>
    <col min="29" max="30" style="1646" width="8.00390625" customWidth="1"/>
    <col min="31" max="31" style="1646" width="9.140625" hidden="1"/>
  </cols>
  <sheetData>
    <row s="1377" customFormat="1" customHeight="1" ht="10.5" hidden="1">
      <c r="A1" s="906"/>
      <c r="B1" s="906"/>
      <c r="C1" s="906"/>
      <c r="E1" s="548"/>
      <c r="H1" s="1171"/>
      <c r="AE1" s="428" t="s">
        <v>14</v>
      </c>
    </row>
    <row customHeight="1" ht="10.5" hidden="1">
      <c r="AE2" s="769">
        <v>0</v>
      </c>
    </row>
    <row s="1643" customFormat="1" customHeight="1" ht="10.5" hidden="1">
      <c r="A3" s="906"/>
      <c r="B3" s="906"/>
      <c r="C3" s="906"/>
      <c r="D3" s="428"/>
      <c r="E3" s="373"/>
      <c r="G3" s="1643" t="s">
        <v>1056</v>
      </c>
      <c r="H3" s="1167"/>
      <c r="AE3" s="770">
        <v>0</v>
      </c>
    </row>
    <row customHeight="1" ht="3">
      <c r="AE4" s="769">
        <v>3</v>
      </c>
    </row>
    <row customHeight="1" ht="27.299999999999997">
      <c r="F5" s="227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8"/>
      <c r="H5" s="2278"/>
      <c r="I5" s="2278"/>
      <c r="J5" s="2278"/>
      <c r="K5" s="2278"/>
      <c r="M5" s="593"/>
      <c r="AB5" s="917"/>
      <c r="AE5" s="769">
        <v>26</v>
      </c>
    </row>
    <row s="1646" customFormat="1" customHeight="1" ht="16.8">
      <c r="A6" s="1177"/>
      <c r="B6" s="1177"/>
      <c r="C6" s="1177"/>
      <c r="D6" s="1171"/>
      <c r="E6" s="1646"/>
      <c r="F6" s="2279" t="str">
        <f>IF(org=0,"Не определено",org)</f>
        <v>ПАО "КГК"</v>
      </c>
      <c r="G6" s="2279"/>
      <c r="H6" s="2279"/>
      <c r="I6" s="2279"/>
      <c r="J6" s="2279"/>
      <c r="K6" s="2279"/>
      <c r="M6" s="593"/>
      <c r="AB6" s="1159"/>
      <c r="AE6" s="1642">
        <v>16</v>
      </c>
    </row>
    <row customHeight="1" ht="10.5">
      <c r="AE7" s="769">
        <v>10</v>
      </c>
    </row>
    <row customHeight="1" ht="10.5">
      <c r="A8" s="1062"/>
      <c r="B8" s="1062"/>
      <c r="C8" s="1062"/>
      <c r="F8" s="2131" t="s">
        <v>314</v>
      </c>
      <c r="G8" s="2132"/>
      <c r="H8" s="2132"/>
      <c r="I8" s="2132"/>
      <c r="J8" s="2132"/>
      <c r="K8" s="2132"/>
      <c r="L8" s="2132"/>
      <c r="M8" s="2132"/>
      <c r="N8" s="2132"/>
      <c r="O8" s="2132"/>
      <c r="P8" s="2132"/>
      <c r="Q8" s="2132"/>
      <c r="R8" s="2132"/>
      <c r="S8" s="2132"/>
      <c r="T8" s="2132"/>
      <c r="U8" s="2132"/>
      <c r="V8" s="2132"/>
      <c r="W8" s="2132"/>
      <c r="X8" s="2132"/>
      <c r="Y8" s="2132"/>
      <c r="Z8" s="2132"/>
      <c r="AA8" s="2132"/>
      <c r="AB8" s="2133"/>
      <c r="AE8" s="769">
        <v>10</v>
      </c>
    </row>
    <row customHeight="1" ht="43.050000000000004">
      <c r="A9" s="916"/>
      <c r="B9" s="916"/>
      <c r="C9" s="916"/>
      <c r="F9" s="2157" t="s">
        <v>89</v>
      </c>
      <c r="G9" s="2157" t="s">
        <v>1056</v>
      </c>
      <c r="H9" s="2205" t="s">
        <v>1057</v>
      </c>
      <c r="I9" s="2157" t="s">
        <v>1058</v>
      </c>
      <c r="J9" s="2157" t="s">
        <v>1059</v>
      </c>
      <c r="K9" s="2157" t="s">
        <v>1060</v>
      </c>
      <c r="L9" s="2157" t="s">
        <v>1061</v>
      </c>
      <c r="M9" s="2157" t="s">
        <v>1062</v>
      </c>
      <c r="N9" s="2239" t="s">
        <v>1063</v>
      </c>
      <c r="O9" s="2239"/>
      <c r="P9" s="2239"/>
      <c r="Q9" s="2429" t="s">
        <v>1064</v>
      </c>
      <c r="R9" s="2430"/>
      <c r="S9" s="2430"/>
      <c r="T9" s="2431"/>
      <c r="U9" s="2429" t="s">
        <v>1065</v>
      </c>
      <c r="V9" s="2430"/>
      <c r="W9" s="2430"/>
      <c r="X9" s="2431"/>
      <c r="Y9" s="2131" t="s">
        <v>1066</v>
      </c>
      <c r="Z9" s="2132"/>
      <c r="AA9" s="2132"/>
      <c r="AB9" s="2133"/>
      <c r="AE9" s="769">
        <v>41</v>
      </c>
    </row>
    <row customHeight="1" ht="43.050000000000004">
      <c r="A10" s="916"/>
      <c r="B10" s="916"/>
      <c r="C10" s="916"/>
      <c r="F10" s="2205"/>
      <c r="G10" s="2205"/>
      <c r="H10" s="2262"/>
      <c r="I10" s="2205"/>
      <c r="J10" s="2205"/>
      <c r="K10" s="2205"/>
      <c r="L10" s="2205"/>
      <c r="M10" s="2205"/>
      <c r="N10" s="914" t="s">
        <v>1067</v>
      </c>
      <c r="O10" s="914" t="s">
        <v>1068</v>
      </c>
      <c r="P10" s="915" t="s">
        <v>1069</v>
      </c>
      <c r="Q10" s="926" t="s">
        <v>90</v>
      </c>
      <c r="R10" s="926" t="s">
        <v>1070</v>
      </c>
      <c r="S10" s="926" t="s">
        <v>1071</v>
      </c>
      <c r="T10" s="927" t="s">
        <v>1072</v>
      </c>
      <c r="U10" s="926" t="s">
        <v>90</v>
      </c>
      <c r="V10" s="926" t="s">
        <v>1073</v>
      </c>
      <c r="W10" s="926" t="s">
        <v>1071</v>
      </c>
      <c r="X10" s="927" t="s">
        <v>1072</v>
      </c>
      <c r="Y10" s="312" t="s">
        <v>1074</v>
      </c>
      <c r="Z10" s="2131" t="s">
        <v>89</v>
      </c>
      <c r="AA10" s="2133"/>
      <c r="AB10" s="1060" t="s">
        <v>1075</v>
      </c>
      <c r="AE10" s="769">
        <v>41</v>
      </c>
    </row>
    <row s="1653" customFormat="1" customHeight="1" ht="5.25" hidden="1">
      <c r="A11" s="1063"/>
      <c r="B11" s="1063"/>
      <c r="C11" s="1063"/>
      <c r="E11" s="1061"/>
      <c r="F11" s="2436" t="s">
        <v>390</v>
      </c>
      <c r="G11" s="2433"/>
      <c r="H11" s="2432"/>
      <c r="I11" s="2432"/>
      <c r="J11" s="2432"/>
      <c r="K11" s="2434"/>
      <c r="L11" s="2434"/>
      <c r="M11" s="2434"/>
      <c r="N11" s="2432"/>
      <c r="O11" s="2432"/>
      <c r="P11" s="2157"/>
      <c r="Q11" s="2209"/>
      <c r="R11" s="2209"/>
      <c r="S11" s="2209"/>
      <c r="T11" s="2432"/>
      <c r="U11" s="2209"/>
      <c r="V11" s="2209"/>
      <c r="W11" s="2209"/>
      <c r="X11" s="2432"/>
      <c r="Y11" s="2138"/>
      <c r="Z11" s="2138"/>
      <c r="AA11" s="2138"/>
      <c r="AB11" s="2138"/>
      <c r="AD11" s="522" t="s">
        <v>1076</v>
      </c>
      <c r="AE11" s="522">
        <v>0</v>
      </c>
    </row>
    <row s="1653" customFormat="1" customHeight="1" ht="5.25" hidden="1">
      <c r="A12" s="907"/>
      <c r="B12" s="907"/>
      <c r="C12" s="907"/>
      <c r="E12" s="529"/>
      <c r="F12" s="2436"/>
      <c r="G12" s="2433"/>
      <c r="H12" s="2432"/>
      <c r="I12" s="2432"/>
      <c r="J12" s="2432"/>
      <c r="K12" s="2434"/>
      <c r="L12" s="2434"/>
      <c r="M12" s="2434"/>
      <c r="N12" s="2432"/>
      <c r="O12" s="2432"/>
      <c r="P12" s="2157"/>
      <c r="Q12" s="2209"/>
      <c r="R12" s="2209"/>
      <c r="S12" s="2209"/>
      <c r="T12" s="2432"/>
      <c r="U12" s="2209"/>
      <c r="V12" s="2209"/>
      <c r="W12" s="2209"/>
      <c r="X12" s="2432"/>
      <c r="Y12" s="2435"/>
      <c r="Z12" s="2435"/>
      <c r="AA12" s="2435"/>
      <c r="AB12" s="2435"/>
      <c r="AE12" s="522">
        <v>0</v>
      </c>
    </row>
    <row customHeight="1" ht="27">
      <c r="A13" s="1177"/>
      <c r="B13" s="1177"/>
      <c r="C13" s="1177"/>
      <c r="D13" s="1171"/>
      <c r="E13" s="694" t="s">
        <v>105</v>
      </c>
      <c r="F13" s="2611" t="s">
        <v>120</v>
      </c>
      <c r="G13" s="2612" t="s">
        <v>1077</v>
      </c>
      <c r="H13" s="2613" t="s">
        <v>63</v>
      </c>
      <c r="I13" s="2615">
        <v>44862.56322916667</v>
      </c>
      <c r="J13" s="2578">
        <v>46008.56358796296</v>
      </c>
      <c r="K13" s="2617" t="s">
        <v>1078</v>
      </c>
      <c r="L13" s="2580" t="s">
        <v>1079</v>
      </c>
      <c r="M13" s="2580" t="s">
        <v>1080</v>
      </c>
      <c r="N13" s="2581" t="s">
        <v>1081</v>
      </c>
      <c r="O13" s="2581" t="s">
        <v>1082</v>
      </c>
      <c r="P13" s="2582" t="str">
        <f>DATEDIF(DATEVALUE(N13),DATEVALUE(O13),"y")&amp;"г. "&amp;DATEDIF(DATEVALUE(N13),DATEVALUE(O13),"ym")&amp;"мес. "&amp;DATEVALUE(O13)-DATE(YEAR(DATEVALUE(O13)),MONTH(DATEVALUE(O13)),1)&amp;"дн. "</f>
        <v>5г. 11мес. 30дн. </v>
      </c>
      <c r="Q13" s="2577" t="s">
        <v>1083</v>
      </c>
      <c r="R13" s="2577" t="s">
        <v>1084</v>
      </c>
      <c r="S13" s="2577" t="s">
        <v>1085</v>
      </c>
      <c r="T13" s="2578">
        <v>44862.56737268518</v>
      </c>
      <c r="U13" s="2577" t="s">
        <v>1086</v>
      </c>
      <c r="V13" s="2577" t="s">
        <v>1084</v>
      </c>
      <c r="W13" s="2577" t="s">
        <v>1087</v>
      </c>
      <c r="X13" s="2578">
        <v>46008.569398148145</v>
      </c>
      <c r="Y13" s="2575" t="s">
        <v>19</v>
      </c>
      <c r="Z13" s="1818"/>
      <c r="AA13" s="1802">
        <v>1</v>
      </c>
      <c r="AB13" s="2900" t="s">
        <v>22</v>
      </c>
      <c r="AC13" s="1646"/>
      <c r="AD13" s="1647" t="s">
        <v>1088</v>
      </c>
      <c r="AE13" s="1646"/>
    </row>
    <row customHeight="1" ht="10.5">
      <c r="A14" s="1177"/>
      <c r="B14" s="1177"/>
      <c r="C14" s="1177"/>
      <c r="D14" s="1171"/>
      <c r="E14" s="958"/>
      <c r="F14" s="2611" t="s">
        <v>390</v>
      </c>
      <c r="G14" s="2612"/>
      <c r="H14" s="2614"/>
      <c r="I14" s="2616"/>
      <c r="J14" s="2579"/>
      <c r="K14" s="2617"/>
      <c r="L14" s="2580"/>
      <c r="M14" s="2580"/>
      <c r="N14" s="2581"/>
      <c r="O14" s="2581"/>
      <c r="P14" s="2582"/>
      <c r="Q14" s="2577"/>
      <c r="R14" s="2577"/>
      <c r="S14" s="2577"/>
      <c r="T14" s="2579"/>
      <c r="U14" s="2577"/>
      <c r="V14" s="2577"/>
      <c r="W14" s="2577"/>
      <c r="X14" s="2579"/>
      <c r="Y14" s="2576"/>
      <c r="Z14" s="358"/>
      <c r="AA14" s="583"/>
      <c r="AB14" s="663" t="s">
        <v>1089</v>
      </c>
      <c r="AC14" s="1646"/>
      <c r="AD14" s="1646"/>
      <c r="AE14" s="1646"/>
    </row>
    <row customHeight="1" ht="10.5">
      <c r="F15" s="913"/>
      <c r="G15" s="661" t="s">
        <v>1090</v>
      </c>
      <c r="H15" s="1179"/>
      <c r="I15" s="583"/>
      <c r="J15" s="583"/>
      <c r="K15" s="583"/>
      <c r="L15" s="583"/>
      <c r="M15" s="583"/>
      <c r="N15" s="583"/>
      <c r="O15" s="583"/>
      <c r="P15" s="583"/>
      <c r="Q15" s="583"/>
      <c r="R15" s="583"/>
      <c r="S15" s="583"/>
      <c r="T15" s="583"/>
      <c r="U15" s="583"/>
      <c r="V15" s="583"/>
      <c r="W15" s="583"/>
      <c r="X15" s="583"/>
      <c r="Y15" s="583"/>
      <c r="Z15" s="707"/>
      <c r="AA15" s="707"/>
      <c r="AB15" s="928"/>
      <c r="AE15" s="769">
        <v>10</v>
      </c>
    </row>
    <row customHeight="1" ht="10.5">
      <c r="AE16" s="769">
        <v>10</v>
      </c>
    </row>
    <row s="1653" customFormat="1" customHeight="1" ht="10.5">
      <c r="A17" s="1178"/>
      <c r="B17" s="1178"/>
      <c r="C17" s="1178"/>
      <c r="E17" s="529"/>
      <c r="H17" s="522">
        <f>_xlfn.IFERROR(MATCH("нет",IP_MAIN_DIFFERENTIATION_EVENTS_FLAG,0),0)</f>
        <v>0</v>
      </c>
      <c r="AE17" s="522">
        <v>10</v>
      </c>
    </row>
    <row customHeight="1" ht="10.5" hidden="1">
      <c r="A18" s="906" t="s">
        <v>83</v>
      </c>
      <c r="B18" s="906">
        <v>0</v>
      </c>
      <c r="C18" s="906">
        <v>0</v>
      </c>
      <c r="D18" s="428">
        <v>0</v>
      </c>
      <c r="E18" s="520">
        <v>3</v>
      </c>
      <c r="F18" s="769">
        <v>6</v>
      </c>
      <c r="G18" s="769">
        <v>37</v>
      </c>
      <c r="H18" s="1166">
        <v>16</v>
      </c>
      <c r="I18" s="769">
        <v>19</v>
      </c>
      <c r="J18" s="769">
        <v>19</v>
      </c>
      <c r="K18" s="769">
        <v>24</v>
      </c>
      <c r="L18" s="769">
        <v>25</v>
      </c>
      <c r="M18" s="769">
        <v>25</v>
      </c>
      <c r="N18" s="769">
        <v>17</v>
      </c>
      <c r="O18" s="769">
        <v>17</v>
      </c>
      <c r="P18" s="769">
        <v>17</v>
      </c>
      <c r="Q18" s="769">
        <v>19</v>
      </c>
      <c r="R18" s="769">
        <v>19</v>
      </c>
      <c r="S18" s="769">
        <v>19</v>
      </c>
      <c r="T18" s="769">
        <v>19</v>
      </c>
      <c r="U18" s="769">
        <v>19</v>
      </c>
      <c r="V18" s="769">
        <v>19</v>
      </c>
      <c r="W18" s="769">
        <v>19</v>
      </c>
      <c r="X18" s="769">
        <v>19</v>
      </c>
      <c r="Y18" s="769">
        <v>7</v>
      </c>
      <c r="Z18" s="769">
        <v>3</v>
      </c>
      <c r="AA18" s="769">
        <v>6</v>
      </c>
      <c r="AB18" s="769">
        <v>34</v>
      </c>
      <c r="AC18" s="769">
        <v>8</v>
      </c>
      <c r="AD18" s="769">
        <v>8</v>
      </c>
      <c r="AE18" s="769">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34D88-8D83-7619-57F1-D538BCA872E8}" mc:Ignorable="x14ac xr xr2 xr3">
  <sheetPr>
    <tabColor theme="9" tint="-0.25"/>
  </sheetPr>
  <dimension ref="A1:BG602"/>
  <sheetViews>
    <sheetView showGridLines="0" zoomScale="90" workbookViewId="0">
      <pane xSplit="8" ySplit="12" topLeftCell="AB601" activePane="bottomRight" state="frozen"/>
      <selection pane="bottomLeft" activeCell="A13" sqref="A13"/>
      <selection pane="topRight" activeCell="I1" sqref="I1"/>
      <selection pane="bottomRight" activeCell="AK216" sqref="AK216:AK221"/>
    </sheetView>
  </sheetViews>
  <sheetFormatPr defaultColWidth="9.140625" customHeight="1" defaultRowHeight="10.5"/>
  <cols>
    <col min="1" max="3" style="1177" width="4.140625" hidden="1" customWidth="1"/>
    <col min="4" max="4" style="1377" width="4.140625" hidden="1" customWidth="1"/>
    <col min="5" max="5" style="1646" width="3.00390625" customWidth="1"/>
    <col min="6" max="6" style="1646" width="14.00390625" customWidth="1"/>
    <col min="7" max="7" style="1646" width="3.00390625" customWidth="1"/>
    <col min="8" max="8" style="1646" width="7.00390625" customWidth="1"/>
    <col min="9" max="10" style="1646" width="16.00390625" customWidth="1"/>
    <col min="11" max="11" style="1646" width="25.00390625" customWidth="1"/>
    <col min="12" max="12" style="1646" width="7.00390625" customWidth="1"/>
    <col min="13" max="13" style="1646" width="15.00390625" customWidth="1"/>
    <col min="14" max="14" style="1646" width="3.00390625" customWidth="1"/>
    <col min="15" max="15" style="1646" width="4.00390625" customWidth="1"/>
    <col min="16" max="16" style="1646" width="8.00390625" customWidth="1"/>
    <col min="17" max="17" style="1646" width="21.00390625" customWidth="1"/>
    <col min="18" max="18" style="1646" width="14.00390625" customWidth="1"/>
    <col min="19" max="20" style="1646" width="17.00390625" customWidth="1"/>
    <col min="21" max="21" style="1646" width="9.00390625" customWidth="1"/>
    <col min="22" max="22" style="1646" width="12.00390625" customWidth="1"/>
    <col min="23" max="23" style="1646" width="9.00390625" customWidth="1"/>
    <col min="24" max="24" style="1646" width="21.00390625" customWidth="1"/>
    <col min="25" max="25" style="1646" width="12.00390625" customWidth="1"/>
    <col min="26" max="26" style="1646" width="3.00390625" customWidth="1"/>
    <col min="27" max="27" style="1646" width="6.00390625" customWidth="1"/>
    <col min="28" max="28" style="1646" width="38.00390625" customWidth="1"/>
    <col min="29" max="29" style="1646" width="15.00390625" customWidth="1"/>
    <col min="30" max="30" style="1646" width="37.57421875" customWidth="1"/>
    <col min="31" max="31" style="1646" width="15.7109375" customWidth="1"/>
    <col min="32" max="34" style="1646" width="16.00390625" customWidth="1"/>
    <col min="35" max="37" style="1646" width="16.7109375" customWidth="1"/>
    <col min="38" max="58" style="1646" width="8.00390625" customWidth="1"/>
    <col min="59" max="59" style="1646" width="9.140625" hidden="1"/>
  </cols>
  <sheetData>
    <row s="1377" customFormat="1" customHeight="1" ht="10.5" hidden="1">
      <c r="A1" s="906"/>
      <c r="B1" s="906"/>
      <c r="C1" s="906"/>
      <c r="E1" s="548"/>
      <c r="H1" s="1171"/>
      <c r="L1" s="1139"/>
      <c r="M1" s="1139"/>
      <c r="AD1" s="1139"/>
      <c r="AH1" s="1158"/>
      <c r="AI1" s="1151"/>
      <c r="BG1" s="428" t="s">
        <v>14</v>
      </c>
    </row>
    <row customHeight="1" ht="10.5" hidden="1">
      <c r="BG2" s="769">
        <v>0</v>
      </c>
    </row>
    <row s="1643" customFormat="1" customHeight="1" ht="10.5" hidden="1">
      <c r="A3" s="906"/>
      <c r="B3" s="906"/>
      <c r="C3" s="906"/>
      <c r="D3" s="428"/>
      <c r="E3" s="373"/>
      <c r="H3" s="1167"/>
      <c r="L3" s="1137"/>
      <c r="M3" s="1137"/>
      <c r="AD3" s="1137"/>
      <c r="AH3" s="1156"/>
      <c r="AI3" s="1149"/>
      <c r="BG3" s="770">
        <v>0</v>
      </c>
    </row>
    <row customHeight="1" ht="3">
      <c r="BG4" s="769">
        <v>3</v>
      </c>
    </row>
    <row customHeight="1" ht="27.299999999999997">
      <c r="F5" s="227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78"/>
      <c r="H5" s="2278"/>
      <c r="I5" s="2278"/>
      <c r="J5" s="2278"/>
      <c r="K5" s="2278"/>
      <c r="L5" s="1146"/>
      <c r="M5" s="1146"/>
      <c r="AG5" s="917"/>
      <c r="AH5" s="1159"/>
      <c r="BG5" s="769">
        <v>26</v>
      </c>
    </row>
    <row customHeight="1" ht="10.5">
      <c r="F6" s="2206" t="str">
        <f>IF(org=0,"Не определено",org)</f>
        <v>ПАО "КГК"</v>
      </c>
      <c r="G6" s="2206"/>
      <c r="H6" s="2206"/>
      <c r="I6" s="2206"/>
      <c r="J6" s="2206"/>
      <c r="K6" s="2206"/>
      <c r="L6" s="1147"/>
      <c r="M6" s="1147"/>
      <c r="BG6" s="769">
        <v>10</v>
      </c>
    </row>
    <row customHeight="1" ht="11.549999999999999">
      <c r="E7" s="919"/>
      <c r="F7" s="930"/>
      <c r="G7" s="930"/>
      <c r="H7" s="1195"/>
      <c r="I7" s="930"/>
      <c r="J7" s="930"/>
      <c r="K7" s="932"/>
      <c r="L7" s="1144"/>
      <c r="M7" s="1144"/>
      <c r="N7" s="930"/>
      <c r="O7" s="930"/>
      <c r="P7" s="930"/>
      <c r="Q7" s="932"/>
      <c r="R7" s="930"/>
      <c r="S7" s="930"/>
      <c r="T7" s="930"/>
      <c r="U7" s="930"/>
      <c r="V7" s="930"/>
      <c r="W7" s="930"/>
      <c r="X7" s="930"/>
      <c r="Y7" s="930"/>
      <c r="Z7" s="930"/>
      <c r="AA7" s="930"/>
      <c r="AB7" s="930"/>
      <c r="AC7" s="931"/>
      <c r="AD7" s="1143"/>
      <c r="AE7" s="931"/>
      <c r="AF7" s="930"/>
      <c r="AG7" s="930"/>
      <c r="AH7" s="1161"/>
      <c r="AI7" s="1154"/>
      <c r="AJ7" s="930"/>
      <c r="AK7" s="930"/>
      <c r="AL7" s="921"/>
      <c r="AM7" s="921"/>
      <c r="AN7" s="921"/>
      <c r="AO7" s="918"/>
      <c r="AP7" s="918"/>
      <c r="AQ7" s="918"/>
      <c r="AR7" s="918"/>
      <c r="AS7" s="918"/>
      <c r="AT7" s="918"/>
      <c r="AU7" s="918"/>
      <c r="AV7" s="918"/>
      <c r="AW7" s="918"/>
      <c r="AX7" s="918"/>
      <c r="AY7" s="918"/>
      <c r="AZ7" s="918"/>
      <c r="BA7" s="918"/>
      <c r="BB7" s="918"/>
      <c r="BC7" s="918"/>
      <c r="BD7" s="918"/>
      <c r="BE7" s="918"/>
      <c r="BF7" s="918"/>
      <c r="BG7" s="769">
        <v>11</v>
      </c>
    </row>
    <row customHeight="1" ht="10.5">
      <c r="E8" s="919"/>
      <c r="F8" s="2445" t="s">
        <v>314</v>
      </c>
      <c r="G8" s="2446"/>
      <c r="H8" s="2446"/>
      <c r="I8" s="2446"/>
      <c r="J8" s="2446"/>
      <c r="K8" s="2446"/>
      <c r="L8" s="2446"/>
      <c r="M8" s="2446"/>
      <c r="N8" s="2446"/>
      <c r="O8" s="2446"/>
      <c r="P8" s="2446"/>
      <c r="Q8" s="2446"/>
      <c r="R8" s="2446"/>
      <c r="S8" s="2446"/>
      <c r="T8" s="2446"/>
      <c r="U8" s="2446"/>
      <c r="V8" s="2446"/>
      <c r="W8" s="2446"/>
      <c r="X8" s="2446"/>
      <c r="Y8" s="2446"/>
      <c r="Z8" s="2446"/>
      <c r="AA8" s="2446"/>
      <c r="AB8" s="2446"/>
      <c r="AC8" s="2446"/>
      <c r="AD8" s="2446"/>
      <c r="AE8" s="2446"/>
      <c r="AF8" s="2446"/>
      <c r="AG8" s="2446"/>
      <c r="AH8" s="2446"/>
      <c r="AI8" s="2446"/>
      <c r="AJ8" s="2446"/>
      <c r="AK8" s="2447"/>
      <c r="AL8" s="920"/>
      <c r="AM8" s="918"/>
      <c r="AN8" s="918"/>
      <c r="AO8" s="918"/>
      <c r="AP8" s="918"/>
      <c r="AQ8" s="918"/>
      <c r="AR8" s="918"/>
      <c r="AS8" s="918"/>
      <c r="AT8" s="918"/>
      <c r="AU8" s="918"/>
      <c r="AV8" s="918"/>
      <c r="AW8" s="918"/>
      <c r="AX8" s="918"/>
      <c r="AY8" s="918"/>
      <c r="AZ8" s="918"/>
      <c r="BA8" s="918"/>
      <c r="BB8" s="918"/>
      <c r="BC8" s="918"/>
      <c r="BD8" s="918"/>
      <c r="BE8" s="918"/>
      <c r="BF8" s="918"/>
      <c r="BG8" s="769">
        <v>10</v>
      </c>
    </row>
    <row customHeight="1" ht="24">
      <c r="A9" s="916"/>
      <c r="B9" s="916"/>
      <c r="C9" s="916"/>
      <c r="E9" s="919"/>
      <c r="F9" s="2438" t="s">
        <v>1091</v>
      </c>
      <c r="G9" s="2439" t="s">
        <v>1092</v>
      </c>
      <c r="H9" s="2440"/>
      <c r="I9" s="2157" t="s">
        <v>1093</v>
      </c>
      <c r="J9" s="2157"/>
      <c r="K9" s="2157" t="s">
        <v>1094</v>
      </c>
      <c r="L9" s="2157"/>
      <c r="M9" s="2157"/>
      <c r="N9" s="2157"/>
      <c r="O9" s="2157"/>
      <c r="P9" s="2157"/>
      <c r="Q9" s="2157"/>
      <c r="R9" s="2157"/>
      <c r="S9" s="2157"/>
      <c r="T9" s="2157"/>
      <c r="U9" s="2157"/>
      <c r="V9" s="2157"/>
      <c r="W9" s="2157"/>
      <c r="X9" s="2157"/>
      <c r="Y9" s="2157"/>
      <c r="Z9" s="2222" t="s">
        <v>1095</v>
      </c>
      <c r="AA9" s="2223"/>
      <c r="AB9" s="2157" t="s">
        <v>1096</v>
      </c>
      <c r="AC9" s="2157"/>
      <c r="AD9" s="2157"/>
      <c r="AE9" s="2157"/>
      <c r="AF9" s="2205" t="s">
        <v>1097</v>
      </c>
      <c r="AG9" s="2157" t="s">
        <v>1098</v>
      </c>
      <c r="AH9" s="2157"/>
      <c r="AI9" s="2205" t="s">
        <v>1099</v>
      </c>
      <c r="AJ9" s="2157" t="s">
        <v>1100</v>
      </c>
      <c r="AK9" s="2157"/>
      <c r="AL9" s="1153"/>
      <c r="AM9" s="918"/>
      <c r="AN9" s="918"/>
      <c r="AO9" s="918"/>
      <c r="AP9" s="918"/>
      <c r="AQ9" s="918"/>
      <c r="AR9" s="918"/>
      <c r="AS9" s="918"/>
      <c r="AT9" s="918"/>
      <c r="AU9" s="918"/>
      <c r="AV9" s="918"/>
      <c r="AW9" s="918"/>
      <c r="AX9" s="918"/>
      <c r="AY9" s="918"/>
      <c r="AZ9" s="918"/>
      <c r="BA9" s="918"/>
      <c r="BB9" s="918"/>
      <c r="BC9" s="918"/>
      <c r="BD9" s="918"/>
      <c r="BE9" s="918"/>
      <c r="BF9" s="918"/>
      <c r="BG9" s="769">
        <v>23</v>
      </c>
    </row>
    <row customHeight="1" ht="25.2">
      <c r="A10" s="916"/>
      <c r="B10" s="916"/>
      <c r="C10" s="916"/>
      <c r="E10" s="923"/>
      <c r="F10" s="2438"/>
      <c r="G10" s="2441"/>
      <c r="H10" s="2442"/>
      <c r="I10" s="2157"/>
      <c r="J10" s="2157"/>
      <c r="K10" s="2157" t="s">
        <v>1101</v>
      </c>
      <c r="L10" s="2131" t="s">
        <v>1102</v>
      </c>
      <c r="M10" s="2133"/>
      <c r="N10" s="2157" t="s">
        <v>1103</v>
      </c>
      <c r="O10" s="2157"/>
      <c r="P10" s="2157"/>
      <c r="Q10" s="2157"/>
      <c r="R10" s="2157"/>
      <c r="S10" s="2157"/>
      <c r="T10" s="2157"/>
      <c r="U10" s="2157"/>
      <c r="V10" s="2157"/>
      <c r="W10" s="2157"/>
      <c r="X10" s="2157"/>
      <c r="Y10" s="2157"/>
      <c r="Z10" s="2224"/>
      <c r="AA10" s="2225"/>
      <c r="AB10" s="2157"/>
      <c r="AC10" s="2157"/>
      <c r="AD10" s="2157"/>
      <c r="AE10" s="2157"/>
      <c r="AF10" s="2229"/>
      <c r="AG10" s="2157"/>
      <c r="AH10" s="2157"/>
      <c r="AI10" s="2229"/>
      <c r="AJ10" s="2157"/>
      <c r="AK10" s="2157"/>
      <c r="AL10" s="1153"/>
      <c r="AM10" s="924"/>
      <c r="AN10" s="924"/>
      <c r="AO10" s="924"/>
      <c r="AP10" s="924"/>
      <c r="AQ10" s="924"/>
      <c r="AR10" s="924"/>
      <c r="AS10" s="924"/>
      <c r="AT10" s="924"/>
      <c r="AU10" s="924"/>
      <c r="AV10" s="924"/>
      <c r="AW10" s="924"/>
      <c r="AX10" s="924"/>
      <c r="AY10" s="924"/>
      <c r="AZ10" s="924"/>
      <c r="BA10" s="924"/>
      <c r="BB10" s="924"/>
      <c r="BC10" s="924"/>
      <c r="BD10" s="924"/>
      <c r="BE10" s="924"/>
      <c r="BF10" s="924"/>
      <c r="BG10" s="769">
        <v>24</v>
      </c>
    </row>
    <row s="1646" customFormat="1" customHeight="1" ht="25.2">
      <c r="A11" s="1140"/>
      <c r="B11" s="1140"/>
      <c r="C11" s="1140"/>
      <c r="D11" s="1139"/>
      <c r="E11" s="1141"/>
      <c r="F11" s="2438"/>
      <c r="G11" s="2441"/>
      <c r="H11" s="2442"/>
      <c r="I11" s="2157"/>
      <c r="J11" s="2157"/>
      <c r="K11" s="2157"/>
      <c r="L11" s="2205" t="s">
        <v>1104</v>
      </c>
      <c r="M11" s="2205" t="s">
        <v>1105</v>
      </c>
      <c r="N11" s="2157" t="s">
        <v>1106</v>
      </c>
      <c r="O11" s="2157"/>
      <c r="P11" s="2448" t="s">
        <v>1074</v>
      </c>
      <c r="Q11" s="2448" t="s">
        <v>1107</v>
      </c>
      <c r="R11" s="2448" t="s">
        <v>1108</v>
      </c>
      <c r="S11" s="2448" t="s">
        <v>1109</v>
      </c>
      <c r="T11" s="2448"/>
      <c r="U11" s="2448"/>
      <c r="V11" s="2448"/>
      <c r="W11" s="2448"/>
      <c r="X11" s="2448"/>
      <c r="Y11" s="2448"/>
      <c r="Z11" s="2224"/>
      <c r="AA11" s="2225"/>
      <c r="AB11" s="2157" t="s">
        <v>1110</v>
      </c>
      <c r="AC11" s="2157"/>
      <c r="AD11" s="2131" t="s">
        <v>1111</v>
      </c>
      <c r="AE11" s="2133"/>
      <c r="AF11" s="2229"/>
      <c r="AG11" s="2157"/>
      <c r="AH11" s="2157"/>
      <c r="AI11" s="2229"/>
      <c r="AJ11" s="2157"/>
      <c r="AK11" s="2157"/>
      <c r="AL11" s="1153"/>
      <c r="AM11" s="1138"/>
      <c r="AN11" s="1138"/>
      <c r="AO11" s="1138"/>
      <c r="AP11" s="1138"/>
      <c r="AQ11" s="1138"/>
      <c r="AR11" s="1138"/>
      <c r="AS11" s="1138"/>
      <c r="AT11" s="1138"/>
      <c r="AU11" s="1138"/>
      <c r="AV11" s="1138"/>
      <c r="AW11" s="1138"/>
      <c r="AX11" s="1138"/>
      <c r="AY11" s="1138"/>
      <c r="AZ11" s="1138"/>
      <c r="BA11" s="1138"/>
      <c r="BB11" s="1138"/>
      <c r="BC11" s="1138"/>
      <c r="BD11" s="1138"/>
      <c r="BE11" s="1138"/>
      <c r="BF11" s="1138"/>
      <c r="BG11" s="1136">
        <v>24</v>
      </c>
    </row>
    <row customHeight="1" ht="35.699999999999996">
      <c r="A12" s="916"/>
      <c r="B12" s="916"/>
      <c r="C12" s="916"/>
      <c r="E12" s="919"/>
      <c r="F12" s="2438"/>
      <c r="G12" s="2443"/>
      <c r="H12" s="2444"/>
      <c r="I12" s="1164" t="s">
        <v>90</v>
      </c>
      <c r="J12" s="1164" t="s">
        <v>1112</v>
      </c>
      <c r="K12" s="2157"/>
      <c r="L12" s="2262"/>
      <c r="M12" s="2262"/>
      <c r="N12" s="2157"/>
      <c r="O12" s="2157"/>
      <c r="P12" s="2448"/>
      <c r="Q12" s="2448"/>
      <c r="R12" s="2448"/>
      <c r="S12" s="1145" t="s">
        <v>87</v>
      </c>
      <c r="T12" s="1145" t="s">
        <v>88</v>
      </c>
      <c r="U12" s="1145" t="s">
        <v>86</v>
      </c>
      <c r="V12" s="1145" t="s">
        <v>1113</v>
      </c>
      <c r="W12" s="1145" t="s">
        <v>86</v>
      </c>
      <c r="X12" s="1145" t="s">
        <v>1114</v>
      </c>
      <c r="Y12" s="1145" t="s">
        <v>1115</v>
      </c>
      <c r="Z12" s="2230"/>
      <c r="AA12" s="2231"/>
      <c r="AB12" s="1152" t="s">
        <v>1116</v>
      </c>
      <c r="AC12" s="1152" t="s">
        <v>1117</v>
      </c>
      <c r="AD12" s="1152" t="s">
        <v>1116</v>
      </c>
      <c r="AE12" s="1152" t="s">
        <v>1117</v>
      </c>
      <c r="AF12" s="2262"/>
      <c r="AG12" s="1165" t="s">
        <v>1118</v>
      </c>
      <c r="AH12" s="1165" t="s">
        <v>1119</v>
      </c>
      <c r="AI12" s="2262"/>
      <c r="AJ12" s="1165" t="s">
        <v>1118</v>
      </c>
      <c r="AK12" s="1165" t="s">
        <v>1119</v>
      </c>
      <c r="AL12" s="1153"/>
      <c r="AM12" s="918"/>
      <c r="AN12" s="918"/>
      <c r="AO12" s="918"/>
      <c r="AP12" s="918"/>
      <c r="AQ12" s="918"/>
      <c r="AR12" s="918"/>
      <c r="AS12" s="918"/>
      <c r="AT12" s="918"/>
      <c r="AU12" s="918"/>
      <c r="AV12" s="918"/>
      <c r="AW12" s="918"/>
      <c r="AX12" s="918"/>
      <c r="AY12" s="918"/>
      <c r="AZ12" s="918"/>
      <c r="BA12" s="918"/>
      <c r="BB12" s="918"/>
      <c r="BC12" s="918"/>
      <c r="BD12" s="918"/>
      <c r="BE12" s="918"/>
      <c r="BF12" s="918"/>
      <c r="BG12" s="769">
        <v>34</v>
      </c>
    </row>
    <row customHeight="1" ht="1.05">
      <c r="E13" s="919"/>
      <c r="F13" s="1135">
        <v>0</v>
      </c>
      <c r="G13" s="1135"/>
      <c r="H13" s="1135"/>
      <c r="I13" s="1135"/>
      <c r="J13" s="1135"/>
      <c r="K13" s="1142"/>
      <c r="L13" s="1142"/>
      <c r="M13" s="1142"/>
      <c r="N13" s="1142"/>
      <c r="O13" s="1142"/>
      <c r="P13" s="1142"/>
      <c r="Q13" s="1142"/>
      <c r="R13" s="1142"/>
      <c r="S13" s="1142"/>
      <c r="T13" s="1142"/>
      <c r="U13" s="1142"/>
      <c r="V13" s="1142"/>
      <c r="W13" s="1142"/>
      <c r="X13" s="1142"/>
      <c r="Y13" s="1142"/>
      <c r="Z13" s="1142"/>
      <c r="AA13" s="1142"/>
      <c r="AB13" s="1142"/>
      <c r="AC13" s="1142"/>
      <c r="AD13" s="1142"/>
      <c r="AE13" s="1142"/>
      <c r="AF13" s="1142"/>
      <c r="AG13" s="1142"/>
      <c r="AH13" s="1160"/>
      <c r="AI13" s="1153"/>
      <c r="AJ13" s="1142"/>
      <c r="AK13" s="1142"/>
      <c r="AL13" s="920"/>
      <c r="AM13" s="918"/>
      <c r="AN13" s="918"/>
      <c r="AO13" s="918"/>
      <c r="AP13" s="918"/>
      <c r="AQ13" s="918"/>
      <c r="AR13" s="918"/>
      <c r="AS13" s="918"/>
      <c r="AT13" s="918"/>
      <c r="AU13" s="918"/>
      <c r="AV13" s="918"/>
      <c r="AW13" s="918"/>
      <c r="AX13" s="918"/>
      <c r="AY13" s="918"/>
      <c r="AZ13" s="918"/>
      <c r="BA13" s="918"/>
      <c r="BB13" s="918"/>
      <c r="BC13" s="918"/>
      <c r="BD13" s="918"/>
      <c r="BE13" s="918"/>
      <c r="BF13" s="918"/>
      <c r="BG13" s="769">
        <v>1</v>
      </c>
    </row>
    <row customHeight="1" ht="21">
      <c r="A14" s="1178" t="s">
        <v>1088</v>
      </c>
      <c r="B14" s="1177"/>
      <c r="C14" s="1177"/>
      <c r="D14" s="1171"/>
      <c r="E14" s="1181" t="s">
        <v>22</v>
      </c>
      <c r="F14" s="1133" t="str">
        <f>INDEX(IP_MAIN_LIST_NAME_IP,MATCH(A14,IP_MAIN_LIST_IP_ID,0))&amp;" ("&amp;INDEX(IP_MAIN_START_DATE,MATCH(A14,IP_MAIN_LIST_IP_ID,0))&amp;"-"&amp;INDEX(IP_MAIN_END_DATE,MATCH(A14,IP_MAIN_LIST_IP_ID,0))&amp;")"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G14" s="1134"/>
      <c r="H14" s="1134"/>
      <c r="I14" s="1196"/>
      <c r="J14" s="1196"/>
      <c r="K14" s="1197"/>
      <c r="L14" s="1197"/>
      <c r="M14" s="1197"/>
      <c r="N14" s="1198"/>
      <c r="O14" s="1198"/>
      <c r="P14" s="1198"/>
      <c r="Q14" s="1198"/>
      <c r="R14" s="1198"/>
      <c r="S14" s="1198"/>
      <c r="T14" s="1198"/>
      <c r="U14" s="1198"/>
      <c r="V14" s="1198"/>
      <c r="W14" s="1198"/>
      <c r="X14" s="1198"/>
      <c r="Y14" s="1198"/>
      <c r="Z14" s="1198"/>
      <c r="AA14" s="1198"/>
      <c r="AB14" s="1198"/>
      <c r="AC14" s="1198"/>
      <c r="AD14" s="1198"/>
      <c r="AE14" s="1199"/>
      <c r="AF14" s="1197"/>
      <c r="AG14" s="1197"/>
      <c r="AH14" s="1197"/>
      <c r="AI14" s="1197"/>
      <c r="AJ14" s="1197"/>
      <c r="AK14" s="1197"/>
      <c r="AL14" s="1996"/>
      <c r="AM14" s="1833"/>
      <c r="AN14" s="1833"/>
      <c r="AO14" s="1833"/>
      <c r="AP14" s="1833"/>
      <c r="AQ14" s="1833"/>
      <c r="AR14" s="1833"/>
      <c r="AS14" s="1833"/>
      <c r="AT14" s="1833"/>
      <c r="AU14" s="1833"/>
      <c r="AV14" s="1833"/>
      <c r="AW14" s="1833"/>
      <c r="AX14" s="1833"/>
      <c r="AY14" s="1833"/>
      <c r="AZ14" s="1833"/>
      <c r="BA14" s="1833"/>
      <c r="BB14" s="1833"/>
      <c r="BC14" s="1833"/>
      <c r="BD14" s="1833"/>
      <c r="BE14" s="1833"/>
      <c r="BF14" s="1833"/>
      <c r="BG14" s="1646"/>
    </row>
    <row customHeight="1" ht="0.75">
      <c r="A15" s="1177" t="s">
        <v>1088</v>
      </c>
      <c r="B15" s="1177"/>
      <c r="C15" s="1177"/>
      <c r="D15" s="1171"/>
      <c r="E15" s="1181"/>
      <c r="F15" s="2566">
        <v>2023</v>
      </c>
      <c r="G15" s="2545"/>
      <c r="H15" s="2570" t="s">
        <v>390</v>
      </c>
      <c r="I15" s="2571"/>
      <c r="J15" s="2572"/>
      <c r="K15" s="2572"/>
      <c r="L15" s="2564"/>
      <c r="M15" s="2298"/>
      <c r="N15" s="2044"/>
      <c r="O15" s="2043"/>
      <c r="P15" s="2044"/>
      <c r="Q15" s="2044"/>
      <c r="R15" s="2044"/>
      <c r="S15" s="2044"/>
      <c r="T15" s="2044"/>
      <c r="U15" s="2044"/>
      <c r="V15" s="2044"/>
      <c r="W15" s="2044"/>
      <c r="X15" s="2044"/>
      <c r="Y15" s="2044"/>
      <c r="Z15" s="2044"/>
      <c r="AA15" s="2044"/>
      <c r="AB15" s="2044"/>
      <c r="AC15" s="2044"/>
      <c r="AD15" s="2044"/>
      <c r="AE15" s="2044"/>
      <c r="AF15" s="2568"/>
      <c r="AG15" s="2564"/>
      <c r="AH15" s="2564"/>
      <c r="AI15" s="2568"/>
      <c r="AJ15" s="2564"/>
      <c r="AK15" s="2564"/>
      <c r="AL15" s="1996"/>
      <c r="AM15" s="1833"/>
      <c r="AN15" s="1833"/>
      <c r="AO15" s="1833"/>
      <c r="AP15" s="1833"/>
      <c r="AQ15" s="1833"/>
      <c r="AR15" s="1833"/>
      <c r="AS15" s="1833"/>
      <c r="AT15" s="1833"/>
      <c r="AU15" s="1833"/>
      <c r="AV15" s="1833"/>
      <c r="AW15" s="1833"/>
      <c r="AX15" s="1833"/>
      <c r="AY15" s="1833"/>
      <c r="AZ15" s="1833"/>
      <c r="BA15" s="1833"/>
      <c r="BB15" s="1833"/>
      <c r="BC15" s="1833"/>
      <c r="BD15" s="1833"/>
      <c r="BE15" s="1833"/>
      <c r="BF15" s="1833"/>
      <c r="BG15" s="1646"/>
    </row>
    <row customHeight="1" ht="0.75">
      <c r="A16" s="1177" t="s">
        <v>1088</v>
      </c>
      <c r="B16" s="1177"/>
      <c r="C16" s="1177"/>
      <c r="D16" s="1171"/>
      <c r="E16" s="1181"/>
      <c r="F16" s="2566"/>
      <c r="G16" s="2545"/>
      <c r="H16" s="2570"/>
      <c r="I16" s="2571"/>
      <c r="J16" s="2572"/>
      <c r="K16" s="2572"/>
      <c r="L16" s="2564"/>
      <c r="M16" s="2298"/>
      <c r="N16" s="2573"/>
      <c r="O16" s="2574"/>
      <c r="P16" s="2618"/>
      <c r="Q16" s="2569"/>
      <c r="R16" s="2569"/>
      <c r="S16" s="2569"/>
      <c r="T16" s="2569"/>
      <c r="U16" s="2569"/>
      <c r="V16" s="2569"/>
      <c r="W16" s="2569"/>
      <c r="X16" s="2569"/>
      <c r="Y16" s="2569"/>
      <c r="Z16" s="2045"/>
      <c r="AA16" s="2046"/>
      <c r="AB16" s="2046"/>
      <c r="AC16" s="2047"/>
      <c r="AD16" s="2047"/>
      <c r="AE16" s="2048"/>
      <c r="AF16" s="2568"/>
      <c r="AG16" s="2564"/>
      <c r="AH16" s="2564"/>
      <c r="AI16" s="2568"/>
      <c r="AJ16" s="2564"/>
      <c r="AK16" s="2564"/>
      <c r="AL16" s="1996"/>
      <c r="AM16" s="1833"/>
      <c r="AN16" s="1833"/>
      <c r="AO16" s="1833"/>
      <c r="AP16" s="1833"/>
      <c r="AQ16" s="1833"/>
      <c r="AR16" s="1833"/>
      <c r="AS16" s="1833"/>
      <c r="AT16" s="1833"/>
      <c r="AU16" s="1833"/>
      <c r="AV16" s="1833"/>
      <c r="AW16" s="1833"/>
      <c r="AX16" s="1833"/>
      <c r="AY16" s="1833"/>
      <c r="AZ16" s="1833"/>
      <c r="BA16" s="1833"/>
      <c r="BB16" s="1833"/>
      <c r="BC16" s="1833"/>
      <c r="BD16" s="1833"/>
      <c r="BE16" s="1833"/>
      <c r="BF16" s="1833"/>
      <c r="BG16" s="1646"/>
    </row>
    <row customHeight="1" ht="0.75">
      <c r="A17" s="1177" t="s">
        <v>1088</v>
      </c>
      <c r="B17" s="1177"/>
      <c r="C17" s="1177"/>
      <c r="D17" s="1171"/>
      <c r="E17" s="1181"/>
      <c r="F17" s="2566"/>
      <c r="G17" s="2545"/>
      <c r="H17" s="2570"/>
      <c r="I17" s="2571"/>
      <c r="J17" s="2572"/>
      <c r="K17" s="2572"/>
      <c r="L17" s="2564"/>
      <c r="M17" s="2298"/>
      <c r="N17" s="2573"/>
      <c r="O17" s="2574"/>
      <c r="P17" s="2619"/>
      <c r="Q17" s="2569"/>
      <c r="R17" s="2569"/>
      <c r="S17" s="2569"/>
      <c r="T17" s="2569"/>
      <c r="U17" s="2569"/>
      <c r="V17" s="2569"/>
      <c r="W17" s="2569"/>
      <c r="X17" s="2569"/>
      <c r="Y17" s="2569"/>
      <c r="Z17" s="2049"/>
      <c r="AA17" s="2050"/>
      <c r="AB17" s="2051"/>
      <c r="AC17" s="2052"/>
      <c r="AD17" s="2051"/>
      <c r="AE17" s="2052"/>
      <c r="AF17" s="2568"/>
      <c r="AG17" s="2564"/>
      <c r="AH17" s="2564"/>
      <c r="AI17" s="2568"/>
      <c r="AJ17" s="2564"/>
      <c r="AK17" s="2564"/>
      <c r="AL17" s="1996"/>
      <c r="AM17" s="1833"/>
      <c r="AN17" s="1833"/>
      <c r="AO17" s="1833"/>
      <c r="AP17" s="1833"/>
      <c r="AQ17" s="1833"/>
      <c r="AR17" s="1833"/>
      <c r="AS17" s="1833"/>
      <c r="AT17" s="1833"/>
      <c r="AU17" s="1833"/>
      <c r="AV17" s="1833"/>
      <c r="AW17" s="1833"/>
      <c r="AX17" s="1833"/>
      <c r="AY17" s="1833"/>
      <c r="AZ17" s="1833"/>
      <c r="BA17" s="1833"/>
      <c r="BB17" s="1833"/>
      <c r="BC17" s="1833"/>
      <c r="BD17" s="1833"/>
      <c r="BE17" s="1833"/>
      <c r="BF17" s="1833"/>
      <c r="BG17" s="1646"/>
    </row>
    <row customHeight="1" ht="0.75">
      <c r="A18" s="1177" t="s">
        <v>1088</v>
      </c>
      <c r="B18" s="1177"/>
      <c r="C18" s="1177"/>
      <c r="D18" s="1171"/>
      <c r="E18" s="1181"/>
      <c r="F18" s="2566"/>
      <c r="G18" s="2545"/>
      <c r="H18" s="2570"/>
      <c r="I18" s="2571"/>
      <c r="J18" s="2572"/>
      <c r="K18" s="2572"/>
      <c r="L18" s="2564"/>
      <c r="M18" s="2298"/>
      <c r="N18" s="2573"/>
      <c r="O18" s="2574"/>
      <c r="P18" s="2620"/>
      <c r="Q18" s="2569"/>
      <c r="R18" s="2569"/>
      <c r="S18" s="2569"/>
      <c r="T18" s="2569"/>
      <c r="U18" s="2569"/>
      <c r="V18" s="2569"/>
      <c r="W18" s="2569"/>
      <c r="X18" s="2569"/>
      <c r="Y18" s="2569"/>
      <c r="Z18" s="2045"/>
      <c r="AA18" s="2046"/>
      <c r="AB18" s="2053"/>
      <c r="AC18" s="2047"/>
      <c r="AD18" s="2047"/>
      <c r="AE18" s="2054"/>
      <c r="AF18" s="2568"/>
      <c r="AG18" s="2564"/>
      <c r="AH18" s="2564"/>
      <c r="AI18" s="2568"/>
      <c r="AJ18" s="2564"/>
      <c r="AK18" s="2564"/>
      <c r="AL18" s="1996"/>
      <c r="AM18" s="1833"/>
      <c r="AN18" s="1833"/>
      <c r="AO18" s="1833"/>
      <c r="AP18" s="1833"/>
      <c r="AQ18" s="1833"/>
      <c r="AR18" s="1833"/>
      <c r="AS18" s="1833"/>
      <c r="AT18" s="1833"/>
      <c r="AU18" s="1833"/>
      <c r="AV18" s="1833"/>
      <c r="AW18" s="1833"/>
      <c r="AX18" s="1833"/>
      <c r="AY18" s="1833"/>
      <c r="AZ18" s="1833"/>
      <c r="BA18" s="1833"/>
      <c r="BB18" s="1833"/>
      <c r="BC18" s="1833"/>
      <c r="BD18" s="1833"/>
      <c r="BE18" s="1833"/>
      <c r="BF18" s="1833"/>
      <c r="BG18" s="1646"/>
    </row>
    <row customHeight="1" ht="0.75">
      <c r="A19" s="1177" t="s">
        <v>1088</v>
      </c>
      <c r="B19" s="1177"/>
      <c r="C19" s="1177"/>
      <c r="D19" s="1171"/>
      <c r="E19" s="1181"/>
      <c r="F19" s="2566"/>
      <c r="G19" s="2545"/>
      <c r="H19" s="2570"/>
      <c r="I19" s="2571"/>
      <c r="J19" s="2572"/>
      <c r="K19" s="2572"/>
      <c r="L19" s="2564"/>
      <c r="M19" s="2298"/>
      <c r="N19" s="2046"/>
      <c r="O19" s="2046"/>
      <c r="P19" s="2053"/>
      <c r="Q19" s="2046"/>
      <c r="R19" s="2046"/>
      <c r="S19" s="2046"/>
      <c r="T19" s="2046"/>
      <c r="U19" s="2046"/>
      <c r="V19" s="2046"/>
      <c r="W19" s="2046"/>
      <c r="X19" s="2046"/>
      <c r="Y19" s="2046"/>
      <c r="Z19" s="2046"/>
      <c r="AA19" s="2046"/>
      <c r="AB19" s="2046"/>
      <c r="AC19" s="2046"/>
      <c r="AD19" s="2046"/>
      <c r="AE19" s="2055"/>
      <c r="AF19" s="2568"/>
      <c r="AG19" s="2564"/>
      <c r="AH19" s="2564"/>
      <c r="AI19" s="2568"/>
      <c r="AJ19" s="2564"/>
      <c r="AK19" s="2564"/>
      <c r="AL19" s="1996"/>
      <c r="AM19" s="1833"/>
      <c r="AN19" s="1833"/>
      <c r="AO19" s="1833"/>
      <c r="AP19" s="1833"/>
      <c r="AQ19" s="1833"/>
      <c r="AR19" s="1833"/>
      <c r="AS19" s="1833"/>
      <c r="AT19" s="1833"/>
      <c r="AU19" s="1833"/>
      <c r="AV19" s="1833"/>
      <c r="AW19" s="1833"/>
      <c r="AX19" s="1833"/>
      <c r="AY19" s="1833"/>
      <c r="AZ19" s="1833"/>
      <c r="BA19" s="1833"/>
      <c r="BB19" s="1833"/>
      <c r="BC19" s="1833"/>
      <c r="BD19" s="1833"/>
      <c r="BE19" s="1833"/>
      <c r="BF19" s="1833"/>
      <c r="BG19" s="1646"/>
    </row>
    <row customHeight="1" ht="11.25">
      <c r="A20" s="1177" t="s">
        <v>1088</v>
      </c>
      <c r="B20" s="1177" t="s">
        <v>22</v>
      </c>
      <c r="C20" s="1177"/>
      <c r="D20" s="1171"/>
      <c r="E20" s="1181"/>
      <c r="F20" s="1839"/>
      <c r="G20" s="694" t="s">
        <v>105</v>
      </c>
      <c r="H20" s="2545" t="s">
        <v>120</v>
      </c>
      <c r="I20" s="2546" t="s">
        <v>1120</v>
      </c>
      <c r="J20" s="2911" t="s">
        <v>22</v>
      </c>
      <c r="K20" s="2547" t="s">
        <v>1121</v>
      </c>
      <c r="L20" s="2137" t="s">
        <v>19</v>
      </c>
      <c r="M20" s="2138"/>
      <c r="N20" s="1994"/>
      <c r="O20" s="1188" t="s">
        <v>390</v>
      </c>
      <c r="P20" s="1189"/>
      <c r="Q20" s="1189"/>
      <c r="R20" s="1189"/>
      <c r="S20" s="1189"/>
      <c r="T20" s="1189"/>
      <c r="U20" s="1189"/>
      <c r="V20" s="1189"/>
      <c r="W20" s="1189"/>
      <c r="X20" s="1189"/>
      <c r="Y20" s="1189"/>
      <c r="Z20" s="1189"/>
      <c r="AA20" s="1189"/>
      <c r="AB20" s="1189"/>
      <c r="AC20" s="1189"/>
      <c r="AD20" s="1189"/>
      <c r="AE20" s="1189"/>
      <c r="AF20" s="2536">
        <v>2024</v>
      </c>
      <c r="AG20" s="2537" t="s">
        <v>1122</v>
      </c>
      <c r="AH20" s="2537" t="s">
        <v>1123</v>
      </c>
      <c r="AI20" s="2536">
        <v>2024</v>
      </c>
      <c r="AJ20" s="2537" t="s">
        <v>1122</v>
      </c>
      <c r="AK20" s="2537" t="s">
        <v>1123</v>
      </c>
      <c r="AL20" s="1996"/>
      <c r="AM20" s="1833"/>
      <c r="AN20" s="1833"/>
      <c r="AO20" s="1833"/>
      <c r="AP20" s="1833"/>
      <c r="AQ20" s="1833"/>
      <c r="AR20" s="1833"/>
      <c r="AS20" s="1833"/>
      <c r="AT20" s="1833"/>
      <c r="AU20" s="1833"/>
      <c r="AV20" s="1833"/>
      <c r="AW20" s="1833"/>
      <c r="AX20" s="1833"/>
      <c r="AY20" s="1833"/>
      <c r="AZ20" s="1833"/>
      <c r="BA20" s="1833"/>
      <c r="BB20" s="1833"/>
      <c r="BC20" s="1833"/>
      <c r="BD20" s="1833"/>
      <c r="BE20" s="1833"/>
      <c r="BF20" s="1833"/>
      <c r="BG20" s="1646"/>
    </row>
    <row customHeight="1" ht="11.25">
      <c r="A21" s="1177" t="s">
        <v>1088</v>
      </c>
      <c r="B21" s="1177"/>
      <c r="C21" s="1177"/>
      <c r="D21" s="1171"/>
      <c r="E21" s="1181"/>
      <c r="F21" s="1839"/>
      <c r="G21" s="1840"/>
      <c r="H21" s="2545" t="s">
        <v>390</v>
      </c>
      <c r="I21" s="2546"/>
      <c r="J21" s="2911"/>
      <c r="K21" s="2547"/>
      <c r="L21" s="2137"/>
      <c r="M21" s="2138"/>
      <c r="N21" s="2538"/>
      <c r="O21" s="2539">
        <v>1</v>
      </c>
      <c r="P21" s="2540" t="s">
        <v>63</v>
      </c>
      <c r="Q21" s="2913" t="s">
        <v>614</v>
      </c>
      <c r="R21" s="2914" t="s">
        <v>1124</v>
      </c>
      <c r="S21" s="2914" t="s">
        <v>101</v>
      </c>
      <c r="T21" s="2914" t="s">
        <v>101</v>
      </c>
      <c r="U21" s="2914" t="s">
        <v>102</v>
      </c>
      <c r="V21" s="2914" t="s">
        <v>1125</v>
      </c>
      <c r="W21" s="2914" t="s">
        <v>1126</v>
      </c>
      <c r="X21" s="2914" t="s">
        <v>1127</v>
      </c>
      <c r="Y21" s="2914" t="s">
        <v>1128</v>
      </c>
      <c r="Z21" s="1186"/>
      <c r="AA21" s="1187"/>
      <c r="AB21" s="1187"/>
      <c r="AC21" s="1191"/>
      <c r="AD21" s="1191"/>
      <c r="AE21" s="1192"/>
      <c r="AF21" s="2536"/>
      <c r="AG21" s="2537"/>
      <c r="AH21" s="2537"/>
      <c r="AI21" s="2536"/>
      <c r="AJ21" s="2537"/>
      <c r="AK21" s="2537"/>
      <c r="AL21" s="1996"/>
      <c r="AM21" s="1833"/>
      <c r="AN21" s="1833"/>
      <c r="AO21" s="1833"/>
      <c r="AP21" s="1833"/>
      <c r="AQ21" s="1833"/>
      <c r="AR21" s="1833"/>
      <c r="AS21" s="1833"/>
      <c r="AT21" s="1833"/>
      <c r="AU21" s="1833"/>
      <c r="AV21" s="1833"/>
      <c r="AW21" s="1833"/>
      <c r="AX21" s="1833"/>
      <c r="AY21" s="1833"/>
      <c r="AZ21" s="1833"/>
      <c r="BA21" s="1833"/>
      <c r="BB21" s="1833"/>
      <c r="BC21" s="1833"/>
      <c r="BD21" s="1833"/>
      <c r="BE21" s="1833"/>
      <c r="BF21" s="1833"/>
      <c r="BG21" s="1646"/>
    </row>
    <row customHeight="1" ht="11.25">
      <c r="A22" s="1177" t="s">
        <v>1088</v>
      </c>
      <c r="B22" s="1177"/>
      <c r="C22" s="1177"/>
      <c r="D22" s="1171"/>
      <c r="E22" s="1181"/>
      <c r="F22" s="1839"/>
      <c r="G22" s="1840"/>
      <c r="H22" s="2545" t="s">
        <v>390</v>
      </c>
      <c r="I22" s="2546"/>
      <c r="J22" s="2911"/>
      <c r="K22" s="2547"/>
      <c r="L22" s="2137"/>
      <c r="M22" s="2138"/>
      <c r="N22" s="2538"/>
      <c r="O22" s="2539"/>
      <c r="P22" s="2541"/>
      <c r="Q22" s="2913"/>
      <c r="R22" s="2543"/>
      <c r="S22" s="2544"/>
      <c r="T22" s="2543"/>
      <c r="U22" s="2543"/>
      <c r="V22" s="2543"/>
      <c r="W22" s="2543"/>
      <c r="X22" s="2543"/>
      <c r="Y22" s="2543"/>
      <c r="Z22" s="1838"/>
      <c r="AA22" s="1804">
        <v>1</v>
      </c>
      <c r="AB22" s="1190" t="s">
        <v>1129</v>
      </c>
      <c r="AC22" s="1180">
        <v>1779</v>
      </c>
      <c r="AD22" s="1190" t="str">
        <f>AB22</f>
        <v>  Прибыль направляемая на инвестиции</v>
      </c>
      <c r="AE22" s="1180">
        <v>1779</v>
      </c>
      <c r="AF22" s="2536"/>
      <c r="AG22" s="2537"/>
      <c r="AH22" s="2537"/>
      <c r="AI22" s="2536"/>
      <c r="AJ22" s="2537"/>
      <c r="AK22" s="2537"/>
      <c r="AL22" s="1996"/>
      <c r="AM22" s="1833"/>
      <c r="AN22" s="1833"/>
      <c r="AO22" s="1833"/>
      <c r="AP22" s="1833"/>
      <c r="AQ22" s="1833"/>
      <c r="AR22" s="1833"/>
      <c r="AS22" s="1833"/>
      <c r="AT22" s="1833"/>
      <c r="AU22" s="1833"/>
      <c r="AV22" s="1833"/>
      <c r="AW22" s="1833"/>
      <c r="AX22" s="1833"/>
      <c r="AY22" s="1833"/>
      <c r="AZ22" s="1833"/>
      <c r="BA22" s="1833"/>
      <c r="BB22" s="1833"/>
      <c r="BC22" s="1833"/>
      <c r="BD22" s="1833"/>
      <c r="BE22" s="1833"/>
      <c r="BF22" s="1833"/>
      <c r="BG22" s="1646"/>
    </row>
    <row customHeight="1" ht="11.25">
      <c r="A23" s="1177" t="s">
        <v>1088</v>
      </c>
      <c r="B23" s="1177"/>
      <c r="C23" s="1177"/>
      <c r="D23" s="1171"/>
      <c r="E23" s="1181"/>
      <c r="F23" s="1839"/>
      <c r="G23" s="1840"/>
      <c r="H23" s="2545" t="s">
        <v>390</v>
      </c>
      <c r="I23" s="2546"/>
      <c r="J23" s="2911"/>
      <c r="K23" s="2547"/>
      <c r="L23" s="2137"/>
      <c r="M23" s="2138"/>
      <c r="N23" s="2538"/>
      <c r="O23" s="2539"/>
      <c r="P23" s="2542"/>
      <c r="Q23" s="2913"/>
      <c r="R23" s="2543"/>
      <c r="S23" s="2544"/>
      <c r="T23" s="2543"/>
      <c r="U23" s="2543"/>
      <c r="V23" s="2543"/>
      <c r="W23" s="2543"/>
      <c r="X23" s="2543"/>
      <c r="Y23" s="2543"/>
      <c r="Z23" s="1186"/>
      <c r="AA23" s="1187"/>
      <c r="AB23" s="1252" t="s">
        <v>1130</v>
      </c>
      <c r="AC23" s="1191"/>
      <c r="AD23" s="1191"/>
      <c r="AE23" s="1193"/>
      <c r="AF23" s="2536"/>
      <c r="AG23" s="2537"/>
      <c r="AH23" s="2537"/>
      <c r="AI23" s="2536"/>
      <c r="AJ23" s="2537"/>
      <c r="AK23" s="2537"/>
      <c r="AL23" s="1996"/>
      <c r="AM23" s="1833"/>
      <c r="AN23" s="1833"/>
      <c r="AO23" s="1833"/>
      <c r="AP23" s="1833"/>
      <c r="AQ23" s="1833"/>
      <c r="AR23" s="1833"/>
      <c r="AS23" s="1833"/>
      <c r="AT23" s="1833"/>
      <c r="AU23" s="1833"/>
      <c r="AV23" s="1833"/>
      <c r="AW23" s="1833"/>
      <c r="AX23" s="1833"/>
      <c r="AY23" s="1833"/>
      <c r="AZ23" s="1833"/>
      <c r="BA23" s="1833"/>
      <c r="BB23" s="1833"/>
      <c r="BC23" s="1833"/>
      <c r="BD23" s="1833"/>
      <c r="BE23" s="1833"/>
      <c r="BF23" s="1833"/>
      <c r="BG23" s="1646"/>
    </row>
    <row customHeight="1" ht="11.25">
      <c r="A24" s="1177" t="s">
        <v>1088</v>
      </c>
      <c r="B24" s="1177"/>
      <c r="C24" s="1177"/>
      <c r="D24" s="1171"/>
      <c r="E24" s="1181"/>
      <c r="F24" s="1839"/>
      <c r="G24" s="1840"/>
      <c r="H24" s="2545" t="s">
        <v>390</v>
      </c>
      <c r="I24" s="2546"/>
      <c r="J24" s="2911"/>
      <c r="K24" s="2547"/>
      <c r="L24" s="2137"/>
      <c r="M24" s="2138"/>
      <c r="N24" s="1186"/>
      <c r="O24" s="1187"/>
      <c r="P24" s="1179" t="s">
        <v>1131</v>
      </c>
      <c r="Q24" s="1187"/>
      <c r="R24" s="1187"/>
      <c r="S24" s="1187"/>
      <c r="T24" s="1187"/>
      <c r="U24" s="1187"/>
      <c r="V24" s="1187"/>
      <c r="W24" s="1187"/>
      <c r="X24" s="1187"/>
      <c r="Y24" s="1187"/>
      <c r="Z24" s="1187"/>
      <c r="AA24" s="1187"/>
      <c r="AB24" s="1187"/>
      <c r="AC24" s="1187"/>
      <c r="AD24" s="1187"/>
      <c r="AE24" s="1194"/>
      <c r="AF24" s="2536"/>
      <c r="AG24" s="2537"/>
      <c r="AH24" s="2537"/>
      <c r="AI24" s="2536"/>
      <c r="AJ24" s="2537"/>
      <c r="AK24" s="2537"/>
      <c r="AL24" s="1996"/>
      <c r="AM24" s="1833"/>
      <c r="AN24" s="1833"/>
      <c r="AO24" s="1833"/>
      <c r="AP24" s="1833"/>
      <c r="AQ24" s="1833"/>
      <c r="AR24" s="1833"/>
      <c r="AS24" s="1833"/>
      <c r="AT24" s="1833"/>
      <c r="AU24" s="1833"/>
      <c r="AV24" s="1833"/>
      <c r="AW24" s="1833"/>
      <c r="AX24" s="1833"/>
      <c r="AY24" s="1833"/>
      <c r="AZ24" s="1833"/>
      <c r="BA24" s="1833"/>
      <c r="BB24" s="1833"/>
      <c r="BC24" s="1833"/>
      <c r="BD24" s="1833"/>
      <c r="BE24" s="1833"/>
      <c r="BF24" s="1833"/>
      <c r="BG24" s="1646"/>
    </row>
    <row customHeight="1" ht="12">
      <c r="A25" s="1177" t="s">
        <v>1088</v>
      </c>
      <c r="B25" s="1177"/>
      <c r="C25" s="1177"/>
      <c r="D25" s="1171"/>
      <c r="E25" s="1181"/>
      <c r="F25" s="2567"/>
      <c r="G25" s="1201"/>
      <c r="H25" s="1201"/>
      <c r="I25" s="2565" t="s">
        <v>1132</v>
      </c>
      <c r="J25" s="2565"/>
      <c r="K25" s="2565"/>
      <c r="L25" s="1184"/>
      <c r="M25" s="1184"/>
      <c r="N25" s="1185"/>
      <c r="O25" s="1185"/>
      <c r="P25" s="1185"/>
      <c r="Q25" s="1185"/>
      <c r="R25" s="1185"/>
      <c r="S25" s="1185"/>
      <c r="T25" s="1185"/>
      <c r="U25" s="1185"/>
      <c r="V25" s="1185"/>
      <c r="W25" s="1185"/>
      <c r="X25" s="1185"/>
      <c r="Y25" s="1185"/>
      <c r="Z25" s="1185"/>
      <c r="AA25" s="1185"/>
      <c r="AB25" s="1185"/>
      <c r="AC25" s="1185"/>
      <c r="AD25" s="1185"/>
      <c r="AE25" s="1185"/>
      <c r="AF25" s="1185"/>
      <c r="AG25" s="1184"/>
      <c r="AH25" s="1184"/>
      <c r="AI25" s="1185"/>
      <c r="AJ25" s="1184"/>
      <c r="AK25" s="1185"/>
      <c r="AL25" s="1996"/>
      <c r="AM25" s="1833"/>
      <c r="AN25" s="1833"/>
      <c r="AO25" s="1833"/>
      <c r="AP25" s="1833"/>
      <c r="AQ25" s="1833"/>
      <c r="AR25" s="1833"/>
      <c r="AS25" s="1833"/>
      <c r="AT25" s="1833"/>
      <c r="AU25" s="1833"/>
      <c r="AV25" s="1833"/>
      <c r="AW25" s="1833"/>
      <c r="AX25" s="1833"/>
      <c r="AY25" s="1833"/>
      <c r="AZ25" s="1833"/>
      <c r="BA25" s="1833"/>
      <c r="BB25" s="1833"/>
      <c r="BC25" s="1833"/>
      <c r="BD25" s="1833"/>
      <c r="BE25" s="1833"/>
      <c r="BF25" s="1833"/>
      <c r="BG25" s="1646"/>
    </row>
    <row customHeight="1" ht="0.75">
      <c r="A26" s="1177" t="s">
        <v>1088</v>
      </c>
      <c r="B26" s="1177"/>
      <c r="C26" s="1177"/>
      <c r="D26" s="1171"/>
      <c r="E26" s="1181"/>
      <c r="F26" s="2566">
        <v>2024</v>
      </c>
      <c r="G26" s="2545"/>
      <c r="H26" s="2570" t="s">
        <v>390</v>
      </c>
      <c r="I26" s="2571"/>
      <c r="J26" s="2572"/>
      <c r="K26" s="2572"/>
      <c r="L26" s="2564"/>
      <c r="M26" s="2298"/>
      <c r="N26" s="2044"/>
      <c r="O26" s="2043"/>
      <c r="P26" s="2044"/>
      <c r="Q26" s="2044"/>
      <c r="R26" s="2044"/>
      <c r="S26" s="2044"/>
      <c r="T26" s="2044"/>
      <c r="U26" s="2044"/>
      <c r="V26" s="2044"/>
      <c r="W26" s="2044"/>
      <c r="X26" s="2044"/>
      <c r="Y26" s="2044"/>
      <c r="Z26" s="2044"/>
      <c r="AA26" s="2044"/>
      <c r="AB26" s="2044"/>
      <c r="AC26" s="2044"/>
      <c r="AD26" s="2044"/>
      <c r="AE26" s="2044"/>
      <c r="AF26" s="2568"/>
      <c r="AG26" s="2564"/>
      <c r="AH26" s="2564"/>
      <c r="AI26" s="2568"/>
      <c r="AJ26" s="2564"/>
      <c r="AK26" s="2564"/>
      <c r="AL26" s="1996"/>
      <c r="AM26" s="1833"/>
      <c r="AN26" s="1833"/>
      <c r="AO26" s="1833"/>
      <c r="AP26" s="1833"/>
      <c r="AQ26" s="1833"/>
      <c r="AR26" s="1833"/>
      <c r="AS26" s="1833"/>
      <c r="AT26" s="1833"/>
      <c r="AU26" s="1833"/>
      <c r="AV26" s="1833"/>
      <c r="AW26" s="1833"/>
      <c r="AX26" s="1833"/>
      <c r="AY26" s="1833"/>
      <c r="AZ26" s="1833"/>
      <c r="BA26" s="1833"/>
      <c r="BB26" s="1833"/>
      <c r="BC26" s="1833"/>
      <c r="BD26" s="1833"/>
      <c r="BE26" s="1833"/>
      <c r="BF26" s="1833"/>
      <c r="BG26" s="1646"/>
    </row>
    <row customHeight="1" ht="0.75">
      <c r="A27" s="1177" t="s">
        <v>1088</v>
      </c>
      <c r="B27" s="1177"/>
      <c r="C27" s="1177"/>
      <c r="D27" s="1171"/>
      <c r="E27" s="1181"/>
      <c r="F27" s="2566"/>
      <c r="G27" s="2545"/>
      <c r="H27" s="2570"/>
      <c r="I27" s="2571"/>
      <c r="J27" s="2572"/>
      <c r="K27" s="2572"/>
      <c r="L27" s="2564"/>
      <c r="M27" s="2298"/>
      <c r="N27" s="2573"/>
      <c r="O27" s="2574"/>
      <c r="P27" s="2618"/>
      <c r="Q27" s="2569"/>
      <c r="R27" s="2569"/>
      <c r="S27" s="2569"/>
      <c r="T27" s="2569"/>
      <c r="U27" s="2569"/>
      <c r="V27" s="2569"/>
      <c r="W27" s="2569"/>
      <c r="X27" s="2569"/>
      <c r="Y27" s="2569"/>
      <c r="Z27" s="2045"/>
      <c r="AA27" s="2046"/>
      <c r="AB27" s="2046"/>
      <c r="AC27" s="2047"/>
      <c r="AD27" s="2047"/>
      <c r="AE27" s="2048"/>
      <c r="AF27" s="2568"/>
      <c r="AG27" s="2564"/>
      <c r="AH27" s="2564"/>
      <c r="AI27" s="2568"/>
      <c r="AJ27" s="2564"/>
      <c r="AK27" s="2564"/>
      <c r="AL27" s="1996"/>
      <c r="AM27" s="1833"/>
      <c r="AN27" s="1833"/>
      <c r="AO27" s="1833"/>
      <c r="AP27" s="1833"/>
      <c r="AQ27" s="1833"/>
      <c r="AR27" s="1833"/>
      <c r="AS27" s="1833"/>
      <c r="AT27" s="1833"/>
      <c r="AU27" s="1833"/>
      <c r="AV27" s="1833"/>
      <c r="AW27" s="1833"/>
      <c r="AX27" s="1833"/>
      <c r="AY27" s="1833"/>
      <c r="AZ27" s="1833"/>
      <c r="BA27" s="1833"/>
      <c r="BB27" s="1833"/>
      <c r="BC27" s="1833"/>
      <c r="BD27" s="1833"/>
      <c r="BE27" s="1833"/>
      <c r="BF27" s="1833"/>
      <c r="BG27" s="1646"/>
    </row>
    <row customHeight="1" ht="0.75">
      <c r="A28" s="1177" t="s">
        <v>1088</v>
      </c>
      <c r="B28" s="1177"/>
      <c r="C28" s="1177"/>
      <c r="D28" s="1171"/>
      <c r="E28" s="1181"/>
      <c r="F28" s="2566"/>
      <c r="G28" s="2545"/>
      <c r="H28" s="2570"/>
      <c r="I28" s="2571"/>
      <c r="J28" s="2572"/>
      <c r="K28" s="2572"/>
      <c r="L28" s="2564"/>
      <c r="M28" s="2298"/>
      <c r="N28" s="2573"/>
      <c r="O28" s="2574"/>
      <c r="P28" s="2619"/>
      <c r="Q28" s="2569"/>
      <c r="R28" s="2569"/>
      <c r="S28" s="2569"/>
      <c r="T28" s="2569"/>
      <c r="U28" s="2569"/>
      <c r="V28" s="2569"/>
      <c r="W28" s="2569"/>
      <c r="X28" s="2569"/>
      <c r="Y28" s="2569"/>
      <c r="Z28" s="2049"/>
      <c r="AA28" s="2050"/>
      <c r="AB28" s="2051"/>
      <c r="AC28" s="2052"/>
      <c r="AD28" s="2051"/>
      <c r="AE28" s="2052"/>
      <c r="AF28" s="2568"/>
      <c r="AG28" s="2564"/>
      <c r="AH28" s="2564"/>
      <c r="AI28" s="2568"/>
      <c r="AJ28" s="2564"/>
      <c r="AK28" s="2564"/>
      <c r="AL28" s="1996"/>
      <c r="AM28" s="1833"/>
      <c r="AN28" s="1833"/>
      <c r="AO28" s="1833"/>
      <c r="AP28" s="1833"/>
      <c r="AQ28" s="1833"/>
      <c r="AR28" s="1833"/>
      <c r="AS28" s="1833"/>
      <c r="AT28" s="1833"/>
      <c r="AU28" s="1833"/>
      <c r="AV28" s="1833"/>
      <c r="AW28" s="1833"/>
      <c r="AX28" s="1833"/>
      <c r="AY28" s="1833"/>
      <c r="AZ28" s="1833"/>
      <c r="BA28" s="1833"/>
      <c r="BB28" s="1833"/>
      <c r="BC28" s="1833"/>
      <c r="BD28" s="1833"/>
      <c r="BE28" s="1833"/>
      <c r="BF28" s="1833"/>
      <c r="BG28" s="1646"/>
    </row>
    <row customHeight="1" ht="0.75">
      <c r="A29" s="1177" t="s">
        <v>1088</v>
      </c>
      <c r="B29" s="1177"/>
      <c r="C29" s="1177"/>
      <c r="D29" s="1171"/>
      <c r="E29" s="1181"/>
      <c r="F29" s="2566"/>
      <c r="G29" s="2545"/>
      <c r="H29" s="2570"/>
      <c r="I29" s="2571"/>
      <c r="J29" s="2572"/>
      <c r="K29" s="2572"/>
      <c r="L29" s="2564"/>
      <c r="M29" s="2298"/>
      <c r="N29" s="2573"/>
      <c r="O29" s="2574"/>
      <c r="P29" s="2620"/>
      <c r="Q29" s="2569"/>
      <c r="R29" s="2569"/>
      <c r="S29" s="2569"/>
      <c r="T29" s="2569"/>
      <c r="U29" s="2569"/>
      <c r="V29" s="2569"/>
      <c r="W29" s="2569"/>
      <c r="X29" s="2569"/>
      <c r="Y29" s="2569"/>
      <c r="Z29" s="2045"/>
      <c r="AA29" s="2046"/>
      <c r="AB29" s="2053"/>
      <c r="AC29" s="2047"/>
      <c r="AD29" s="2047"/>
      <c r="AE29" s="2054"/>
      <c r="AF29" s="2568"/>
      <c r="AG29" s="2564"/>
      <c r="AH29" s="2564"/>
      <c r="AI29" s="2568"/>
      <c r="AJ29" s="2564"/>
      <c r="AK29" s="2564"/>
      <c r="AL29" s="1996"/>
      <c r="AM29" s="1833"/>
      <c r="AN29" s="1833"/>
      <c r="AO29" s="1833"/>
      <c r="AP29" s="1833"/>
      <c r="AQ29" s="1833"/>
      <c r="AR29" s="1833"/>
      <c r="AS29" s="1833"/>
      <c r="AT29" s="1833"/>
      <c r="AU29" s="1833"/>
      <c r="AV29" s="1833"/>
      <c r="AW29" s="1833"/>
      <c r="AX29" s="1833"/>
      <c r="AY29" s="1833"/>
      <c r="AZ29" s="1833"/>
      <c r="BA29" s="1833"/>
      <c r="BB29" s="1833"/>
      <c r="BC29" s="1833"/>
      <c r="BD29" s="1833"/>
      <c r="BE29" s="1833"/>
      <c r="BF29" s="1833"/>
      <c r="BG29" s="1646"/>
    </row>
    <row customHeight="1" ht="0.75">
      <c r="A30" s="1177" t="s">
        <v>1088</v>
      </c>
      <c r="B30" s="1177"/>
      <c r="C30" s="1177"/>
      <c r="D30" s="1171"/>
      <c r="E30" s="1181"/>
      <c r="F30" s="2566"/>
      <c r="G30" s="2545"/>
      <c r="H30" s="2570"/>
      <c r="I30" s="2571"/>
      <c r="J30" s="2572"/>
      <c r="K30" s="2572"/>
      <c r="L30" s="2564"/>
      <c r="M30" s="2298"/>
      <c r="N30" s="2046"/>
      <c r="O30" s="2046"/>
      <c r="P30" s="2053"/>
      <c r="Q30" s="2046"/>
      <c r="R30" s="2046"/>
      <c r="S30" s="2046"/>
      <c r="T30" s="2046"/>
      <c r="U30" s="2046"/>
      <c r="V30" s="2046"/>
      <c r="W30" s="2046"/>
      <c r="X30" s="2046"/>
      <c r="Y30" s="2046"/>
      <c r="Z30" s="2046"/>
      <c r="AA30" s="2046"/>
      <c r="AB30" s="2046"/>
      <c r="AC30" s="2046"/>
      <c r="AD30" s="2046"/>
      <c r="AE30" s="2055"/>
      <c r="AF30" s="2568"/>
      <c r="AG30" s="2564"/>
      <c r="AH30" s="2564"/>
      <c r="AI30" s="2568"/>
      <c r="AJ30" s="2564"/>
      <c r="AK30" s="2564"/>
      <c r="AL30" s="1996"/>
      <c r="AM30" s="1833"/>
      <c r="AN30" s="1833"/>
      <c r="AO30" s="1833"/>
      <c r="AP30" s="1833"/>
      <c r="AQ30" s="1833"/>
      <c r="AR30" s="1833"/>
      <c r="AS30" s="1833"/>
      <c r="AT30" s="1833"/>
      <c r="AU30" s="1833"/>
      <c r="AV30" s="1833"/>
      <c r="AW30" s="1833"/>
      <c r="AX30" s="1833"/>
      <c r="AY30" s="1833"/>
      <c r="AZ30" s="1833"/>
      <c r="BA30" s="1833"/>
      <c r="BB30" s="1833"/>
      <c r="BC30" s="1833"/>
      <c r="BD30" s="1833"/>
      <c r="BE30" s="1833"/>
      <c r="BF30" s="1833"/>
      <c r="BG30" s="1646"/>
    </row>
    <row customHeight="1" ht="11.25">
      <c r="A31" s="1177" t="s">
        <v>1088</v>
      </c>
      <c r="B31" s="1177" t="s">
        <v>1133</v>
      </c>
      <c r="C31" s="1177"/>
      <c r="D31" s="1171"/>
      <c r="E31" s="1181"/>
      <c r="F31" s="1839"/>
      <c r="G31" s="694" t="s">
        <v>105</v>
      </c>
      <c r="H31" s="2545" t="s">
        <v>120</v>
      </c>
      <c r="I31" s="2546" t="s">
        <v>1134</v>
      </c>
      <c r="J31" s="2515" t="s">
        <v>1135</v>
      </c>
      <c r="K31" s="2547" t="s">
        <v>1136</v>
      </c>
      <c r="L31" s="2137" t="s">
        <v>19</v>
      </c>
      <c r="M31" s="2138"/>
      <c r="N31" s="1994"/>
      <c r="O31" s="1188" t="s">
        <v>390</v>
      </c>
      <c r="P31" s="1189"/>
      <c r="Q31" s="1189"/>
      <c r="R31" s="1189"/>
      <c r="S31" s="1189"/>
      <c r="T31" s="1189"/>
      <c r="U31" s="1189"/>
      <c r="V31" s="1189"/>
      <c r="W31" s="1189"/>
      <c r="X31" s="1189"/>
      <c r="Y31" s="1189"/>
      <c r="Z31" s="1189"/>
      <c r="AA31" s="1189"/>
      <c r="AB31" s="1189"/>
      <c r="AC31" s="1189"/>
      <c r="AD31" s="1189"/>
      <c r="AE31" s="1189"/>
      <c r="AF31" s="2536">
        <v>2024</v>
      </c>
      <c r="AG31" s="2537" t="s">
        <v>1122</v>
      </c>
      <c r="AH31" s="2537" t="s">
        <v>1123</v>
      </c>
      <c r="AI31" s="2536">
        <v>2025</v>
      </c>
      <c r="AJ31" s="2537" t="s">
        <v>1137</v>
      </c>
      <c r="AK31" s="2537" t="s">
        <v>1138</v>
      </c>
      <c r="AL31" s="1996"/>
      <c r="AM31" s="1833"/>
      <c r="AN31" s="1833"/>
      <c r="AO31" s="1833"/>
      <c r="AP31" s="1833"/>
      <c r="AQ31" s="1833"/>
      <c r="AR31" s="1833"/>
      <c r="AS31" s="1833"/>
      <c r="AT31" s="1833"/>
      <c r="AU31" s="1833"/>
      <c r="AV31" s="1833"/>
      <c r="AW31" s="1833"/>
      <c r="AX31" s="1833"/>
      <c r="AY31" s="1833"/>
      <c r="AZ31" s="1833"/>
      <c r="BA31" s="1833"/>
      <c r="BB31" s="1833"/>
      <c r="BC31" s="1833"/>
      <c r="BD31" s="1833"/>
      <c r="BE31" s="1833"/>
      <c r="BF31" s="1833"/>
      <c r="BG31" s="1646"/>
    </row>
    <row customHeight="1" ht="11.25">
      <c r="A32" s="1177" t="s">
        <v>1088</v>
      </c>
      <c r="B32" s="1177"/>
      <c r="C32" s="1177"/>
      <c r="D32" s="1171"/>
      <c r="E32" s="1181"/>
      <c r="F32" s="1839"/>
      <c r="G32" s="1840"/>
      <c r="H32" s="2545" t="s">
        <v>390</v>
      </c>
      <c r="I32" s="2546"/>
      <c r="J32" s="2515"/>
      <c r="K32" s="2547"/>
      <c r="L32" s="2137"/>
      <c r="M32" s="2138"/>
      <c r="N32" s="2538"/>
      <c r="O32" s="2539">
        <v>1</v>
      </c>
      <c r="P32" s="2540" t="s">
        <v>19</v>
      </c>
      <c r="Q32" s="2543" t="s">
        <v>22</v>
      </c>
      <c r="R32" s="2543" t="s">
        <v>22</v>
      </c>
      <c r="S32" s="2543" t="s">
        <v>22</v>
      </c>
      <c r="T32" s="2543" t="s">
        <v>22</v>
      </c>
      <c r="U32" s="2543" t="s">
        <v>22</v>
      </c>
      <c r="V32" s="2543" t="s">
        <v>22</v>
      </c>
      <c r="W32" s="2543" t="s">
        <v>22</v>
      </c>
      <c r="X32" s="2543" t="s">
        <v>22</v>
      </c>
      <c r="Y32" s="2543"/>
      <c r="Z32" s="1186"/>
      <c r="AA32" s="1187"/>
      <c r="AB32" s="1187"/>
      <c r="AC32" s="1191"/>
      <c r="AD32" s="1191"/>
      <c r="AE32" s="1192"/>
      <c r="AF32" s="2536"/>
      <c r="AG32" s="2537"/>
      <c r="AH32" s="2537"/>
      <c r="AI32" s="2536"/>
      <c r="AJ32" s="2537"/>
      <c r="AK32" s="2537"/>
      <c r="AL32" s="1996"/>
      <c r="AM32" s="1833"/>
      <c r="AN32" s="1833"/>
      <c r="AO32" s="1833"/>
      <c r="AP32" s="1833"/>
      <c r="AQ32" s="1833"/>
      <c r="AR32" s="1833"/>
      <c r="AS32" s="1833"/>
      <c r="AT32" s="1833"/>
      <c r="AU32" s="1833"/>
      <c r="AV32" s="1833"/>
      <c r="AW32" s="1833"/>
      <c r="AX32" s="1833"/>
      <c r="AY32" s="1833"/>
      <c r="AZ32" s="1833"/>
      <c r="BA32" s="1833"/>
      <c r="BB32" s="1833"/>
      <c r="BC32" s="1833"/>
      <c r="BD32" s="1833"/>
      <c r="BE32" s="1833"/>
      <c r="BF32" s="1833"/>
      <c r="BG32" s="1646"/>
    </row>
    <row customHeight="1" ht="11.25">
      <c r="A33" s="1177" t="s">
        <v>1088</v>
      </c>
      <c r="B33" s="1177"/>
      <c r="C33" s="1177"/>
      <c r="D33" s="1171"/>
      <c r="E33" s="1181"/>
      <c r="F33" s="1839"/>
      <c r="G33" s="1840"/>
      <c r="H33" s="2545" t="s">
        <v>390</v>
      </c>
      <c r="I33" s="2546"/>
      <c r="J33" s="2515"/>
      <c r="K33" s="2547"/>
      <c r="L33" s="2137"/>
      <c r="M33" s="2138"/>
      <c r="N33" s="2538"/>
      <c r="O33" s="2539"/>
      <c r="P33" s="2541"/>
      <c r="Q33" s="2543"/>
      <c r="R33" s="2543"/>
      <c r="S33" s="2544"/>
      <c r="T33" s="2543"/>
      <c r="U33" s="2543"/>
      <c r="V33" s="2543"/>
      <c r="W33" s="2543"/>
      <c r="X33" s="2543"/>
      <c r="Y33" s="2543"/>
      <c r="Z33" s="1838"/>
      <c r="AA33" s="1804">
        <v>1</v>
      </c>
      <c r="AB33" s="1190" t="s">
        <v>1139</v>
      </c>
      <c r="AC33" s="1180">
        <v>2225.79</v>
      </c>
      <c r="AD33" s="1190" t="str">
        <f>AB33</f>
        <v>  За счет платы за технологическое присоединение</v>
      </c>
      <c r="AE33" s="1180">
        <v>1774.35124</v>
      </c>
      <c r="AF33" s="2536"/>
      <c r="AG33" s="2537"/>
      <c r="AH33" s="2537"/>
      <c r="AI33" s="2536"/>
      <c r="AJ33" s="2537"/>
      <c r="AK33" s="2537"/>
      <c r="AL33" s="1996"/>
      <c r="AM33" s="1833"/>
      <c r="AN33" s="1833"/>
      <c r="AO33" s="1833"/>
      <c r="AP33" s="1833"/>
      <c r="AQ33" s="1833"/>
      <c r="AR33" s="1833"/>
      <c r="AS33" s="1833"/>
      <c r="AT33" s="1833"/>
      <c r="AU33" s="1833"/>
      <c r="AV33" s="1833"/>
      <c r="AW33" s="1833"/>
      <c r="AX33" s="1833"/>
      <c r="AY33" s="1833"/>
      <c r="AZ33" s="1833"/>
      <c r="BA33" s="1833"/>
      <c r="BB33" s="1833"/>
      <c r="BC33" s="1833"/>
      <c r="BD33" s="1833"/>
      <c r="BE33" s="1833"/>
      <c r="BF33" s="1833"/>
      <c r="BG33" s="1646"/>
    </row>
    <row customHeight="1" ht="11.25">
      <c r="A34" s="1177" t="s">
        <v>1088</v>
      </c>
      <c r="B34" s="1177"/>
      <c r="C34" s="1177"/>
      <c r="D34" s="1171"/>
      <c r="E34" s="1181"/>
      <c r="F34" s="1839"/>
      <c r="G34" s="1840"/>
      <c r="H34" s="2545" t="s">
        <v>390</v>
      </c>
      <c r="I34" s="2546"/>
      <c r="J34" s="2515"/>
      <c r="K34" s="2547"/>
      <c r="L34" s="2137"/>
      <c r="M34" s="2138"/>
      <c r="N34" s="2538"/>
      <c r="O34" s="2539"/>
      <c r="P34" s="2542"/>
      <c r="Q34" s="2543"/>
      <c r="R34" s="2543"/>
      <c r="S34" s="2544"/>
      <c r="T34" s="2543"/>
      <c r="U34" s="2543"/>
      <c r="V34" s="2543"/>
      <c r="W34" s="2543"/>
      <c r="X34" s="2543"/>
      <c r="Y34" s="2543"/>
      <c r="Z34" s="1186"/>
      <c r="AA34" s="1187"/>
      <c r="AB34" s="1252" t="s">
        <v>1130</v>
      </c>
      <c r="AC34" s="1191"/>
      <c r="AD34" s="1191"/>
      <c r="AE34" s="1193"/>
      <c r="AF34" s="2536"/>
      <c r="AG34" s="2537"/>
      <c r="AH34" s="2537"/>
      <c r="AI34" s="2536"/>
      <c r="AJ34" s="2537"/>
      <c r="AK34" s="2537"/>
      <c r="AL34" s="1996"/>
      <c r="AM34" s="1833"/>
      <c r="AN34" s="1833"/>
      <c r="AO34" s="1833"/>
      <c r="AP34" s="1833"/>
      <c r="AQ34" s="1833"/>
      <c r="AR34" s="1833"/>
      <c r="AS34" s="1833"/>
      <c r="AT34" s="1833"/>
      <c r="AU34" s="1833"/>
      <c r="AV34" s="1833"/>
      <c r="AW34" s="1833"/>
      <c r="AX34" s="1833"/>
      <c r="AY34" s="1833"/>
      <c r="AZ34" s="1833"/>
      <c r="BA34" s="1833"/>
      <c r="BB34" s="1833"/>
      <c r="BC34" s="1833"/>
      <c r="BD34" s="1833"/>
      <c r="BE34" s="1833"/>
      <c r="BF34" s="1833"/>
      <c r="BG34" s="1646"/>
    </row>
    <row customHeight="1" ht="11.25">
      <c r="A35" s="1177" t="s">
        <v>1088</v>
      </c>
      <c r="B35" s="1177"/>
      <c r="C35" s="1177"/>
      <c r="D35" s="1171"/>
      <c r="E35" s="1181"/>
      <c r="F35" s="1839"/>
      <c r="G35" s="1840"/>
      <c r="H35" s="2545" t="s">
        <v>390</v>
      </c>
      <c r="I35" s="2546"/>
      <c r="J35" s="2515"/>
      <c r="K35" s="2547"/>
      <c r="L35" s="2137"/>
      <c r="M35" s="2138"/>
      <c r="N35" s="1186"/>
      <c r="O35" s="1187"/>
      <c r="P35" s="1179" t="s">
        <v>1131</v>
      </c>
      <c r="Q35" s="1187"/>
      <c r="R35" s="1187"/>
      <c r="S35" s="1187"/>
      <c r="T35" s="1187"/>
      <c r="U35" s="1187"/>
      <c r="V35" s="1187"/>
      <c r="W35" s="1187"/>
      <c r="X35" s="1187"/>
      <c r="Y35" s="1187"/>
      <c r="Z35" s="1187"/>
      <c r="AA35" s="1187"/>
      <c r="AB35" s="1187"/>
      <c r="AC35" s="1187"/>
      <c r="AD35" s="1187"/>
      <c r="AE35" s="1194"/>
      <c r="AF35" s="2536"/>
      <c r="AG35" s="2537"/>
      <c r="AH35" s="2537"/>
      <c r="AI35" s="2536"/>
      <c r="AJ35" s="2537"/>
      <c r="AK35" s="2537"/>
      <c r="AL35" s="1996"/>
      <c r="AM35" s="1833"/>
      <c r="AN35" s="1833"/>
      <c r="AO35" s="1833"/>
      <c r="AP35" s="1833"/>
      <c r="AQ35" s="1833"/>
      <c r="AR35" s="1833"/>
      <c r="AS35" s="1833"/>
      <c r="AT35" s="1833"/>
      <c r="AU35" s="1833"/>
      <c r="AV35" s="1833"/>
      <c r="AW35" s="1833"/>
      <c r="AX35" s="1833"/>
      <c r="AY35" s="1833"/>
      <c r="AZ35" s="1833"/>
      <c r="BA35" s="1833"/>
      <c r="BB35" s="1833"/>
      <c r="BC35" s="1833"/>
      <c r="BD35" s="1833"/>
      <c r="BE35" s="1833"/>
      <c r="BF35" s="1833"/>
      <c r="BG35" s="1646"/>
    </row>
    <row customHeight="1" ht="11.25">
      <c r="A36" s="1177" t="s">
        <v>1088</v>
      </c>
      <c r="B36" s="1177" t="s">
        <v>1133</v>
      </c>
      <c r="C36" s="1177"/>
      <c r="D36" s="1171"/>
      <c r="E36" s="1181"/>
      <c r="F36" s="1839"/>
      <c r="G36" s="694" t="s">
        <v>105</v>
      </c>
      <c r="H36" s="2545" t="s">
        <v>104</v>
      </c>
      <c r="I36" s="2546" t="s">
        <v>1134</v>
      </c>
      <c r="J36" s="2515" t="s">
        <v>1135</v>
      </c>
      <c r="K36" s="2547" t="s">
        <v>1140</v>
      </c>
      <c r="L36" s="2137" t="s">
        <v>19</v>
      </c>
      <c r="M36" s="2138"/>
      <c r="N36" s="1994"/>
      <c r="O36" s="1188" t="s">
        <v>390</v>
      </c>
      <c r="P36" s="1189"/>
      <c r="Q36" s="1189"/>
      <c r="R36" s="1189"/>
      <c r="S36" s="1189"/>
      <c r="T36" s="1189"/>
      <c r="U36" s="1189"/>
      <c r="V36" s="1189"/>
      <c r="W36" s="1189"/>
      <c r="X36" s="1189"/>
      <c r="Y36" s="1189"/>
      <c r="Z36" s="1189"/>
      <c r="AA36" s="1189"/>
      <c r="AB36" s="1189"/>
      <c r="AC36" s="1189"/>
      <c r="AD36" s="1189"/>
      <c r="AE36" s="1189"/>
      <c r="AF36" s="2536">
        <v>2024</v>
      </c>
      <c r="AG36" s="2537" t="s">
        <v>1122</v>
      </c>
      <c r="AH36" s="2537" t="s">
        <v>1123</v>
      </c>
      <c r="AI36" s="2536">
        <v>2024</v>
      </c>
      <c r="AJ36" s="2537" t="s">
        <v>1137</v>
      </c>
      <c r="AK36" s="2537" t="s">
        <v>1123</v>
      </c>
      <c r="AL36" s="1996"/>
      <c r="AM36" s="1833"/>
      <c r="AN36" s="1833"/>
      <c r="AO36" s="1833"/>
      <c r="AP36" s="1833"/>
      <c r="AQ36" s="1833"/>
      <c r="AR36" s="1833"/>
      <c r="AS36" s="1833"/>
      <c r="AT36" s="1833"/>
      <c r="AU36" s="1833"/>
      <c r="AV36" s="1833"/>
      <c r="AW36" s="1833"/>
      <c r="AX36" s="1833"/>
      <c r="AY36" s="1833"/>
      <c r="AZ36" s="1833"/>
      <c r="BA36" s="1833"/>
      <c r="BB36" s="1833"/>
      <c r="BC36" s="1833"/>
      <c r="BD36" s="1833"/>
      <c r="BE36" s="1833"/>
      <c r="BF36" s="1833"/>
      <c r="BG36" s="1646"/>
    </row>
    <row customHeight="1" ht="11.25">
      <c r="A37" s="1177" t="s">
        <v>1088</v>
      </c>
      <c r="B37" s="1177"/>
      <c r="C37" s="1177"/>
      <c r="D37" s="1171"/>
      <c r="E37" s="1181"/>
      <c r="F37" s="1839"/>
      <c r="G37" s="1840"/>
      <c r="H37" s="2545" t="s">
        <v>120</v>
      </c>
      <c r="I37" s="2546"/>
      <c r="J37" s="2515"/>
      <c r="K37" s="2547"/>
      <c r="L37" s="2137"/>
      <c r="M37" s="2138"/>
      <c r="N37" s="2538"/>
      <c r="O37" s="2539">
        <v>1</v>
      </c>
      <c r="P37" s="2540" t="s">
        <v>19</v>
      </c>
      <c r="Q37" s="2543" t="s">
        <v>22</v>
      </c>
      <c r="R37" s="2543" t="s">
        <v>22</v>
      </c>
      <c r="S37" s="2543" t="s">
        <v>22</v>
      </c>
      <c r="T37" s="2543" t="s">
        <v>22</v>
      </c>
      <c r="U37" s="2543" t="s">
        <v>22</v>
      </c>
      <c r="V37" s="2543" t="s">
        <v>22</v>
      </c>
      <c r="W37" s="2543" t="s">
        <v>22</v>
      </c>
      <c r="X37" s="2543" t="s">
        <v>22</v>
      </c>
      <c r="Y37" s="2543"/>
      <c r="Z37" s="1186"/>
      <c r="AA37" s="1187"/>
      <c r="AB37" s="1187"/>
      <c r="AC37" s="1191"/>
      <c r="AD37" s="1191"/>
      <c r="AE37" s="1192"/>
      <c r="AF37" s="2536"/>
      <c r="AG37" s="2537"/>
      <c r="AH37" s="2537"/>
      <c r="AI37" s="2536"/>
      <c r="AJ37" s="2537"/>
      <c r="AK37" s="2537"/>
      <c r="AL37" s="1996"/>
      <c r="AM37" s="1833"/>
      <c r="AN37" s="1833"/>
      <c r="AO37" s="1833"/>
      <c r="AP37" s="1833"/>
      <c r="AQ37" s="1833"/>
      <c r="AR37" s="1833"/>
      <c r="AS37" s="1833"/>
      <c r="AT37" s="1833"/>
      <c r="AU37" s="1833"/>
      <c r="AV37" s="1833"/>
      <c r="AW37" s="1833"/>
      <c r="AX37" s="1833"/>
      <c r="AY37" s="1833"/>
      <c r="AZ37" s="1833"/>
      <c r="BA37" s="1833"/>
      <c r="BB37" s="1833"/>
      <c r="BC37" s="1833"/>
      <c r="BD37" s="1833"/>
      <c r="BE37" s="1833"/>
      <c r="BF37" s="1833"/>
      <c r="BG37" s="1646"/>
    </row>
    <row customHeight="1" ht="11.25">
      <c r="A38" s="1177" t="s">
        <v>1088</v>
      </c>
      <c r="B38" s="1177"/>
      <c r="C38" s="1177"/>
      <c r="D38" s="1171"/>
      <c r="E38" s="1181"/>
      <c r="F38" s="1839"/>
      <c r="G38" s="1840"/>
      <c r="H38" s="2545" t="s">
        <v>120</v>
      </c>
      <c r="I38" s="2546"/>
      <c r="J38" s="2515"/>
      <c r="K38" s="2547"/>
      <c r="L38" s="2137"/>
      <c r="M38" s="2138"/>
      <c r="N38" s="2538"/>
      <c r="O38" s="2539"/>
      <c r="P38" s="2541"/>
      <c r="Q38" s="2543"/>
      <c r="R38" s="2543"/>
      <c r="S38" s="2544"/>
      <c r="T38" s="2543"/>
      <c r="U38" s="2543"/>
      <c r="V38" s="2543"/>
      <c r="W38" s="2543"/>
      <c r="X38" s="2543"/>
      <c r="Y38" s="2543"/>
      <c r="Z38" s="1838"/>
      <c r="AA38" s="1804">
        <v>1</v>
      </c>
      <c r="AB38" s="1190" t="s">
        <v>1139</v>
      </c>
      <c r="AC38" s="1180">
        <v>361.449</v>
      </c>
      <c r="AD38" s="1190" t="str">
        <f>AB38</f>
        <v>  За счет платы за технологическое присоединение</v>
      </c>
      <c r="AE38" s="1180">
        <v>361.44856</v>
      </c>
      <c r="AF38" s="2536"/>
      <c r="AG38" s="2537"/>
      <c r="AH38" s="2537"/>
      <c r="AI38" s="2536"/>
      <c r="AJ38" s="2537"/>
      <c r="AK38" s="2537"/>
      <c r="AL38" s="1996"/>
      <c r="AM38" s="1833"/>
      <c r="AN38" s="1833"/>
      <c r="AO38" s="1833"/>
      <c r="AP38" s="1833"/>
      <c r="AQ38" s="1833"/>
      <c r="AR38" s="1833"/>
      <c r="AS38" s="1833"/>
      <c r="AT38" s="1833"/>
      <c r="AU38" s="1833"/>
      <c r="AV38" s="1833"/>
      <c r="AW38" s="1833"/>
      <c r="AX38" s="1833"/>
      <c r="AY38" s="1833"/>
      <c r="AZ38" s="1833"/>
      <c r="BA38" s="1833"/>
      <c r="BB38" s="1833"/>
      <c r="BC38" s="1833"/>
      <c r="BD38" s="1833"/>
      <c r="BE38" s="1833"/>
      <c r="BF38" s="1833"/>
      <c r="BG38" s="1646"/>
    </row>
    <row customHeight="1" ht="11.25">
      <c r="A39" s="1177" t="s">
        <v>1088</v>
      </c>
      <c r="B39" s="1177"/>
      <c r="C39" s="1177"/>
      <c r="D39" s="1171"/>
      <c r="E39" s="1181"/>
      <c r="F39" s="1839"/>
      <c r="G39" s="1840"/>
      <c r="H39" s="2545" t="s">
        <v>120</v>
      </c>
      <c r="I39" s="2546"/>
      <c r="J39" s="2515"/>
      <c r="K39" s="2547"/>
      <c r="L39" s="2137"/>
      <c r="M39" s="2138"/>
      <c r="N39" s="2538"/>
      <c r="O39" s="2539"/>
      <c r="P39" s="2542"/>
      <c r="Q39" s="2543"/>
      <c r="R39" s="2543"/>
      <c r="S39" s="2544"/>
      <c r="T39" s="2543"/>
      <c r="U39" s="2543"/>
      <c r="V39" s="2543"/>
      <c r="W39" s="2543"/>
      <c r="X39" s="2543"/>
      <c r="Y39" s="2543"/>
      <c r="Z39" s="1186"/>
      <c r="AA39" s="1187"/>
      <c r="AB39" s="1252" t="s">
        <v>1130</v>
      </c>
      <c r="AC39" s="1191"/>
      <c r="AD39" s="1191"/>
      <c r="AE39" s="1193"/>
      <c r="AF39" s="2536"/>
      <c r="AG39" s="2537"/>
      <c r="AH39" s="2537"/>
      <c r="AI39" s="2536"/>
      <c r="AJ39" s="2537"/>
      <c r="AK39" s="2537"/>
      <c r="AL39" s="1996"/>
      <c r="AM39" s="1833"/>
      <c r="AN39" s="1833"/>
      <c r="AO39" s="1833"/>
      <c r="AP39" s="1833"/>
      <c r="AQ39" s="1833"/>
      <c r="AR39" s="1833"/>
      <c r="AS39" s="1833"/>
      <c r="AT39" s="1833"/>
      <c r="AU39" s="1833"/>
      <c r="AV39" s="1833"/>
      <c r="AW39" s="1833"/>
      <c r="AX39" s="1833"/>
      <c r="AY39" s="1833"/>
      <c r="AZ39" s="1833"/>
      <c r="BA39" s="1833"/>
      <c r="BB39" s="1833"/>
      <c r="BC39" s="1833"/>
      <c r="BD39" s="1833"/>
      <c r="BE39" s="1833"/>
      <c r="BF39" s="1833"/>
      <c r="BG39" s="1646"/>
    </row>
    <row customHeight="1" ht="11.25">
      <c r="A40" s="1177" t="s">
        <v>1088</v>
      </c>
      <c r="B40" s="1177"/>
      <c r="C40" s="1177"/>
      <c r="D40" s="1171"/>
      <c r="E40" s="1181"/>
      <c r="F40" s="1839"/>
      <c r="G40" s="1840"/>
      <c r="H40" s="2545" t="s">
        <v>120</v>
      </c>
      <c r="I40" s="2546"/>
      <c r="J40" s="2515"/>
      <c r="K40" s="2547"/>
      <c r="L40" s="2137"/>
      <c r="M40" s="2138"/>
      <c r="N40" s="1186"/>
      <c r="O40" s="1187"/>
      <c r="P40" s="1179" t="s">
        <v>1131</v>
      </c>
      <c r="Q40" s="1187"/>
      <c r="R40" s="1187"/>
      <c r="S40" s="1187"/>
      <c r="T40" s="1187"/>
      <c r="U40" s="1187"/>
      <c r="V40" s="1187"/>
      <c r="W40" s="1187"/>
      <c r="X40" s="1187"/>
      <c r="Y40" s="1187"/>
      <c r="Z40" s="1187"/>
      <c r="AA40" s="1187"/>
      <c r="AB40" s="1187"/>
      <c r="AC40" s="1187"/>
      <c r="AD40" s="1187"/>
      <c r="AE40" s="1194"/>
      <c r="AF40" s="2536"/>
      <c r="AG40" s="2537"/>
      <c r="AH40" s="2537"/>
      <c r="AI40" s="2536"/>
      <c r="AJ40" s="2537"/>
      <c r="AK40" s="2537"/>
      <c r="AL40" s="1996"/>
      <c r="AM40" s="1833"/>
      <c r="AN40" s="1833"/>
      <c r="AO40" s="1833"/>
      <c r="AP40" s="1833"/>
      <c r="AQ40" s="1833"/>
      <c r="AR40" s="1833"/>
      <c r="AS40" s="1833"/>
      <c r="AT40" s="1833"/>
      <c r="AU40" s="1833"/>
      <c r="AV40" s="1833"/>
      <c r="AW40" s="1833"/>
      <c r="AX40" s="1833"/>
      <c r="AY40" s="1833"/>
      <c r="AZ40" s="1833"/>
      <c r="BA40" s="1833"/>
      <c r="BB40" s="1833"/>
      <c r="BC40" s="1833"/>
      <c r="BD40" s="1833"/>
      <c r="BE40" s="1833"/>
      <c r="BF40" s="1833"/>
      <c r="BG40" s="1646"/>
    </row>
    <row customHeight="1" ht="11.25">
      <c r="A41" s="1177" t="s">
        <v>1088</v>
      </c>
      <c r="B41" s="1177" t="s">
        <v>22</v>
      </c>
      <c r="C41" s="1177"/>
      <c r="D41" s="1171"/>
      <c r="E41" s="1181"/>
      <c r="F41" s="1839"/>
      <c r="G41" s="694" t="s">
        <v>105</v>
      </c>
      <c r="H41" s="2545" t="s">
        <v>91</v>
      </c>
      <c r="I41" s="2546" t="s">
        <v>1120</v>
      </c>
      <c r="J41" s="2911" t="s">
        <v>22</v>
      </c>
      <c r="K41" s="2547" t="s">
        <v>1141</v>
      </c>
      <c r="L41" s="2137" t="s">
        <v>19</v>
      </c>
      <c r="M41" s="2138"/>
      <c r="N41" s="1994"/>
      <c r="O41" s="1188" t="s">
        <v>390</v>
      </c>
      <c r="P41" s="1189"/>
      <c r="Q41" s="1189"/>
      <c r="R41" s="1189"/>
      <c r="S41" s="1189"/>
      <c r="T41" s="1189"/>
      <c r="U41" s="1189"/>
      <c r="V41" s="1189"/>
      <c r="W41" s="1189"/>
      <c r="X41" s="1189"/>
      <c r="Y41" s="1189"/>
      <c r="Z41" s="1189"/>
      <c r="AA41" s="1189"/>
      <c r="AB41" s="1189"/>
      <c r="AC41" s="1189"/>
      <c r="AD41" s="1189"/>
      <c r="AE41" s="1189"/>
      <c r="AF41" s="2536">
        <v>2025</v>
      </c>
      <c r="AG41" s="2537" t="s">
        <v>1122</v>
      </c>
      <c r="AH41" s="2537" t="s">
        <v>1138</v>
      </c>
      <c r="AI41" s="2536">
        <v>2025</v>
      </c>
      <c r="AJ41" s="2537" t="s">
        <v>1122</v>
      </c>
      <c r="AK41" s="2537" t="s">
        <v>1138</v>
      </c>
      <c r="AL41" s="1996"/>
      <c r="AM41" s="1833"/>
      <c r="AN41" s="1833"/>
      <c r="AO41" s="1833"/>
      <c r="AP41" s="1833"/>
      <c r="AQ41" s="1833"/>
      <c r="AR41" s="1833"/>
      <c r="AS41" s="1833"/>
      <c r="AT41" s="1833"/>
      <c r="AU41" s="1833"/>
      <c r="AV41" s="1833"/>
      <c r="AW41" s="1833"/>
      <c r="AX41" s="1833"/>
      <c r="AY41" s="1833"/>
      <c r="AZ41" s="1833"/>
      <c r="BA41" s="1833"/>
      <c r="BB41" s="1833"/>
      <c r="BC41" s="1833"/>
      <c r="BD41" s="1833"/>
      <c r="BE41" s="1833"/>
      <c r="BF41" s="1833"/>
      <c r="BG41" s="1646"/>
    </row>
    <row customHeight="1" ht="11.25">
      <c r="A42" s="1177" t="s">
        <v>1088</v>
      </c>
      <c r="B42" s="1177"/>
      <c r="C42" s="1177"/>
      <c r="D42" s="1171"/>
      <c r="E42" s="1181"/>
      <c r="F42" s="1839"/>
      <c r="G42" s="1840"/>
      <c r="H42" s="2545" t="s">
        <v>104</v>
      </c>
      <c r="I42" s="2546"/>
      <c r="J42" s="2911"/>
      <c r="K42" s="2547"/>
      <c r="L42" s="2137"/>
      <c r="M42" s="2138"/>
      <c r="N42" s="2538"/>
      <c r="O42" s="2539">
        <v>1</v>
      </c>
      <c r="P42" s="2540" t="s">
        <v>63</v>
      </c>
      <c r="Q42" s="2913" t="s">
        <v>614</v>
      </c>
      <c r="R42" s="2914" t="s">
        <v>1124</v>
      </c>
      <c r="S42" s="2914" t="s">
        <v>101</v>
      </c>
      <c r="T42" s="2914" t="s">
        <v>101</v>
      </c>
      <c r="U42" s="2914" t="s">
        <v>102</v>
      </c>
      <c r="V42" s="2914" t="s">
        <v>1125</v>
      </c>
      <c r="W42" s="2914" t="s">
        <v>1126</v>
      </c>
      <c r="X42" s="2914" t="s">
        <v>1127</v>
      </c>
      <c r="Y42" s="2914" t="s">
        <v>1128</v>
      </c>
      <c r="Z42" s="1186"/>
      <c r="AA42" s="1187"/>
      <c r="AB42" s="1187"/>
      <c r="AC42" s="1191"/>
      <c r="AD42" s="1191"/>
      <c r="AE42" s="1192"/>
      <c r="AF42" s="2536"/>
      <c r="AG42" s="2537"/>
      <c r="AH42" s="2537"/>
      <c r="AI42" s="2536"/>
      <c r="AJ42" s="2537"/>
      <c r="AK42" s="2537"/>
      <c r="AL42" s="1996"/>
      <c r="AM42" s="1833"/>
      <c r="AN42" s="1833"/>
      <c r="AO42" s="1833"/>
      <c r="AP42" s="1833"/>
      <c r="AQ42" s="1833"/>
      <c r="AR42" s="1833"/>
      <c r="AS42" s="1833"/>
      <c r="AT42" s="1833"/>
      <c r="AU42" s="1833"/>
      <c r="AV42" s="1833"/>
      <c r="AW42" s="1833"/>
      <c r="AX42" s="1833"/>
      <c r="AY42" s="1833"/>
      <c r="AZ42" s="1833"/>
      <c r="BA42" s="1833"/>
      <c r="BB42" s="1833"/>
      <c r="BC42" s="1833"/>
      <c r="BD42" s="1833"/>
      <c r="BE42" s="1833"/>
      <c r="BF42" s="1833"/>
      <c r="BG42" s="1646"/>
    </row>
    <row customHeight="1" ht="11.25">
      <c r="A43" s="1177" t="s">
        <v>1088</v>
      </c>
      <c r="B43" s="1177"/>
      <c r="C43" s="1177"/>
      <c r="D43" s="1171"/>
      <c r="E43" s="1181"/>
      <c r="F43" s="1839"/>
      <c r="G43" s="1840"/>
      <c r="H43" s="2545" t="s">
        <v>104</v>
      </c>
      <c r="I43" s="2546"/>
      <c r="J43" s="2911"/>
      <c r="K43" s="2547"/>
      <c r="L43" s="2137"/>
      <c r="M43" s="2138"/>
      <c r="N43" s="2538"/>
      <c r="O43" s="2539"/>
      <c r="P43" s="2541"/>
      <c r="Q43" s="2913"/>
      <c r="R43" s="2543"/>
      <c r="S43" s="2544"/>
      <c r="T43" s="2543"/>
      <c r="U43" s="2543"/>
      <c r="V43" s="2543"/>
      <c r="W43" s="2543"/>
      <c r="X43" s="2543"/>
      <c r="Y43" s="2543"/>
      <c r="Z43" s="1838"/>
      <c r="AA43" s="1804">
        <v>1</v>
      </c>
      <c r="AB43" s="1190" t="s">
        <v>1129</v>
      </c>
      <c r="AC43" s="1180">
        <v>53514.686</v>
      </c>
      <c r="AD43" s="1190" t="str">
        <f>AB43</f>
        <v>  Прибыль направляемая на инвестиции</v>
      </c>
      <c r="AE43" s="1180">
        <v>53514.68588</v>
      </c>
      <c r="AF43" s="2536"/>
      <c r="AG43" s="2537"/>
      <c r="AH43" s="2537"/>
      <c r="AI43" s="2536"/>
      <c r="AJ43" s="2537"/>
      <c r="AK43" s="2537"/>
      <c r="AL43" s="1996"/>
      <c r="AM43" s="1833"/>
      <c r="AN43" s="1833"/>
      <c r="AO43" s="1833"/>
      <c r="AP43" s="1833"/>
      <c r="AQ43" s="1833"/>
      <c r="AR43" s="1833"/>
      <c r="AS43" s="1833"/>
      <c r="AT43" s="1833"/>
      <c r="AU43" s="1833"/>
      <c r="AV43" s="1833"/>
      <c r="AW43" s="1833"/>
      <c r="AX43" s="1833"/>
      <c r="AY43" s="1833"/>
      <c r="AZ43" s="1833"/>
      <c r="BA43" s="1833"/>
      <c r="BB43" s="1833"/>
      <c r="BC43" s="1833"/>
      <c r="BD43" s="1833"/>
      <c r="BE43" s="1833"/>
      <c r="BF43" s="1833"/>
      <c r="BG43" s="1646"/>
    </row>
    <row customHeight="1" ht="11.25">
      <c r="A44" s="1177" t="s">
        <v>1088</v>
      </c>
      <c r="B44" s="1177"/>
      <c r="C44" s="1177"/>
      <c r="D44" s="1171"/>
      <c r="E44" s="1181"/>
      <c r="F44" s="1839"/>
      <c r="G44" s="1840"/>
      <c r="H44" s="2545" t="s">
        <v>104</v>
      </c>
      <c r="I44" s="2546"/>
      <c r="J44" s="2911"/>
      <c r="K44" s="2547"/>
      <c r="L44" s="2137"/>
      <c r="M44" s="2138"/>
      <c r="N44" s="2538"/>
      <c r="O44" s="2539"/>
      <c r="P44" s="2542"/>
      <c r="Q44" s="2913"/>
      <c r="R44" s="2543"/>
      <c r="S44" s="2544"/>
      <c r="T44" s="2543"/>
      <c r="U44" s="2543"/>
      <c r="V44" s="2543"/>
      <c r="W44" s="2543"/>
      <c r="X44" s="2543"/>
      <c r="Y44" s="2543"/>
      <c r="Z44" s="1186"/>
      <c r="AA44" s="1187"/>
      <c r="AB44" s="1252" t="s">
        <v>1130</v>
      </c>
      <c r="AC44" s="1191"/>
      <c r="AD44" s="1191"/>
      <c r="AE44" s="1193"/>
      <c r="AF44" s="2536"/>
      <c r="AG44" s="2537"/>
      <c r="AH44" s="2537"/>
      <c r="AI44" s="2536"/>
      <c r="AJ44" s="2537"/>
      <c r="AK44" s="2537"/>
      <c r="AL44" s="1996"/>
      <c r="AM44" s="1833"/>
      <c r="AN44" s="1833"/>
      <c r="AO44" s="1833"/>
      <c r="AP44" s="1833"/>
      <c r="AQ44" s="1833"/>
      <c r="AR44" s="1833"/>
      <c r="AS44" s="1833"/>
      <c r="AT44" s="1833"/>
      <c r="AU44" s="1833"/>
      <c r="AV44" s="1833"/>
      <c r="AW44" s="1833"/>
      <c r="AX44" s="1833"/>
      <c r="AY44" s="1833"/>
      <c r="AZ44" s="1833"/>
      <c r="BA44" s="1833"/>
      <c r="BB44" s="1833"/>
      <c r="BC44" s="1833"/>
      <c r="BD44" s="1833"/>
      <c r="BE44" s="1833"/>
      <c r="BF44" s="1833"/>
      <c r="BG44" s="1646"/>
    </row>
    <row customHeight="1" ht="11.25">
      <c r="A45" s="1177" t="s">
        <v>1088</v>
      </c>
      <c r="B45" s="1177"/>
      <c r="C45" s="1177"/>
      <c r="D45" s="1171"/>
      <c r="E45" s="1181"/>
      <c r="F45" s="1839"/>
      <c r="G45" s="1840"/>
      <c r="H45" s="2545" t="s">
        <v>104</v>
      </c>
      <c r="I45" s="2546"/>
      <c r="J45" s="2911"/>
      <c r="K45" s="2547"/>
      <c r="L45" s="2137"/>
      <c r="M45" s="2138"/>
      <c r="N45" s="1186"/>
      <c r="O45" s="1187"/>
      <c r="P45" s="1179" t="s">
        <v>1131</v>
      </c>
      <c r="Q45" s="1187"/>
      <c r="R45" s="1187"/>
      <c r="S45" s="1187"/>
      <c r="T45" s="1187"/>
      <c r="U45" s="1187"/>
      <c r="V45" s="1187"/>
      <c r="W45" s="1187"/>
      <c r="X45" s="1187"/>
      <c r="Y45" s="1187"/>
      <c r="Z45" s="1187"/>
      <c r="AA45" s="1187"/>
      <c r="AB45" s="1187"/>
      <c r="AC45" s="1187"/>
      <c r="AD45" s="1187"/>
      <c r="AE45" s="1194"/>
      <c r="AF45" s="2536"/>
      <c r="AG45" s="2537"/>
      <c r="AH45" s="2537"/>
      <c r="AI45" s="2536"/>
      <c r="AJ45" s="2537"/>
      <c r="AK45" s="2537"/>
      <c r="AL45" s="1996"/>
      <c r="AM45" s="1833"/>
      <c r="AN45" s="1833"/>
      <c r="AO45" s="1833"/>
      <c r="AP45" s="1833"/>
      <c r="AQ45" s="1833"/>
      <c r="AR45" s="1833"/>
      <c r="AS45" s="1833"/>
      <c r="AT45" s="1833"/>
      <c r="AU45" s="1833"/>
      <c r="AV45" s="1833"/>
      <c r="AW45" s="1833"/>
      <c r="AX45" s="1833"/>
      <c r="AY45" s="1833"/>
      <c r="AZ45" s="1833"/>
      <c r="BA45" s="1833"/>
      <c r="BB45" s="1833"/>
      <c r="BC45" s="1833"/>
      <c r="BD45" s="1833"/>
      <c r="BE45" s="1833"/>
      <c r="BF45" s="1833"/>
      <c r="BG45" s="1646"/>
    </row>
    <row customHeight="1" ht="11.25">
      <c r="A46" s="1177" t="s">
        <v>1088</v>
      </c>
      <c r="B46" s="1177" t="s">
        <v>22</v>
      </c>
      <c r="C46" s="1177"/>
      <c r="D46" s="1171"/>
      <c r="E46" s="1181"/>
      <c r="F46" s="1839"/>
      <c r="G46" s="694" t="s">
        <v>105</v>
      </c>
      <c r="H46" s="2545" t="s">
        <v>92</v>
      </c>
      <c r="I46" s="2546" t="s">
        <v>1120</v>
      </c>
      <c r="J46" s="2911" t="s">
        <v>22</v>
      </c>
      <c r="K46" s="2547" t="s">
        <v>1121</v>
      </c>
      <c r="L46" s="2137" t="s">
        <v>19</v>
      </c>
      <c r="M46" s="2138"/>
      <c r="N46" s="1994"/>
      <c r="O46" s="1188" t="s">
        <v>390</v>
      </c>
      <c r="P46" s="1189"/>
      <c r="Q46" s="1189"/>
      <c r="R46" s="1189"/>
      <c r="S46" s="1189"/>
      <c r="T46" s="1189"/>
      <c r="U46" s="1189"/>
      <c r="V46" s="1189"/>
      <c r="W46" s="1189"/>
      <c r="X46" s="1189"/>
      <c r="Y46" s="1189"/>
      <c r="Z46" s="1189"/>
      <c r="AA46" s="1189"/>
      <c r="AB46" s="1189"/>
      <c r="AC46" s="1189"/>
      <c r="AD46" s="1189"/>
      <c r="AE46" s="1189"/>
      <c r="AF46" s="2536">
        <v>2024</v>
      </c>
      <c r="AG46" s="2537" t="s">
        <v>1122</v>
      </c>
      <c r="AH46" s="2537" t="s">
        <v>1123</v>
      </c>
      <c r="AI46" s="2536">
        <v>2024</v>
      </c>
      <c r="AJ46" s="2537" t="s">
        <v>1122</v>
      </c>
      <c r="AK46" s="2537" t="s">
        <v>1123</v>
      </c>
      <c r="AL46" s="1996"/>
      <c r="AM46" s="1833"/>
      <c r="AN46" s="1833"/>
      <c r="AO46" s="1833"/>
      <c r="AP46" s="1833"/>
      <c r="AQ46" s="1833"/>
      <c r="AR46" s="1833"/>
      <c r="AS46" s="1833"/>
      <c r="AT46" s="1833"/>
      <c r="AU46" s="1833"/>
      <c r="AV46" s="1833"/>
      <c r="AW46" s="1833"/>
      <c r="AX46" s="1833"/>
      <c r="AY46" s="1833"/>
      <c r="AZ46" s="1833"/>
      <c r="BA46" s="1833"/>
      <c r="BB46" s="1833"/>
      <c r="BC46" s="1833"/>
      <c r="BD46" s="1833"/>
      <c r="BE46" s="1833"/>
      <c r="BF46" s="1833"/>
      <c r="BG46" s="1646"/>
    </row>
    <row customHeight="1" ht="11.25">
      <c r="A47" s="1177" t="s">
        <v>1088</v>
      </c>
      <c r="B47" s="1177"/>
      <c r="C47" s="1177"/>
      <c r="D47" s="1171"/>
      <c r="E47" s="1181"/>
      <c r="F47" s="1839"/>
      <c r="G47" s="1840"/>
      <c r="H47" s="2545" t="s">
        <v>91</v>
      </c>
      <c r="I47" s="2546"/>
      <c r="J47" s="2911"/>
      <c r="K47" s="2547"/>
      <c r="L47" s="2137"/>
      <c r="M47" s="2138"/>
      <c r="N47" s="2538"/>
      <c r="O47" s="2539">
        <v>1</v>
      </c>
      <c r="P47" s="2540" t="s">
        <v>63</v>
      </c>
      <c r="Q47" s="2913" t="s">
        <v>614</v>
      </c>
      <c r="R47" s="2914" t="s">
        <v>1124</v>
      </c>
      <c r="S47" s="2914" t="s">
        <v>101</v>
      </c>
      <c r="T47" s="2914" t="s">
        <v>101</v>
      </c>
      <c r="U47" s="2914" t="s">
        <v>102</v>
      </c>
      <c r="V47" s="2914" t="s">
        <v>1125</v>
      </c>
      <c r="W47" s="2914" t="s">
        <v>1126</v>
      </c>
      <c r="X47" s="2914" t="s">
        <v>1127</v>
      </c>
      <c r="Y47" s="2914" t="s">
        <v>1128</v>
      </c>
      <c r="Z47" s="1186"/>
      <c r="AA47" s="1187"/>
      <c r="AB47" s="1187"/>
      <c r="AC47" s="1191"/>
      <c r="AD47" s="1191"/>
      <c r="AE47" s="1192"/>
      <c r="AF47" s="2536"/>
      <c r="AG47" s="2537"/>
      <c r="AH47" s="2537"/>
      <c r="AI47" s="2536"/>
      <c r="AJ47" s="2537"/>
      <c r="AK47" s="2537"/>
      <c r="AL47" s="1996"/>
      <c r="AM47" s="1833"/>
      <c r="AN47" s="1833"/>
      <c r="AO47" s="1833"/>
      <c r="AP47" s="1833"/>
      <c r="AQ47" s="1833"/>
      <c r="AR47" s="1833"/>
      <c r="AS47" s="1833"/>
      <c r="AT47" s="1833"/>
      <c r="AU47" s="1833"/>
      <c r="AV47" s="1833"/>
      <c r="AW47" s="1833"/>
      <c r="AX47" s="1833"/>
      <c r="AY47" s="1833"/>
      <c r="AZ47" s="1833"/>
      <c r="BA47" s="1833"/>
      <c r="BB47" s="1833"/>
      <c r="BC47" s="1833"/>
      <c r="BD47" s="1833"/>
      <c r="BE47" s="1833"/>
      <c r="BF47" s="1833"/>
      <c r="BG47" s="1646"/>
    </row>
    <row customHeight="1" ht="11.25">
      <c r="A48" s="1177" t="s">
        <v>1088</v>
      </c>
      <c r="B48" s="1177"/>
      <c r="C48" s="1177"/>
      <c r="D48" s="1171"/>
      <c r="E48" s="1181"/>
      <c r="F48" s="1839"/>
      <c r="G48" s="1840"/>
      <c r="H48" s="2545" t="s">
        <v>91</v>
      </c>
      <c r="I48" s="2546"/>
      <c r="J48" s="2911"/>
      <c r="K48" s="2547"/>
      <c r="L48" s="2137"/>
      <c r="M48" s="2138"/>
      <c r="N48" s="2538"/>
      <c r="O48" s="2539"/>
      <c r="P48" s="2541"/>
      <c r="Q48" s="2913"/>
      <c r="R48" s="2543"/>
      <c r="S48" s="2544"/>
      <c r="T48" s="2543"/>
      <c r="U48" s="2543"/>
      <c r="V48" s="2543"/>
      <c r="W48" s="2543"/>
      <c r="X48" s="2543"/>
      <c r="Y48" s="2543"/>
      <c r="Z48" s="1838"/>
      <c r="AA48" s="1804">
        <v>1</v>
      </c>
      <c r="AB48" s="1190" t="s">
        <v>1129</v>
      </c>
      <c r="AC48" s="1180">
        <v>28418.96674</v>
      </c>
      <c r="AD48" s="1190" t="str">
        <f>AB48</f>
        <v>  Прибыль направляемая на инвестиции</v>
      </c>
      <c r="AE48" s="1180">
        <v>28419.3511</v>
      </c>
      <c r="AF48" s="2536"/>
      <c r="AG48" s="2537"/>
      <c r="AH48" s="2537"/>
      <c r="AI48" s="2536"/>
      <c r="AJ48" s="2537"/>
      <c r="AK48" s="2537"/>
      <c r="AL48" s="1996"/>
      <c r="AM48" s="1833"/>
      <c r="AN48" s="1833"/>
      <c r="AO48" s="1833"/>
      <c r="AP48" s="1833"/>
      <c r="AQ48" s="1833"/>
      <c r="AR48" s="1833"/>
      <c r="AS48" s="1833"/>
      <c r="AT48" s="1833"/>
      <c r="AU48" s="1833"/>
      <c r="AV48" s="1833"/>
      <c r="AW48" s="1833"/>
      <c r="AX48" s="1833"/>
      <c r="AY48" s="1833"/>
      <c r="AZ48" s="1833"/>
      <c r="BA48" s="1833"/>
      <c r="BB48" s="1833"/>
      <c r="BC48" s="1833"/>
      <c r="BD48" s="1833"/>
      <c r="BE48" s="1833"/>
      <c r="BF48" s="1833"/>
      <c r="BG48" s="1646"/>
    </row>
    <row customHeight="1" ht="11.25">
      <c r="A49" s="1177" t="s">
        <v>1088</v>
      </c>
      <c r="B49" s="1177"/>
      <c r="C49" s="1177"/>
      <c r="D49" s="1171"/>
      <c r="E49" s="1181"/>
      <c r="F49" s="1839"/>
      <c r="G49" s="1840"/>
      <c r="H49" s="2545" t="s">
        <v>91</v>
      </c>
      <c r="I49" s="2546"/>
      <c r="J49" s="2911"/>
      <c r="K49" s="2547"/>
      <c r="L49" s="2137"/>
      <c r="M49" s="2138"/>
      <c r="N49" s="2538"/>
      <c r="O49" s="2539"/>
      <c r="P49" s="2542"/>
      <c r="Q49" s="2913"/>
      <c r="R49" s="2543"/>
      <c r="S49" s="2544"/>
      <c r="T49" s="2543"/>
      <c r="U49" s="2543"/>
      <c r="V49" s="2543"/>
      <c r="W49" s="2543"/>
      <c r="X49" s="2543"/>
      <c r="Y49" s="2543"/>
      <c r="Z49" s="1186"/>
      <c r="AA49" s="1187"/>
      <c r="AB49" s="1252" t="s">
        <v>1130</v>
      </c>
      <c r="AC49" s="1191"/>
      <c r="AD49" s="1191"/>
      <c r="AE49" s="1193"/>
      <c r="AF49" s="2536"/>
      <c r="AG49" s="2537"/>
      <c r="AH49" s="2537"/>
      <c r="AI49" s="2536"/>
      <c r="AJ49" s="2537"/>
      <c r="AK49" s="2537"/>
      <c r="AL49" s="1996"/>
      <c r="AM49" s="1833"/>
      <c r="AN49" s="1833"/>
      <c r="AO49" s="1833"/>
      <c r="AP49" s="1833"/>
      <c r="AQ49" s="1833"/>
      <c r="AR49" s="1833"/>
      <c r="AS49" s="1833"/>
      <c r="AT49" s="1833"/>
      <c r="AU49" s="1833"/>
      <c r="AV49" s="1833"/>
      <c r="AW49" s="1833"/>
      <c r="AX49" s="1833"/>
      <c r="AY49" s="1833"/>
      <c r="AZ49" s="1833"/>
      <c r="BA49" s="1833"/>
      <c r="BB49" s="1833"/>
      <c r="BC49" s="1833"/>
      <c r="BD49" s="1833"/>
      <c r="BE49" s="1833"/>
      <c r="BF49" s="1833"/>
      <c r="BG49" s="1646"/>
    </row>
    <row customHeight="1" ht="11.25">
      <c r="A50" s="1177" t="s">
        <v>1088</v>
      </c>
      <c r="B50" s="1177"/>
      <c r="C50" s="1177"/>
      <c r="D50" s="1171"/>
      <c r="E50" s="1181"/>
      <c r="F50" s="1839"/>
      <c r="G50" s="1840"/>
      <c r="H50" s="2545" t="s">
        <v>91</v>
      </c>
      <c r="I50" s="2546"/>
      <c r="J50" s="2911"/>
      <c r="K50" s="2547"/>
      <c r="L50" s="2137"/>
      <c r="M50" s="2138"/>
      <c r="N50" s="1186"/>
      <c r="O50" s="1187"/>
      <c r="P50" s="1179" t="s">
        <v>1131</v>
      </c>
      <c r="Q50" s="1187"/>
      <c r="R50" s="1187"/>
      <c r="S50" s="1187"/>
      <c r="T50" s="1187"/>
      <c r="U50" s="1187"/>
      <c r="V50" s="1187"/>
      <c r="W50" s="1187"/>
      <c r="X50" s="1187"/>
      <c r="Y50" s="1187"/>
      <c r="Z50" s="1187"/>
      <c r="AA50" s="1187"/>
      <c r="AB50" s="1187"/>
      <c r="AC50" s="1187"/>
      <c r="AD50" s="1187"/>
      <c r="AE50" s="1194"/>
      <c r="AF50" s="2536"/>
      <c r="AG50" s="2537"/>
      <c r="AH50" s="2537"/>
      <c r="AI50" s="2536"/>
      <c r="AJ50" s="2537"/>
      <c r="AK50" s="2537"/>
      <c r="AL50" s="1996"/>
      <c r="AM50" s="1833"/>
      <c r="AN50" s="1833"/>
      <c r="AO50" s="1833"/>
      <c r="AP50" s="1833"/>
      <c r="AQ50" s="1833"/>
      <c r="AR50" s="1833"/>
      <c r="AS50" s="1833"/>
      <c r="AT50" s="1833"/>
      <c r="AU50" s="1833"/>
      <c r="AV50" s="1833"/>
      <c r="AW50" s="1833"/>
      <c r="AX50" s="1833"/>
      <c r="AY50" s="1833"/>
      <c r="AZ50" s="1833"/>
      <c r="BA50" s="1833"/>
      <c r="BB50" s="1833"/>
      <c r="BC50" s="1833"/>
      <c r="BD50" s="1833"/>
      <c r="BE50" s="1833"/>
      <c r="BF50" s="1833"/>
      <c r="BG50" s="1646"/>
    </row>
    <row customHeight="1" ht="12">
      <c r="A51" s="1177" t="s">
        <v>1088</v>
      </c>
      <c r="B51" s="1177"/>
      <c r="C51" s="1177"/>
      <c r="D51" s="1171"/>
      <c r="E51" s="1181"/>
      <c r="F51" s="2567"/>
      <c r="G51" s="1201"/>
      <c r="H51" s="1201"/>
      <c r="I51" s="2565" t="s">
        <v>1132</v>
      </c>
      <c r="J51" s="2565"/>
      <c r="K51" s="2565"/>
      <c r="L51" s="1184"/>
      <c r="M51" s="1184"/>
      <c r="N51" s="1185"/>
      <c r="O51" s="1185"/>
      <c r="P51" s="1185"/>
      <c r="Q51" s="1185"/>
      <c r="R51" s="1185"/>
      <c r="S51" s="1185"/>
      <c r="T51" s="1185"/>
      <c r="U51" s="1185"/>
      <c r="V51" s="1185"/>
      <c r="W51" s="1185"/>
      <c r="X51" s="1185"/>
      <c r="Y51" s="1185"/>
      <c r="Z51" s="1185"/>
      <c r="AA51" s="1185"/>
      <c r="AB51" s="1185"/>
      <c r="AC51" s="1185"/>
      <c r="AD51" s="1185"/>
      <c r="AE51" s="1185"/>
      <c r="AF51" s="1185"/>
      <c r="AG51" s="1184"/>
      <c r="AH51" s="1184"/>
      <c r="AI51" s="1185"/>
      <c r="AJ51" s="1184"/>
      <c r="AK51" s="1185"/>
      <c r="AL51" s="1996"/>
      <c r="AM51" s="1833"/>
      <c r="AN51" s="1833"/>
      <c r="AO51" s="1833"/>
      <c r="AP51" s="1833"/>
      <c r="AQ51" s="1833"/>
      <c r="AR51" s="1833"/>
      <c r="AS51" s="1833"/>
      <c r="AT51" s="1833"/>
      <c r="AU51" s="1833"/>
      <c r="AV51" s="1833"/>
      <c r="AW51" s="1833"/>
      <c r="AX51" s="1833"/>
      <c r="AY51" s="1833"/>
      <c r="AZ51" s="1833"/>
      <c r="BA51" s="1833"/>
      <c r="BB51" s="1833"/>
      <c r="BC51" s="1833"/>
      <c r="BD51" s="1833"/>
      <c r="BE51" s="1833"/>
      <c r="BF51" s="1833"/>
      <c r="BG51" s="1646"/>
    </row>
    <row customHeight="1" ht="0.75">
      <c r="A52" s="1177" t="s">
        <v>1088</v>
      </c>
      <c r="B52" s="1177"/>
      <c r="C52" s="1177"/>
      <c r="D52" s="1171"/>
      <c r="E52" s="1181"/>
      <c r="F52" s="2566">
        <v>2025</v>
      </c>
      <c r="G52" s="2545"/>
      <c r="H52" s="2570" t="s">
        <v>390</v>
      </c>
      <c r="I52" s="2571"/>
      <c r="J52" s="2572"/>
      <c r="K52" s="2572"/>
      <c r="L52" s="2564"/>
      <c r="M52" s="2298"/>
      <c r="N52" s="2044"/>
      <c r="O52" s="2043"/>
      <c r="P52" s="2044"/>
      <c r="Q52" s="2044"/>
      <c r="R52" s="2044"/>
      <c r="S52" s="2044"/>
      <c r="T52" s="2044"/>
      <c r="U52" s="2044"/>
      <c r="V52" s="2044"/>
      <c r="W52" s="2044"/>
      <c r="X52" s="2044"/>
      <c r="Y52" s="2044"/>
      <c r="Z52" s="2044"/>
      <c r="AA52" s="2044"/>
      <c r="AB52" s="2044"/>
      <c r="AC52" s="2044"/>
      <c r="AD52" s="2044"/>
      <c r="AE52" s="2044"/>
      <c r="AF52" s="2568"/>
      <c r="AG52" s="2564"/>
      <c r="AH52" s="2564"/>
      <c r="AI52" s="2568"/>
      <c r="AJ52" s="2564"/>
      <c r="AK52" s="2564"/>
      <c r="AL52" s="1996"/>
      <c r="AM52" s="1833"/>
      <c r="AN52" s="1833"/>
      <c r="AO52" s="1833"/>
      <c r="AP52" s="1833"/>
      <c r="AQ52" s="1833"/>
      <c r="AR52" s="1833"/>
      <c r="AS52" s="1833"/>
      <c r="AT52" s="1833"/>
      <c r="AU52" s="1833"/>
      <c r="AV52" s="1833"/>
      <c r="AW52" s="1833"/>
      <c r="AX52" s="1833"/>
      <c r="AY52" s="1833"/>
      <c r="AZ52" s="1833"/>
      <c r="BA52" s="1833"/>
      <c r="BB52" s="1833"/>
      <c r="BC52" s="1833"/>
      <c r="BD52" s="1833"/>
      <c r="BE52" s="1833"/>
      <c r="BF52" s="1833"/>
      <c r="BG52" s="1646"/>
    </row>
    <row customHeight="1" ht="0.75">
      <c r="A53" s="1177" t="s">
        <v>1088</v>
      </c>
      <c r="B53" s="1177"/>
      <c r="C53" s="1177"/>
      <c r="D53" s="1171"/>
      <c r="E53" s="1181"/>
      <c r="F53" s="2566"/>
      <c r="G53" s="2545"/>
      <c r="H53" s="2570"/>
      <c r="I53" s="2571"/>
      <c r="J53" s="2572"/>
      <c r="K53" s="2572"/>
      <c r="L53" s="2564"/>
      <c r="M53" s="2298"/>
      <c r="N53" s="2573"/>
      <c r="O53" s="2574"/>
      <c r="P53" s="2618"/>
      <c r="Q53" s="2569"/>
      <c r="R53" s="2569"/>
      <c r="S53" s="2569"/>
      <c r="T53" s="2569"/>
      <c r="U53" s="2569"/>
      <c r="V53" s="2569"/>
      <c r="W53" s="2569"/>
      <c r="X53" s="2569"/>
      <c r="Y53" s="2569"/>
      <c r="Z53" s="2045"/>
      <c r="AA53" s="2046"/>
      <c r="AB53" s="2046"/>
      <c r="AC53" s="2047"/>
      <c r="AD53" s="2047"/>
      <c r="AE53" s="2048"/>
      <c r="AF53" s="2568"/>
      <c r="AG53" s="2564"/>
      <c r="AH53" s="2564"/>
      <c r="AI53" s="2568"/>
      <c r="AJ53" s="2564"/>
      <c r="AK53" s="2564"/>
      <c r="AL53" s="1996"/>
      <c r="AM53" s="1833"/>
      <c r="AN53" s="1833"/>
      <c r="AO53" s="1833"/>
      <c r="AP53" s="1833"/>
      <c r="AQ53" s="1833"/>
      <c r="AR53" s="1833"/>
      <c r="AS53" s="1833"/>
      <c r="AT53" s="1833"/>
      <c r="AU53" s="1833"/>
      <c r="AV53" s="1833"/>
      <c r="AW53" s="1833"/>
      <c r="AX53" s="1833"/>
      <c r="AY53" s="1833"/>
      <c r="AZ53" s="1833"/>
      <c r="BA53" s="1833"/>
      <c r="BB53" s="1833"/>
      <c r="BC53" s="1833"/>
      <c r="BD53" s="1833"/>
      <c r="BE53" s="1833"/>
      <c r="BF53" s="1833"/>
      <c r="BG53" s="1646"/>
    </row>
    <row customHeight="1" ht="0.75">
      <c r="A54" s="1177" t="s">
        <v>1088</v>
      </c>
      <c r="B54" s="1177"/>
      <c r="C54" s="1177"/>
      <c r="D54" s="1171"/>
      <c r="E54" s="1181"/>
      <c r="F54" s="2566"/>
      <c r="G54" s="2545"/>
      <c r="H54" s="2570"/>
      <c r="I54" s="2571"/>
      <c r="J54" s="2572"/>
      <c r="K54" s="2572"/>
      <c r="L54" s="2564"/>
      <c r="M54" s="2298"/>
      <c r="N54" s="2573"/>
      <c r="O54" s="2574"/>
      <c r="P54" s="2619"/>
      <c r="Q54" s="2569"/>
      <c r="R54" s="2569"/>
      <c r="S54" s="2569"/>
      <c r="T54" s="2569"/>
      <c r="U54" s="2569"/>
      <c r="V54" s="2569"/>
      <c r="W54" s="2569"/>
      <c r="X54" s="2569"/>
      <c r="Y54" s="2569"/>
      <c r="Z54" s="2049"/>
      <c r="AA54" s="2050"/>
      <c r="AB54" s="2051"/>
      <c r="AC54" s="2052"/>
      <c r="AD54" s="2051"/>
      <c r="AE54" s="2052"/>
      <c r="AF54" s="2568"/>
      <c r="AG54" s="2564"/>
      <c r="AH54" s="2564"/>
      <c r="AI54" s="2568"/>
      <c r="AJ54" s="2564"/>
      <c r="AK54" s="2564"/>
      <c r="AL54" s="1996"/>
      <c r="AM54" s="1833"/>
      <c r="AN54" s="1833"/>
      <c r="AO54" s="1833"/>
      <c r="AP54" s="1833"/>
      <c r="AQ54" s="1833"/>
      <c r="AR54" s="1833"/>
      <c r="AS54" s="1833"/>
      <c r="AT54" s="1833"/>
      <c r="AU54" s="1833"/>
      <c r="AV54" s="1833"/>
      <c r="AW54" s="1833"/>
      <c r="AX54" s="1833"/>
      <c r="AY54" s="1833"/>
      <c r="AZ54" s="1833"/>
      <c r="BA54" s="1833"/>
      <c r="BB54" s="1833"/>
      <c r="BC54" s="1833"/>
      <c r="BD54" s="1833"/>
      <c r="BE54" s="1833"/>
      <c r="BF54" s="1833"/>
      <c r="BG54" s="1646"/>
    </row>
    <row customHeight="1" ht="0.75">
      <c r="A55" s="1177" t="s">
        <v>1088</v>
      </c>
      <c r="B55" s="1177"/>
      <c r="C55" s="1177"/>
      <c r="D55" s="1171"/>
      <c r="E55" s="1181"/>
      <c r="F55" s="2566"/>
      <c r="G55" s="2545"/>
      <c r="H55" s="2570"/>
      <c r="I55" s="2571"/>
      <c r="J55" s="2572"/>
      <c r="K55" s="2572"/>
      <c r="L55" s="2564"/>
      <c r="M55" s="2298"/>
      <c r="N55" s="2573"/>
      <c r="O55" s="2574"/>
      <c r="P55" s="2620"/>
      <c r="Q55" s="2569"/>
      <c r="R55" s="2569"/>
      <c r="S55" s="2569"/>
      <c r="T55" s="2569"/>
      <c r="U55" s="2569"/>
      <c r="V55" s="2569"/>
      <c r="W55" s="2569"/>
      <c r="X55" s="2569"/>
      <c r="Y55" s="2569"/>
      <c r="Z55" s="2045"/>
      <c r="AA55" s="2046"/>
      <c r="AB55" s="2053"/>
      <c r="AC55" s="2047"/>
      <c r="AD55" s="2047"/>
      <c r="AE55" s="2054"/>
      <c r="AF55" s="2568"/>
      <c r="AG55" s="2564"/>
      <c r="AH55" s="2564"/>
      <c r="AI55" s="2568"/>
      <c r="AJ55" s="2564"/>
      <c r="AK55" s="2564"/>
      <c r="AL55" s="1996"/>
      <c r="AM55" s="1833"/>
      <c r="AN55" s="1833"/>
      <c r="AO55" s="1833"/>
      <c r="AP55" s="1833"/>
      <c r="AQ55" s="1833"/>
      <c r="AR55" s="1833"/>
      <c r="AS55" s="1833"/>
      <c r="AT55" s="1833"/>
      <c r="AU55" s="1833"/>
      <c r="AV55" s="1833"/>
      <c r="AW55" s="1833"/>
      <c r="AX55" s="1833"/>
      <c r="AY55" s="1833"/>
      <c r="AZ55" s="1833"/>
      <c r="BA55" s="1833"/>
      <c r="BB55" s="1833"/>
      <c r="BC55" s="1833"/>
      <c r="BD55" s="1833"/>
      <c r="BE55" s="1833"/>
      <c r="BF55" s="1833"/>
      <c r="BG55" s="1646"/>
    </row>
    <row customHeight="1" ht="0.75">
      <c r="A56" s="1177" t="s">
        <v>1088</v>
      </c>
      <c r="B56" s="1177"/>
      <c r="C56" s="1177"/>
      <c r="D56" s="1171"/>
      <c r="E56" s="1181"/>
      <c r="F56" s="2566"/>
      <c r="G56" s="2545"/>
      <c r="H56" s="2570"/>
      <c r="I56" s="2571"/>
      <c r="J56" s="2572"/>
      <c r="K56" s="2572"/>
      <c r="L56" s="2564"/>
      <c r="M56" s="2298"/>
      <c r="N56" s="2046"/>
      <c r="O56" s="2046"/>
      <c r="P56" s="2053"/>
      <c r="Q56" s="2046"/>
      <c r="R56" s="2046"/>
      <c r="S56" s="2046"/>
      <c r="T56" s="2046"/>
      <c r="U56" s="2046"/>
      <c r="V56" s="2046"/>
      <c r="W56" s="2046"/>
      <c r="X56" s="2046"/>
      <c r="Y56" s="2046"/>
      <c r="Z56" s="2046"/>
      <c r="AA56" s="2046"/>
      <c r="AB56" s="2046"/>
      <c r="AC56" s="2046"/>
      <c r="AD56" s="2046"/>
      <c r="AE56" s="2055"/>
      <c r="AF56" s="2568"/>
      <c r="AG56" s="2564"/>
      <c r="AH56" s="2564"/>
      <c r="AI56" s="2568"/>
      <c r="AJ56" s="2564"/>
      <c r="AK56" s="2564"/>
      <c r="AL56" s="1996"/>
      <c r="AM56" s="1833"/>
      <c r="AN56" s="1833"/>
      <c r="AO56" s="1833"/>
      <c r="AP56" s="1833"/>
      <c r="AQ56" s="1833"/>
      <c r="AR56" s="1833"/>
      <c r="AS56" s="1833"/>
      <c r="AT56" s="1833"/>
      <c r="AU56" s="1833"/>
      <c r="AV56" s="1833"/>
      <c r="AW56" s="1833"/>
      <c r="AX56" s="1833"/>
      <c r="AY56" s="1833"/>
      <c r="AZ56" s="1833"/>
      <c r="BA56" s="1833"/>
      <c r="BB56" s="1833"/>
      <c r="BC56" s="1833"/>
      <c r="BD56" s="1833"/>
      <c r="BE56" s="1833"/>
      <c r="BF56" s="1833"/>
      <c r="BG56" s="1646"/>
    </row>
    <row customHeight="1" ht="11.25">
      <c r="A57" s="1177" t="s">
        <v>1088</v>
      </c>
      <c r="B57" s="1177" t="s">
        <v>1133</v>
      </c>
      <c r="C57" s="1177"/>
      <c r="D57" s="1171"/>
      <c r="E57" s="1181"/>
      <c r="F57" s="1839"/>
      <c r="G57" s="694" t="s">
        <v>105</v>
      </c>
      <c r="H57" s="2545" t="s">
        <v>120</v>
      </c>
      <c r="I57" s="2546" t="s">
        <v>1134</v>
      </c>
      <c r="J57" s="2515" t="s">
        <v>1135</v>
      </c>
      <c r="K57" s="2547" t="s">
        <v>1142</v>
      </c>
      <c r="L57" s="2137" t="s">
        <v>19</v>
      </c>
      <c r="M57" s="2138"/>
      <c r="N57" s="1994"/>
      <c r="O57" s="1188" t="s">
        <v>390</v>
      </c>
      <c r="P57" s="1189"/>
      <c r="Q57" s="1189"/>
      <c r="R57" s="1189"/>
      <c r="S57" s="1189"/>
      <c r="T57" s="1189"/>
      <c r="U57" s="1189"/>
      <c r="V57" s="1189"/>
      <c r="W57" s="1189"/>
      <c r="X57" s="1189"/>
      <c r="Y57" s="1189"/>
      <c r="Z57" s="1189"/>
      <c r="AA57" s="1189"/>
      <c r="AB57" s="1189"/>
      <c r="AC57" s="1189"/>
      <c r="AD57" s="1189"/>
      <c r="AE57" s="1189"/>
      <c r="AF57" s="2536">
        <v>2025</v>
      </c>
      <c r="AG57" s="2537" t="s">
        <v>1122</v>
      </c>
      <c r="AH57" s="2537" t="s">
        <v>1138</v>
      </c>
      <c r="AI57" s="2536">
        <v>2025</v>
      </c>
      <c r="AJ57" s="2537" t="s">
        <v>1137</v>
      </c>
      <c r="AK57" s="2537" t="s">
        <v>1138</v>
      </c>
      <c r="AL57" s="1996"/>
      <c r="AM57" s="1833"/>
      <c r="AN57" s="1833"/>
      <c r="AO57" s="1833"/>
      <c r="AP57" s="1833"/>
      <c r="AQ57" s="1833"/>
      <c r="AR57" s="1833"/>
      <c r="AS57" s="1833"/>
      <c r="AT57" s="1833"/>
      <c r="AU57" s="1833"/>
      <c r="AV57" s="1833"/>
      <c r="AW57" s="1833"/>
      <c r="AX57" s="1833"/>
      <c r="AY57" s="1833"/>
      <c r="AZ57" s="1833"/>
      <c r="BA57" s="1833"/>
      <c r="BB57" s="1833"/>
      <c r="BC57" s="1833"/>
      <c r="BD57" s="1833"/>
      <c r="BE57" s="1833"/>
      <c r="BF57" s="1833"/>
      <c r="BG57" s="1646"/>
    </row>
    <row customHeight="1" ht="11.25">
      <c r="A58" s="1177" t="s">
        <v>1088</v>
      </c>
      <c r="B58" s="1177"/>
      <c r="C58" s="1177"/>
      <c r="D58" s="1171"/>
      <c r="E58" s="1181"/>
      <c r="F58" s="1839"/>
      <c r="G58" s="1840"/>
      <c r="H58" s="2545" t="s">
        <v>390</v>
      </c>
      <c r="I58" s="2546"/>
      <c r="J58" s="2515"/>
      <c r="K58" s="2547"/>
      <c r="L58" s="2137"/>
      <c r="M58" s="2138"/>
      <c r="N58" s="2538"/>
      <c r="O58" s="2539">
        <v>1</v>
      </c>
      <c r="P58" s="2540" t="s">
        <v>19</v>
      </c>
      <c r="Q58" s="2543" t="s">
        <v>22</v>
      </c>
      <c r="R58" s="2543" t="s">
        <v>22</v>
      </c>
      <c r="S58" s="2543" t="s">
        <v>22</v>
      </c>
      <c r="T58" s="2543" t="s">
        <v>22</v>
      </c>
      <c r="U58" s="2543" t="s">
        <v>22</v>
      </c>
      <c r="V58" s="2543" t="s">
        <v>22</v>
      </c>
      <c r="W58" s="2543" t="s">
        <v>22</v>
      </c>
      <c r="X58" s="2543" t="s">
        <v>22</v>
      </c>
      <c r="Y58" s="2543"/>
      <c r="Z58" s="1186"/>
      <c r="AA58" s="1187"/>
      <c r="AB58" s="1187"/>
      <c r="AC58" s="1191"/>
      <c r="AD58" s="1191"/>
      <c r="AE58" s="1192"/>
      <c r="AF58" s="2536"/>
      <c r="AG58" s="2537"/>
      <c r="AH58" s="2537"/>
      <c r="AI58" s="2536"/>
      <c r="AJ58" s="2537"/>
      <c r="AK58" s="2537"/>
      <c r="AL58" s="1996"/>
      <c r="AM58" s="1833"/>
      <c r="AN58" s="1833"/>
      <c r="AO58" s="1833"/>
      <c r="AP58" s="1833"/>
      <c r="AQ58" s="1833"/>
      <c r="AR58" s="1833"/>
      <c r="AS58" s="1833"/>
      <c r="AT58" s="1833"/>
      <c r="AU58" s="1833"/>
      <c r="AV58" s="1833"/>
      <c r="AW58" s="1833"/>
      <c r="AX58" s="1833"/>
      <c r="AY58" s="1833"/>
      <c r="AZ58" s="1833"/>
      <c r="BA58" s="1833"/>
      <c r="BB58" s="1833"/>
      <c r="BC58" s="1833"/>
      <c r="BD58" s="1833"/>
      <c r="BE58" s="1833"/>
      <c r="BF58" s="1833"/>
      <c r="BG58" s="1646"/>
    </row>
    <row customHeight="1" ht="11.25">
      <c r="A59" s="1177" t="s">
        <v>1088</v>
      </c>
      <c r="B59" s="1177"/>
      <c r="C59" s="1177"/>
      <c r="D59" s="1171"/>
      <c r="E59" s="1181"/>
      <c r="F59" s="1839"/>
      <c r="G59" s="1840"/>
      <c r="H59" s="2545" t="s">
        <v>390</v>
      </c>
      <c r="I59" s="2546"/>
      <c r="J59" s="2515"/>
      <c r="K59" s="2547"/>
      <c r="L59" s="2137"/>
      <c r="M59" s="2138"/>
      <c r="N59" s="2538"/>
      <c r="O59" s="2539"/>
      <c r="P59" s="2541"/>
      <c r="Q59" s="2543"/>
      <c r="R59" s="2543"/>
      <c r="S59" s="2544"/>
      <c r="T59" s="2543"/>
      <c r="U59" s="2543"/>
      <c r="V59" s="2543"/>
      <c r="W59" s="2543"/>
      <c r="X59" s="2543"/>
      <c r="Y59" s="2543"/>
      <c r="Z59" s="1838"/>
      <c r="AA59" s="1804">
        <v>1</v>
      </c>
      <c r="AB59" s="1190" t="s">
        <v>1139</v>
      </c>
      <c r="AC59" s="1180">
        <v>327.18</v>
      </c>
      <c r="AD59" s="1190" t="str">
        <f>AB59</f>
        <v>  За счет платы за технологическое присоединение</v>
      </c>
      <c r="AE59" s="1180">
        <v>357.36322</v>
      </c>
      <c r="AF59" s="2536"/>
      <c r="AG59" s="2537"/>
      <c r="AH59" s="2537"/>
      <c r="AI59" s="2536"/>
      <c r="AJ59" s="2537"/>
      <c r="AK59" s="2537"/>
      <c r="AL59" s="1996"/>
      <c r="AM59" s="1833"/>
      <c r="AN59" s="1833"/>
      <c r="AO59" s="1833"/>
      <c r="AP59" s="1833"/>
      <c r="AQ59" s="1833"/>
      <c r="AR59" s="1833"/>
      <c r="AS59" s="1833"/>
      <c r="AT59" s="1833"/>
      <c r="AU59" s="1833"/>
      <c r="AV59" s="1833"/>
      <c r="AW59" s="1833"/>
      <c r="AX59" s="1833"/>
      <c r="AY59" s="1833"/>
      <c r="AZ59" s="1833"/>
      <c r="BA59" s="1833"/>
      <c r="BB59" s="1833"/>
      <c r="BC59" s="1833"/>
      <c r="BD59" s="1833"/>
      <c r="BE59" s="1833"/>
      <c r="BF59" s="1833"/>
      <c r="BG59" s="1646"/>
    </row>
    <row customHeight="1" ht="11.25">
      <c r="A60" s="1177" t="s">
        <v>1088</v>
      </c>
      <c r="B60" s="1177"/>
      <c r="C60" s="1177"/>
      <c r="D60" s="1171"/>
      <c r="E60" s="1181"/>
      <c r="F60" s="1839"/>
      <c r="G60" s="1840"/>
      <c r="H60" s="2545" t="s">
        <v>390</v>
      </c>
      <c r="I60" s="2546"/>
      <c r="J60" s="2515"/>
      <c r="K60" s="2547"/>
      <c r="L60" s="2137"/>
      <c r="M60" s="2138"/>
      <c r="N60" s="2538"/>
      <c r="O60" s="2539"/>
      <c r="P60" s="2542"/>
      <c r="Q60" s="2543"/>
      <c r="R60" s="2543"/>
      <c r="S60" s="2544"/>
      <c r="T60" s="2543"/>
      <c r="U60" s="2543"/>
      <c r="V60" s="2543"/>
      <c r="W60" s="2543"/>
      <c r="X60" s="2543"/>
      <c r="Y60" s="2543"/>
      <c r="Z60" s="1186"/>
      <c r="AA60" s="1187"/>
      <c r="AB60" s="1252" t="s">
        <v>1130</v>
      </c>
      <c r="AC60" s="1191"/>
      <c r="AD60" s="1191"/>
      <c r="AE60" s="1193"/>
      <c r="AF60" s="2536"/>
      <c r="AG60" s="2537"/>
      <c r="AH60" s="2537"/>
      <c r="AI60" s="2536"/>
      <c r="AJ60" s="2537"/>
      <c r="AK60" s="2537"/>
      <c r="AL60" s="1996"/>
      <c r="AM60" s="1833"/>
      <c r="AN60" s="1833"/>
      <c r="AO60" s="1833"/>
      <c r="AP60" s="1833"/>
      <c r="AQ60" s="1833"/>
      <c r="AR60" s="1833"/>
      <c r="AS60" s="1833"/>
      <c r="AT60" s="1833"/>
      <c r="AU60" s="1833"/>
      <c r="AV60" s="1833"/>
      <c r="AW60" s="1833"/>
      <c r="AX60" s="1833"/>
      <c r="AY60" s="1833"/>
      <c r="AZ60" s="1833"/>
      <c r="BA60" s="1833"/>
      <c r="BB60" s="1833"/>
      <c r="BC60" s="1833"/>
      <c r="BD60" s="1833"/>
      <c r="BE60" s="1833"/>
      <c r="BF60" s="1833"/>
      <c r="BG60" s="1646"/>
    </row>
    <row customHeight="1" ht="11.25">
      <c r="A61" s="1177" t="s">
        <v>1088</v>
      </c>
      <c r="B61" s="1177"/>
      <c r="C61" s="1177"/>
      <c r="D61" s="1171"/>
      <c r="E61" s="1181"/>
      <c r="F61" s="1839"/>
      <c r="G61" s="1840"/>
      <c r="H61" s="2545" t="s">
        <v>390</v>
      </c>
      <c r="I61" s="2546"/>
      <c r="J61" s="2515"/>
      <c r="K61" s="2547"/>
      <c r="L61" s="2137"/>
      <c r="M61" s="2138"/>
      <c r="N61" s="1186"/>
      <c r="O61" s="1187"/>
      <c r="P61" s="1179" t="s">
        <v>1131</v>
      </c>
      <c r="Q61" s="1187"/>
      <c r="R61" s="1187"/>
      <c r="S61" s="1187"/>
      <c r="T61" s="1187"/>
      <c r="U61" s="1187"/>
      <c r="V61" s="1187"/>
      <c r="W61" s="1187"/>
      <c r="X61" s="1187"/>
      <c r="Y61" s="1187"/>
      <c r="Z61" s="1187"/>
      <c r="AA61" s="1187"/>
      <c r="AB61" s="1187"/>
      <c r="AC61" s="1187"/>
      <c r="AD61" s="1187"/>
      <c r="AE61" s="1194"/>
      <c r="AF61" s="2536"/>
      <c r="AG61" s="2537"/>
      <c r="AH61" s="2537"/>
      <c r="AI61" s="2536"/>
      <c r="AJ61" s="2537"/>
      <c r="AK61" s="2537"/>
      <c r="AL61" s="1996"/>
      <c r="AM61" s="1833"/>
      <c r="AN61" s="1833"/>
      <c r="AO61" s="1833"/>
      <c r="AP61" s="1833"/>
      <c r="AQ61" s="1833"/>
      <c r="AR61" s="1833"/>
      <c r="AS61" s="1833"/>
      <c r="AT61" s="1833"/>
      <c r="AU61" s="1833"/>
      <c r="AV61" s="1833"/>
      <c r="AW61" s="1833"/>
      <c r="AX61" s="1833"/>
      <c r="AY61" s="1833"/>
      <c r="AZ61" s="1833"/>
      <c r="BA61" s="1833"/>
      <c r="BB61" s="1833"/>
      <c r="BC61" s="1833"/>
      <c r="BD61" s="1833"/>
      <c r="BE61" s="1833"/>
      <c r="BF61" s="1833"/>
      <c r="BG61" s="1646"/>
    </row>
    <row customHeight="1" ht="11.25">
      <c r="A62" s="1177" t="s">
        <v>1088</v>
      </c>
      <c r="B62" s="1177" t="s">
        <v>1133</v>
      </c>
      <c r="C62" s="1177"/>
      <c r="D62" s="1171"/>
      <c r="E62" s="1181"/>
      <c r="F62" s="1839"/>
      <c r="G62" s="694" t="s">
        <v>105</v>
      </c>
      <c r="H62" s="2545" t="s">
        <v>104</v>
      </c>
      <c r="I62" s="2546" t="s">
        <v>1134</v>
      </c>
      <c r="J62" s="2515" t="s">
        <v>1135</v>
      </c>
      <c r="K62" s="2547" t="s">
        <v>1143</v>
      </c>
      <c r="L62" s="2137" t="s">
        <v>19</v>
      </c>
      <c r="M62" s="2138"/>
      <c r="N62" s="1994"/>
      <c r="O62" s="1188" t="s">
        <v>390</v>
      </c>
      <c r="P62" s="1189"/>
      <c r="Q62" s="1189"/>
      <c r="R62" s="1189"/>
      <c r="S62" s="1189"/>
      <c r="T62" s="1189"/>
      <c r="U62" s="1189"/>
      <c r="V62" s="1189"/>
      <c r="W62" s="1189"/>
      <c r="X62" s="1189"/>
      <c r="Y62" s="1189"/>
      <c r="Z62" s="1189"/>
      <c r="AA62" s="1189"/>
      <c r="AB62" s="1189"/>
      <c r="AC62" s="1189"/>
      <c r="AD62" s="1189"/>
      <c r="AE62" s="1189"/>
      <c r="AF62" s="2536">
        <v>2025</v>
      </c>
      <c r="AG62" s="2537" t="s">
        <v>1122</v>
      </c>
      <c r="AH62" s="2537" t="s">
        <v>1138</v>
      </c>
      <c r="AI62" s="2536">
        <v>2025</v>
      </c>
      <c r="AJ62" s="2537" t="s">
        <v>1137</v>
      </c>
      <c r="AK62" s="2537" t="s">
        <v>1138</v>
      </c>
      <c r="AL62" s="1996"/>
      <c r="AM62" s="1833"/>
      <c r="AN62" s="1833"/>
      <c r="AO62" s="1833"/>
      <c r="AP62" s="1833"/>
      <c r="AQ62" s="1833"/>
      <c r="AR62" s="1833"/>
      <c r="AS62" s="1833"/>
      <c r="AT62" s="1833"/>
      <c r="AU62" s="1833"/>
      <c r="AV62" s="1833"/>
      <c r="AW62" s="1833"/>
      <c r="AX62" s="1833"/>
      <c r="AY62" s="1833"/>
      <c r="AZ62" s="1833"/>
      <c r="BA62" s="1833"/>
      <c r="BB62" s="1833"/>
      <c r="BC62" s="1833"/>
      <c r="BD62" s="1833"/>
      <c r="BE62" s="1833"/>
      <c r="BF62" s="1833"/>
      <c r="BG62" s="1646"/>
    </row>
    <row customHeight="1" ht="11.25">
      <c r="A63" s="1177" t="s">
        <v>1088</v>
      </c>
      <c r="B63" s="1177"/>
      <c r="C63" s="1177"/>
      <c r="D63" s="1171"/>
      <c r="E63" s="1181"/>
      <c r="F63" s="1839"/>
      <c r="G63" s="1840"/>
      <c r="H63" s="2545" t="s">
        <v>120</v>
      </c>
      <c r="I63" s="2546"/>
      <c r="J63" s="2515"/>
      <c r="K63" s="2547"/>
      <c r="L63" s="2137"/>
      <c r="M63" s="2138"/>
      <c r="N63" s="2538"/>
      <c r="O63" s="2539">
        <v>1</v>
      </c>
      <c r="P63" s="2540" t="s">
        <v>19</v>
      </c>
      <c r="Q63" s="2543" t="s">
        <v>22</v>
      </c>
      <c r="R63" s="2543" t="s">
        <v>22</v>
      </c>
      <c r="S63" s="2543" t="s">
        <v>22</v>
      </c>
      <c r="T63" s="2543" t="s">
        <v>22</v>
      </c>
      <c r="U63" s="2543" t="s">
        <v>22</v>
      </c>
      <c r="V63" s="2543" t="s">
        <v>22</v>
      </c>
      <c r="W63" s="2543" t="s">
        <v>22</v>
      </c>
      <c r="X63" s="2543" t="s">
        <v>22</v>
      </c>
      <c r="Y63" s="2543"/>
      <c r="Z63" s="1186"/>
      <c r="AA63" s="1187"/>
      <c r="AB63" s="1187"/>
      <c r="AC63" s="1191"/>
      <c r="AD63" s="1191"/>
      <c r="AE63" s="1192"/>
      <c r="AF63" s="2536"/>
      <c r="AG63" s="2537"/>
      <c r="AH63" s="2537"/>
      <c r="AI63" s="2536"/>
      <c r="AJ63" s="2537"/>
      <c r="AK63" s="2537"/>
      <c r="AL63" s="1996"/>
      <c r="AM63" s="1833"/>
      <c r="AN63" s="1833"/>
      <c r="AO63" s="1833"/>
      <c r="AP63" s="1833"/>
      <c r="AQ63" s="1833"/>
      <c r="AR63" s="1833"/>
      <c r="AS63" s="1833"/>
      <c r="AT63" s="1833"/>
      <c r="AU63" s="1833"/>
      <c r="AV63" s="1833"/>
      <c r="AW63" s="1833"/>
      <c r="AX63" s="1833"/>
      <c r="AY63" s="1833"/>
      <c r="AZ63" s="1833"/>
      <c r="BA63" s="1833"/>
      <c r="BB63" s="1833"/>
      <c r="BC63" s="1833"/>
      <c r="BD63" s="1833"/>
      <c r="BE63" s="1833"/>
      <c r="BF63" s="1833"/>
      <c r="BG63" s="1646"/>
    </row>
    <row customHeight="1" ht="11.25">
      <c r="A64" s="1177" t="s">
        <v>1088</v>
      </c>
      <c r="B64" s="1177"/>
      <c r="C64" s="1177"/>
      <c r="D64" s="1171"/>
      <c r="E64" s="1181"/>
      <c r="F64" s="1839"/>
      <c r="G64" s="1840"/>
      <c r="H64" s="2545" t="s">
        <v>120</v>
      </c>
      <c r="I64" s="2546"/>
      <c r="J64" s="2515"/>
      <c r="K64" s="2547"/>
      <c r="L64" s="2137"/>
      <c r="M64" s="2138"/>
      <c r="N64" s="2538"/>
      <c r="O64" s="2539"/>
      <c r="P64" s="2541"/>
      <c r="Q64" s="2543"/>
      <c r="R64" s="2543"/>
      <c r="S64" s="2544"/>
      <c r="T64" s="2543"/>
      <c r="U64" s="2543"/>
      <c r="V64" s="2543"/>
      <c r="W64" s="2543"/>
      <c r="X64" s="2543"/>
      <c r="Y64" s="2543"/>
      <c r="Z64" s="1838"/>
      <c r="AA64" s="1804">
        <v>1</v>
      </c>
      <c r="AB64" s="1190" t="s">
        <v>1139</v>
      </c>
      <c r="AC64" s="1180">
        <v>2076.291</v>
      </c>
      <c r="AD64" s="1190" t="str">
        <f>AB64</f>
        <v>  За счет платы за технологическое присоединение</v>
      </c>
      <c r="AE64" s="1180">
        <v>2106.47406</v>
      </c>
      <c r="AF64" s="2536"/>
      <c r="AG64" s="2537"/>
      <c r="AH64" s="2537"/>
      <c r="AI64" s="2536"/>
      <c r="AJ64" s="2537"/>
      <c r="AK64" s="2537"/>
      <c r="AL64" s="1996"/>
      <c r="AM64" s="1833"/>
      <c r="AN64" s="1833"/>
      <c r="AO64" s="1833"/>
      <c r="AP64" s="1833"/>
      <c r="AQ64" s="1833"/>
      <c r="AR64" s="1833"/>
      <c r="AS64" s="1833"/>
      <c r="AT64" s="1833"/>
      <c r="AU64" s="1833"/>
      <c r="AV64" s="1833"/>
      <c r="AW64" s="1833"/>
      <c r="AX64" s="1833"/>
      <c r="AY64" s="1833"/>
      <c r="AZ64" s="1833"/>
      <c r="BA64" s="1833"/>
      <c r="BB64" s="1833"/>
      <c r="BC64" s="1833"/>
      <c r="BD64" s="1833"/>
      <c r="BE64" s="1833"/>
      <c r="BF64" s="1833"/>
      <c r="BG64" s="1646"/>
    </row>
    <row customHeight="1" ht="11.25">
      <c r="A65" s="1177" t="s">
        <v>1088</v>
      </c>
      <c r="B65" s="1177"/>
      <c r="C65" s="1177"/>
      <c r="D65" s="1171"/>
      <c r="E65" s="1181"/>
      <c r="F65" s="1839"/>
      <c r="G65" s="1840"/>
      <c r="H65" s="2545" t="s">
        <v>120</v>
      </c>
      <c r="I65" s="2546"/>
      <c r="J65" s="2515"/>
      <c r="K65" s="2547"/>
      <c r="L65" s="2137"/>
      <c r="M65" s="2138"/>
      <c r="N65" s="2538"/>
      <c r="O65" s="2539"/>
      <c r="P65" s="2542"/>
      <c r="Q65" s="2543"/>
      <c r="R65" s="2543"/>
      <c r="S65" s="2544"/>
      <c r="T65" s="2543"/>
      <c r="U65" s="2543"/>
      <c r="V65" s="2543"/>
      <c r="W65" s="2543"/>
      <c r="X65" s="2543"/>
      <c r="Y65" s="2543"/>
      <c r="Z65" s="1186"/>
      <c r="AA65" s="1187"/>
      <c r="AB65" s="1252" t="s">
        <v>1130</v>
      </c>
      <c r="AC65" s="1191"/>
      <c r="AD65" s="1191"/>
      <c r="AE65" s="1193"/>
      <c r="AF65" s="2536"/>
      <c r="AG65" s="2537"/>
      <c r="AH65" s="2537"/>
      <c r="AI65" s="2536"/>
      <c r="AJ65" s="2537"/>
      <c r="AK65" s="2537"/>
      <c r="AL65" s="1996"/>
      <c r="AM65" s="1833"/>
      <c r="AN65" s="1833"/>
      <c r="AO65" s="1833"/>
      <c r="AP65" s="1833"/>
      <c r="AQ65" s="1833"/>
      <c r="AR65" s="1833"/>
      <c r="AS65" s="1833"/>
      <c r="AT65" s="1833"/>
      <c r="AU65" s="1833"/>
      <c r="AV65" s="1833"/>
      <c r="AW65" s="1833"/>
      <c r="AX65" s="1833"/>
      <c r="AY65" s="1833"/>
      <c r="AZ65" s="1833"/>
      <c r="BA65" s="1833"/>
      <c r="BB65" s="1833"/>
      <c r="BC65" s="1833"/>
      <c r="BD65" s="1833"/>
      <c r="BE65" s="1833"/>
      <c r="BF65" s="1833"/>
      <c r="BG65" s="1646"/>
    </row>
    <row customHeight="1" ht="11.25">
      <c r="A66" s="1177" t="s">
        <v>1088</v>
      </c>
      <c r="B66" s="1177"/>
      <c r="C66" s="1177"/>
      <c r="D66" s="1171"/>
      <c r="E66" s="1181"/>
      <c r="F66" s="1839"/>
      <c r="G66" s="1840"/>
      <c r="H66" s="2545" t="s">
        <v>120</v>
      </c>
      <c r="I66" s="2546"/>
      <c r="J66" s="2515"/>
      <c r="K66" s="2547"/>
      <c r="L66" s="2137"/>
      <c r="M66" s="2138"/>
      <c r="N66" s="1186"/>
      <c r="O66" s="1187"/>
      <c r="P66" s="1179" t="s">
        <v>1131</v>
      </c>
      <c r="Q66" s="1187"/>
      <c r="R66" s="1187"/>
      <c r="S66" s="1187"/>
      <c r="T66" s="1187"/>
      <c r="U66" s="1187"/>
      <c r="V66" s="1187"/>
      <c r="W66" s="1187"/>
      <c r="X66" s="1187"/>
      <c r="Y66" s="1187"/>
      <c r="Z66" s="1187"/>
      <c r="AA66" s="1187"/>
      <c r="AB66" s="1187"/>
      <c r="AC66" s="1187"/>
      <c r="AD66" s="1187"/>
      <c r="AE66" s="1194"/>
      <c r="AF66" s="2536"/>
      <c r="AG66" s="2537"/>
      <c r="AH66" s="2537"/>
      <c r="AI66" s="2536"/>
      <c r="AJ66" s="2537"/>
      <c r="AK66" s="2537"/>
      <c r="AL66" s="1996"/>
      <c r="AM66" s="1833"/>
      <c r="AN66" s="1833"/>
      <c r="AO66" s="1833"/>
      <c r="AP66" s="1833"/>
      <c r="AQ66" s="1833"/>
      <c r="AR66" s="1833"/>
      <c r="AS66" s="1833"/>
      <c r="AT66" s="1833"/>
      <c r="AU66" s="1833"/>
      <c r="AV66" s="1833"/>
      <c r="AW66" s="1833"/>
      <c r="AX66" s="1833"/>
      <c r="AY66" s="1833"/>
      <c r="AZ66" s="1833"/>
      <c r="BA66" s="1833"/>
      <c r="BB66" s="1833"/>
      <c r="BC66" s="1833"/>
      <c r="BD66" s="1833"/>
      <c r="BE66" s="1833"/>
      <c r="BF66" s="1833"/>
      <c r="BG66" s="1646"/>
    </row>
    <row customHeight="1" ht="11.25">
      <c r="A67" s="1177" t="s">
        <v>1088</v>
      </c>
      <c r="B67" s="1177" t="s">
        <v>1133</v>
      </c>
      <c r="C67" s="1177"/>
      <c r="D67" s="1171"/>
      <c r="E67" s="1181"/>
      <c r="F67" s="1839"/>
      <c r="G67" s="694" t="s">
        <v>105</v>
      </c>
      <c r="H67" s="2545" t="s">
        <v>91</v>
      </c>
      <c r="I67" s="2546" t="s">
        <v>1134</v>
      </c>
      <c r="J67" s="2515" t="s">
        <v>1135</v>
      </c>
      <c r="K67" s="2547" t="s">
        <v>1144</v>
      </c>
      <c r="L67" s="2137" t="s">
        <v>19</v>
      </c>
      <c r="M67" s="2138"/>
      <c r="N67" s="1994"/>
      <c r="O67" s="1188" t="s">
        <v>390</v>
      </c>
      <c r="P67" s="1189"/>
      <c r="Q67" s="1189"/>
      <c r="R67" s="1189"/>
      <c r="S67" s="1189"/>
      <c r="T67" s="1189"/>
      <c r="U67" s="1189"/>
      <c r="V67" s="1189"/>
      <c r="W67" s="1189"/>
      <c r="X67" s="1189"/>
      <c r="Y67" s="1189"/>
      <c r="Z67" s="1189"/>
      <c r="AA67" s="1189"/>
      <c r="AB67" s="1189"/>
      <c r="AC67" s="1189"/>
      <c r="AD67" s="1189"/>
      <c r="AE67" s="1189"/>
      <c r="AF67" s="2536">
        <v>2025</v>
      </c>
      <c r="AG67" s="2537" t="s">
        <v>1122</v>
      </c>
      <c r="AH67" s="2537" t="s">
        <v>1138</v>
      </c>
      <c r="AI67" s="2908"/>
      <c r="AJ67" s="2537" t="s">
        <v>1145</v>
      </c>
      <c r="AK67" s="2537" t="s">
        <v>1145</v>
      </c>
      <c r="AL67" s="1996"/>
      <c r="AM67" s="1833"/>
      <c r="AN67" s="1833"/>
      <c r="AO67" s="1833"/>
      <c r="AP67" s="1833"/>
      <c r="AQ67" s="1833"/>
      <c r="AR67" s="1833"/>
      <c r="AS67" s="1833"/>
      <c r="AT67" s="1833"/>
      <c r="AU67" s="1833"/>
      <c r="AV67" s="1833"/>
      <c r="AW67" s="1833"/>
      <c r="AX67" s="1833"/>
      <c r="AY67" s="1833"/>
      <c r="AZ67" s="1833"/>
      <c r="BA67" s="1833"/>
      <c r="BB67" s="1833"/>
      <c r="BC67" s="1833"/>
      <c r="BD67" s="1833"/>
      <c r="BE67" s="1833"/>
      <c r="BF67" s="1833"/>
      <c r="BG67" s="1646"/>
    </row>
    <row customHeight="1" ht="11.25">
      <c r="A68" s="1177" t="s">
        <v>1088</v>
      </c>
      <c r="B68" s="1177"/>
      <c r="C68" s="1177"/>
      <c r="D68" s="1171"/>
      <c r="E68" s="1181"/>
      <c r="F68" s="1839"/>
      <c r="G68" s="1840"/>
      <c r="H68" s="2545" t="s">
        <v>104</v>
      </c>
      <c r="I68" s="2546"/>
      <c r="J68" s="2515"/>
      <c r="K68" s="2547"/>
      <c r="L68" s="2137"/>
      <c r="M68" s="2138"/>
      <c r="N68" s="2538"/>
      <c r="O68" s="2539">
        <v>1</v>
      </c>
      <c r="P68" s="2540" t="s">
        <v>19</v>
      </c>
      <c r="Q68" s="2543" t="s">
        <v>22</v>
      </c>
      <c r="R68" s="2543" t="s">
        <v>22</v>
      </c>
      <c r="S68" s="2543" t="s">
        <v>22</v>
      </c>
      <c r="T68" s="2543" t="s">
        <v>22</v>
      </c>
      <c r="U68" s="2543" t="s">
        <v>22</v>
      </c>
      <c r="V68" s="2543" t="s">
        <v>22</v>
      </c>
      <c r="W68" s="2543" t="s">
        <v>22</v>
      </c>
      <c r="X68" s="2543" t="s">
        <v>22</v>
      </c>
      <c r="Y68" s="2543"/>
      <c r="Z68" s="1186"/>
      <c r="AA68" s="1187"/>
      <c r="AB68" s="1187"/>
      <c r="AC68" s="1191"/>
      <c r="AD68" s="1191"/>
      <c r="AE68" s="1192"/>
      <c r="AF68" s="2536"/>
      <c r="AG68" s="2537"/>
      <c r="AH68" s="2537"/>
      <c r="AI68" s="2908"/>
      <c r="AJ68" s="2537"/>
      <c r="AK68" s="2537"/>
      <c r="AL68" s="1996"/>
      <c r="AM68" s="1833"/>
      <c r="AN68" s="1833"/>
      <c r="AO68" s="1833"/>
      <c r="AP68" s="1833"/>
      <c r="AQ68" s="1833"/>
      <c r="AR68" s="1833"/>
      <c r="AS68" s="1833"/>
      <c r="AT68" s="1833"/>
      <c r="AU68" s="1833"/>
      <c r="AV68" s="1833"/>
      <c r="AW68" s="1833"/>
      <c r="AX68" s="1833"/>
      <c r="AY68" s="1833"/>
      <c r="AZ68" s="1833"/>
      <c r="BA68" s="1833"/>
      <c r="BB68" s="1833"/>
      <c r="BC68" s="1833"/>
      <c r="BD68" s="1833"/>
      <c r="BE68" s="1833"/>
      <c r="BF68" s="1833"/>
      <c r="BG68" s="1646"/>
    </row>
    <row customHeight="1" ht="11.25">
      <c r="A69" s="1177" t="s">
        <v>1088</v>
      </c>
      <c r="B69" s="1177"/>
      <c r="C69" s="1177"/>
      <c r="D69" s="1171"/>
      <c r="E69" s="1181"/>
      <c r="F69" s="1839"/>
      <c r="G69" s="1840"/>
      <c r="H69" s="2545" t="s">
        <v>104</v>
      </c>
      <c r="I69" s="2546"/>
      <c r="J69" s="2515"/>
      <c r="K69" s="2547"/>
      <c r="L69" s="2137"/>
      <c r="M69" s="2138"/>
      <c r="N69" s="2538"/>
      <c r="O69" s="2539"/>
      <c r="P69" s="2541"/>
      <c r="Q69" s="2543"/>
      <c r="R69" s="2543"/>
      <c r="S69" s="2544"/>
      <c r="T69" s="2543"/>
      <c r="U69" s="2543"/>
      <c r="V69" s="2543"/>
      <c r="W69" s="2543"/>
      <c r="X69" s="2543"/>
      <c r="Y69" s="2543"/>
      <c r="Z69" s="1838"/>
      <c r="AA69" s="1804">
        <v>1</v>
      </c>
      <c r="AB69" s="1190" t="s">
        <v>1139</v>
      </c>
      <c r="AC69" s="1180">
        <v>1033.59</v>
      </c>
      <c r="AD69" s="1190" t="str">
        <f>AB69</f>
        <v>  За счет платы за технологическое присоединение</v>
      </c>
      <c r="AE69" s="1180">
        <v>0</v>
      </c>
      <c r="AF69" s="2536"/>
      <c r="AG69" s="2537"/>
      <c r="AH69" s="2537"/>
      <c r="AI69" s="2908"/>
      <c r="AJ69" s="2537"/>
      <c r="AK69" s="2537"/>
      <c r="AL69" s="1996"/>
      <c r="AM69" s="1833"/>
      <c r="AN69" s="1833"/>
      <c r="AO69" s="1833"/>
      <c r="AP69" s="1833"/>
      <c r="AQ69" s="1833"/>
      <c r="AR69" s="1833"/>
      <c r="AS69" s="1833"/>
      <c r="AT69" s="1833"/>
      <c r="AU69" s="1833"/>
      <c r="AV69" s="1833"/>
      <c r="AW69" s="1833"/>
      <c r="AX69" s="1833"/>
      <c r="AY69" s="1833"/>
      <c r="AZ69" s="1833"/>
      <c r="BA69" s="1833"/>
      <c r="BB69" s="1833"/>
      <c r="BC69" s="1833"/>
      <c r="BD69" s="1833"/>
      <c r="BE69" s="1833"/>
      <c r="BF69" s="1833"/>
      <c r="BG69" s="1646"/>
    </row>
    <row customHeight="1" ht="11.25">
      <c r="A70" s="1177" t="s">
        <v>1088</v>
      </c>
      <c r="B70" s="1177"/>
      <c r="C70" s="1177"/>
      <c r="D70" s="1171"/>
      <c r="E70" s="1181"/>
      <c r="F70" s="1839"/>
      <c r="G70" s="1840"/>
      <c r="H70" s="2545" t="s">
        <v>104</v>
      </c>
      <c r="I70" s="2546"/>
      <c r="J70" s="2515"/>
      <c r="K70" s="2547"/>
      <c r="L70" s="2137"/>
      <c r="M70" s="2138"/>
      <c r="N70" s="2538"/>
      <c r="O70" s="2539"/>
      <c r="P70" s="2542"/>
      <c r="Q70" s="2543"/>
      <c r="R70" s="2543"/>
      <c r="S70" s="2544"/>
      <c r="T70" s="2543"/>
      <c r="U70" s="2543"/>
      <c r="V70" s="2543"/>
      <c r="W70" s="2543"/>
      <c r="X70" s="2543"/>
      <c r="Y70" s="2543"/>
      <c r="Z70" s="1186"/>
      <c r="AA70" s="1187"/>
      <c r="AB70" s="1252" t="s">
        <v>1130</v>
      </c>
      <c r="AC70" s="1191"/>
      <c r="AD70" s="1191"/>
      <c r="AE70" s="1193"/>
      <c r="AF70" s="2536"/>
      <c r="AG70" s="2537"/>
      <c r="AH70" s="2537"/>
      <c r="AI70" s="2908"/>
      <c r="AJ70" s="2537"/>
      <c r="AK70" s="2537"/>
      <c r="AL70" s="1996"/>
      <c r="AM70" s="1833"/>
      <c r="AN70" s="1833"/>
      <c r="AO70" s="1833"/>
      <c r="AP70" s="1833"/>
      <c r="AQ70" s="1833"/>
      <c r="AR70" s="1833"/>
      <c r="AS70" s="1833"/>
      <c r="AT70" s="1833"/>
      <c r="AU70" s="1833"/>
      <c r="AV70" s="1833"/>
      <c r="AW70" s="1833"/>
      <c r="AX70" s="1833"/>
      <c r="AY70" s="1833"/>
      <c r="AZ70" s="1833"/>
      <c r="BA70" s="1833"/>
      <c r="BB70" s="1833"/>
      <c r="BC70" s="1833"/>
      <c r="BD70" s="1833"/>
      <c r="BE70" s="1833"/>
      <c r="BF70" s="1833"/>
      <c r="BG70" s="1646"/>
    </row>
    <row customHeight="1" ht="11.25">
      <c r="A71" s="1177" t="s">
        <v>1088</v>
      </c>
      <c r="B71" s="1177"/>
      <c r="C71" s="1177"/>
      <c r="D71" s="1171"/>
      <c r="E71" s="1181"/>
      <c r="F71" s="1839"/>
      <c r="G71" s="1840"/>
      <c r="H71" s="2545" t="s">
        <v>104</v>
      </c>
      <c r="I71" s="2546"/>
      <c r="J71" s="2515"/>
      <c r="K71" s="2547"/>
      <c r="L71" s="2137"/>
      <c r="M71" s="2138"/>
      <c r="N71" s="1186"/>
      <c r="O71" s="1187"/>
      <c r="P71" s="1179" t="s">
        <v>1131</v>
      </c>
      <c r="Q71" s="1187"/>
      <c r="R71" s="1187"/>
      <c r="S71" s="1187"/>
      <c r="T71" s="1187"/>
      <c r="U71" s="1187"/>
      <c r="V71" s="1187"/>
      <c r="W71" s="1187"/>
      <c r="X71" s="1187"/>
      <c r="Y71" s="1187"/>
      <c r="Z71" s="1187"/>
      <c r="AA71" s="1187"/>
      <c r="AB71" s="1187"/>
      <c r="AC71" s="1187"/>
      <c r="AD71" s="1187"/>
      <c r="AE71" s="1194"/>
      <c r="AF71" s="2536"/>
      <c r="AG71" s="2537"/>
      <c r="AH71" s="2537"/>
      <c r="AI71" s="2908"/>
      <c r="AJ71" s="2537"/>
      <c r="AK71" s="2537"/>
      <c r="AL71" s="1996"/>
      <c r="AM71" s="1833"/>
      <c r="AN71" s="1833"/>
      <c r="AO71" s="1833"/>
      <c r="AP71" s="1833"/>
      <c r="AQ71" s="1833"/>
      <c r="AR71" s="1833"/>
      <c r="AS71" s="1833"/>
      <c r="AT71" s="1833"/>
      <c r="AU71" s="1833"/>
      <c r="AV71" s="1833"/>
      <c r="AW71" s="1833"/>
      <c r="AX71" s="1833"/>
      <c r="AY71" s="1833"/>
      <c r="AZ71" s="1833"/>
      <c r="BA71" s="1833"/>
      <c r="BB71" s="1833"/>
      <c r="BC71" s="1833"/>
      <c r="BD71" s="1833"/>
      <c r="BE71" s="1833"/>
      <c r="BF71" s="1833"/>
      <c r="BG71" s="1646"/>
    </row>
    <row customHeight="1" ht="11.25">
      <c r="A72" s="1177" t="s">
        <v>1088</v>
      </c>
      <c r="B72" s="1177" t="s">
        <v>1133</v>
      </c>
      <c r="C72" s="1177"/>
      <c r="D72" s="1171"/>
      <c r="E72" s="1181"/>
      <c r="F72" s="1839"/>
      <c r="G72" s="694" t="s">
        <v>105</v>
      </c>
      <c r="H72" s="2545" t="s">
        <v>92</v>
      </c>
      <c r="I72" s="2546" t="s">
        <v>1134</v>
      </c>
      <c r="J72" s="2515" t="s">
        <v>1135</v>
      </c>
      <c r="K72" s="2547" t="s">
        <v>1146</v>
      </c>
      <c r="L72" s="2137" t="s">
        <v>19</v>
      </c>
      <c r="M72" s="2138"/>
      <c r="N72" s="1994"/>
      <c r="O72" s="1188" t="s">
        <v>390</v>
      </c>
      <c r="P72" s="1189"/>
      <c r="Q72" s="1189"/>
      <c r="R72" s="1189"/>
      <c r="S72" s="1189"/>
      <c r="T72" s="1189"/>
      <c r="U72" s="1189"/>
      <c r="V72" s="1189"/>
      <c r="W72" s="1189"/>
      <c r="X72" s="1189"/>
      <c r="Y72" s="1189"/>
      <c r="Z72" s="1189"/>
      <c r="AA72" s="1189"/>
      <c r="AB72" s="1189"/>
      <c r="AC72" s="1189"/>
      <c r="AD72" s="1189"/>
      <c r="AE72" s="1189"/>
      <c r="AF72" s="2536">
        <v>2025</v>
      </c>
      <c r="AG72" s="2537" t="s">
        <v>1122</v>
      </c>
      <c r="AH72" s="2537" t="s">
        <v>1138</v>
      </c>
      <c r="AI72" s="2536">
        <v>2025</v>
      </c>
      <c r="AJ72" s="2537" t="s">
        <v>1122</v>
      </c>
      <c r="AK72" s="2537" t="s">
        <v>1138</v>
      </c>
      <c r="AL72" s="1996"/>
      <c r="AM72" s="1833"/>
      <c r="AN72" s="1833"/>
      <c r="AO72" s="1833"/>
      <c r="AP72" s="1833"/>
      <c r="AQ72" s="1833"/>
      <c r="AR72" s="1833"/>
      <c r="AS72" s="1833"/>
      <c r="AT72" s="1833"/>
      <c r="AU72" s="1833"/>
      <c r="AV72" s="1833"/>
      <c r="AW72" s="1833"/>
      <c r="AX72" s="1833"/>
      <c r="AY72" s="1833"/>
      <c r="AZ72" s="1833"/>
      <c r="BA72" s="1833"/>
      <c r="BB72" s="1833"/>
      <c r="BC72" s="1833"/>
      <c r="BD72" s="1833"/>
      <c r="BE72" s="1833"/>
      <c r="BF72" s="1833"/>
      <c r="BG72" s="1646"/>
    </row>
    <row customHeight="1" ht="11.25">
      <c r="A73" s="1177" t="s">
        <v>1088</v>
      </c>
      <c r="B73" s="1177"/>
      <c r="C73" s="1177"/>
      <c r="D73" s="1171"/>
      <c r="E73" s="1181"/>
      <c r="F73" s="1839"/>
      <c r="G73" s="1840"/>
      <c r="H73" s="2545" t="s">
        <v>91</v>
      </c>
      <c r="I73" s="2546"/>
      <c r="J73" s="2515"/>
      <c r="K73" s="2547"/>
      <c r="L73" s="2137"/>
      <c r="M73" s="2138"/>
      <c r="N73" s="2538"/>
      <c r="O73" s="2539">
        <v>1</v>
      </c>
      <c r="P73" s="2540" t="s">
        <v>19</v>
      </c>
      <c r="Q73" s="2543" t="s">
        <v>22</v>
      </c>
      <c r="R73" s="2543" t="s">
        <v>22</v>
      </c>
      <c r="S73" s="2543" t="s">
        <v>22</v>
      </c>
      <c r="T73" s="2543" t="s">
        <v>22</v>
      </c>
      <c r="U73" s="2543" t="s">
        <v>22</v>
      </c>
      <c r="V73" s="2543" t="s">
        <v>22</v>
      </c>
      <c r="W73" s="2543" t="s">
        <v>22</v>
      </c>
      <c r="X73" s="2543" t="s">
        <v>22</v>
      </c>
      <c r="Y73" s="2543"/>
      <c r="Z73" s="1186"/>
      <c r="AA73" s="1187"/>
      <c r="AB73" s="1187"/>
      <c r="AC73" s="1191"/>
      <c r="AD73" s="1191"/>
      <c r="AE73" s="1192"/>
      <c r="AF73" s="2536"/>
      <c r="AG73" s="2537"/>
      <c r="AH73" s="2537"/>
      <c r="AI73" s="2536"/>
      <c r="AJ73" s="2537"/>
      <c r="AK73" s="2537"/>
      <c r="AL73" s="1996"/>
      <c r="AM73" s="1833"/>
      <c r="AN73" s="1833"/>
      <c r="AO73" s="1833"/>
      <c r="AP73" s="1833"/>
      <c r="AQ73" s="1833"/>
      <c r="AR73" s="1833"/>
      <c r="AS73" s="1833"/>
      <c r="AT73" s="1833"/>
      <c r="AU73" s="1833"/>
      <c r="AV73" s="1833"/>
      <c r="AW73" s="1833"/>
      <c r="AX73" s="1833"/>
      <c r="AY73" s="1833"/>
      <c r="AZ73" s="1833"/>
      <c r="BA73" s="1833"/>
      <c r="BB73" s="1833"/>
      <c r="BC73" s="1833"/>
      <c r="BD73" s="1833"/>
      <c r="BE73" s="1833"/>
      <c r="BF73" s="1833"/>
      <c r="BG73" s="1646"/>
    </row>
    <row customHeight="1" ht="11.25">
      <c r="A74" s="1177" t="s">
        <v>1088</v>
      </c>
      <c r="B74" s="1177"/>
      <c r="C74" s="1177"/>
      <c r="D74" s="1171"/>
      <c r="E74" s="1181"/>
      <c r="F74" s="1839"/>
      <c r="G74" s="1840"/>
      <c r="H74" s="2545" t="s">
        <v>91</v>
      </c>
      <c r="I74" s="2546"/>
      <c r="J74" s="2515"/>
      <c r="K74" s="2547"/>
      <c r="L74" s="2137"/>
      <c r="M74" s="2138"/>
      <c r="N74" s="2538"/>
      <c r="O74" s="2539"/>
      <c r="P74" s="2541"/>
      <c r="Q74" s="2543"/>
      <c r="R74" s="2543"/>
      <c r="S74" s="2544"/>
      <c r="T74" s="2543"/>
      <c r="U74" s="2543"/>
      <c r="V74" s="2543"/>
      <c r="W74" s="2543"/>
      <c r="X74" s="2543"/>
      <c r="Y74" s="2543"/>
      <c r="Z74" s="1838"/>
      <c r="AA74" s="1804">
        <v>1</v>
      </c>
      <c r="AB74" s="1190" t="s">
        <v>1139</v>
      </c>
      <c r="AC74" s="1180">
        <v>17874.53</v>
      </c>
      <c r="AD74" s="1190" t="str">
        <f>AB74</f>
        <v>  За счет платы за технологическое присоединение</v>
      </c>
      <c r="AE74" s="1180">
        <v>18463.97843</v>
      </c>
      <c r="AF74" s="2536"/>
      <c r="AG74" s="2537"/>
      <c r="AH74" s="2537"/>
      <c r="AI74" s="2536"/>
      <c r="AJ74" s="2537"/>
      <c r="AK74" s="2537"/>
      <c r="AL74" s="1996"/>
      <c r="AM74" s="1833"/>
      <c r="AN74" s="1833"/>
      <c r="AO74" s="1833"/>
      <c r="AP74" s="1833"/>
      <c r="AQ74" s="1833"/>
      <c r="AR74" s="1833"/>
      <c r="AS74" s="1833"/>
      <c r="AT74" s="1833"/>
      <c r="AU74" s="1833"/>
      <c r="AV74" s="1833"/>
      <c r="AW74" s="1833"/>
      <c r="AX74" s="1833"/>
      <c r="AY74" s="1833"/>
      <c r="AZ74" s="1833"/>
      <c r="BA74" s="1833"/>
      <c r="BB74" s="1833"/>
      <c r="BC74" s="1833"/>
      <c r="BD74" s="1833"/>
      <c r="BE74" s="1833"/>
      <c r="BF74" s="1833"/>
      <c r="BG74" s="1646"/>
    </row>
    <row customHeight="1" ht="11.25">
      <c r="A75" s="1177" t="s">
        <v>1088</v>
      </c>
      <c r="B75" s="1177"/>
      <c r="C75" s="1177"/>
      <c r="D75" s="1171"/>
      <c r="E75" s="1181"/>
      <c r="F75" s="1839"/>
      <c r="G75" s="1840"/>
      <c r="H75" s="2545" t="s">
        <v>91</v>
      </c>
      <c r="I75" s="2546"/>
      <c r="J75" s="2515"/>
      <c r="K75" s="2547"/>
      <c r="L75" s="2137"/>
      <c r="M75" s="2138"/>
      <c r="N75" s="2538"/>
      <c r="O75" s="2539"/>
      <c r="P75" s="2542"/>
      <c r="Q75" s="2543"/>
      <c r="R75" s="2543"/>
      <c r="S75" s="2544"/>
      <c r="T75" s="2543"/>
      <c r="U75" s="2543"/>
      <c r="V75" s="2543"/>
      <c r="W75" s="2543"/>
      <c r="X75" s="2543"/>
      <c r="Y75" s="2543"/>
      <c r="Z75" s="1186"/>
      <c r="AA75" s="1187"/>
      <c r="AB75" s="1252" t="s">
        <v>1130</v>
      </c>
      <c r="AC75" s="1191"/>
      <c r="AD75" s="1191"/>
      <c r="AE75" s="1193"/>
      <c r="AF75" s="2536"/>
      <c r="AG75" s="2537"/>
      <c r="AH75" s="2537"/>
      <c r="AI75" s="2536"/>
      <c r="AJ75" s="2537"/>
      <c r="AK75" s="2537"/>
      <c r="AL75" s="1996"/>
      <c r="AM75" s="1833"/>
      <c r="AN75" s="1833"/>
      <c r="AO75" s="1833"/>
      <c r="AP75" s="1833"/>
      <c r="AQ75" s="1833"/>
      <c r="AR75" s="1833"/>
      <c r="AS75" s="1833"/>
      <c r="AT75" s="1833"/>
      <c r="AU75" s="1833"/>
      <c r="AV75" s="1833"/>
      <c r="AW75" s="1833"/>
      <c r="AX75" s="1833"/>
      <c r="AY75" s="1833"/>
      <c r="AZ75" s="1833"/>
      <c r="BA75" s="1833"/>
      <c r="BB75" s="1833"/>
      <c r="BC75" s="1833"/>
      <c r="BD75" s="1833"/>
      <c r="BE75" s="1833"/>
      <c r="BF75" s="1833"/>
      <c r="BG75" s="1646"/>
    </row>
    <row customHeight="1" ht="11.25">
      <c r="A76" s="1177" t="s">
        <v>1088</v>
      </c>
      <c r="B76" s="1177"/>
      <c r="C76" s="1177"/>
      <c r="D76" s="1171"/>
      <c r="E76" s="1181"/>
      <c r="F76" s="1839"/>
      <c r="G76" s="1840"/>
      <c r="H76" s="2545" t="s">
        <v>91</v>
      </c>
      <c r="I76" s="2546"/>
      <c r="J76" s="2515"/>
      <c r="K76" s="2547"/>
      <c r="L76" s="2137"/>
      <c r="M76" s="2138"/>
      <c r="N76" s="1186"/>
      <c r="O76" s="1187"/>
      <c r="P76" s="1179" t="s">
        <v>1131</v>
      </c>
      <c r="Q76" s="1187"/>
      <c r="R76" s="1187"/>
      <c r="S76" s="1187"/>
      <c r="T76" s="1187"/>
      <c r="U76" s="1187"/>
      <c r="V76" s="1187"/>
      <c r="W76" s="1187"/>
      <c r="X76" s="1187"/>
      <c r="Y76" s="1187"/>
      <c r="Z76" s="1187"/>
      <c r="AA76" s="1187"/>
      <c r="AB76" s="1187"/>
      <c r="AC76" s="1187"/>
      <c r="AD76" s="1187"/>
      <c r="AE76" s="1194"/>
      <c r="AF76" s="2536"/>
      <c r="AG76" s="2537"/>
      <c r="AH76" s="2537"/>
      <c r="AI76" s="2536"/>
      <c r="AJ76" s="2537"/>
      <c r="AK76" s="2537"/>
      <c r="AL76" s="1996"/>
      <c r="AM76" s="1833"/>
      <c r="AN76" s="1833"/>
      <c r="AO76" s="1833"/>
      <c r="AP76" s="1833"/>
      <c r="AQ76" s="1833"/>
      <c r="AR76" s="1833"/>
      <c r="AS76" s="1833"/>
      <c r="AT76" s="1833"/>
      <c r="AU76" s="1833"/>
      <c r="AV76" s="1833"/>
      <c r="AW76" s="1833"/>
      <c r="AX76" s="1833"/>
      <c r="AY76" s="1833"/>
      <c r="AZ76" s="1833"/>
      <c r="BA76" s="1833"/>
      <c r="BB76" s="1833"/>
      <c r="BC76" s="1833"/>
      <c r="BD76" s="1833"/>
      <c r="BE76" s="1833"/>
      <c r="BF76" s="1833"/>
      <c r="BG76" s="1646"/>
    </row>
    <row customHeight="1" ht="11.25">
      <c r="A77" s="1177" t="s">
        <v>1088</v>
      </c>
      <c r="B77" s="1177" t="s">
        <v>1133</v>
      </c>
      <c r="C77" s="1177"/>
      <c r="D77" s="1171"/>
      <c r="E77" s="1181"/>
      <c r="F77" s="1839"/>
      <c r="G77" s="694" t="s">
        <v>105</v>
      </c>
      <c r="H77" s="2545" t="s">
        <v>121</v>
      </c>
      <c r="I77" s="2546" t="s">
        <v>1134</v>
      </c>
      <c r="J77" s="2515" t="s">
        <v>1135</v>
      </c>
      <c r="K77" s="2547" t="s">
        <v>1147</v>
      </c>
      <c r="L77" s="2137" t="s">
        <v>19</v>
      </c>
      <c r="M77" s="2138"/>
      <c r="N77" s="1994"/>
      <c r="O77" s="1188" t="s">
        <v>390</v>
      </c>
      <c r="P77" s="1189"/>
      <c r="Q77" s="1189"/>
      <c r="R77" s="1189"/>
      <c r="S77" s="1189"/>
      <c r="T77" s="1189"/>
      <c r="U77" s="1189"/>
      <c r="V77" s="1189"/>
      <c r="W77" s="1189"/>
      <c r="X77" s="1189"/>
      <c r="Y77" s="1189"/>
      <c r="Z77" s="1189"/>
      <c r="AA77" s="1189"/>
      <c r="AB77" s="1189"/>
      <c r="AC77" s="1189"/>
      <c r="AD77" s="1189"/>
      <c r="AE77" s="1189"/>
      <c r="AF77" s="2536">
        <v>2025</v>
      </c>
      <c r="AG77" s="2537" t="s">
        <v>1122</v>
      </c>
      <c r="AH77" s="2537" t="s">
        <v>1138</v>
      </c>
      <c r="AI77" s="2908"/>
      <c r="AJ77" s="2537" t="s">
        <v>1145</v>
      </c>
      <c r="AK77" s="2537" t="s">
        <v>1145</v>
      </c>
      <c r="AL77" s="1996"/>
      <c r="AM77" s="1833"/>
      <c r="AN77" s="1833"/>
      <c r="AO77" s="1833"/>
      <c r="AP77" s="1833"/>
      <c r="AQ77" s="1833"/>
      <c r="AR77" s="1833"/>
      <c r="AS77" s="1833"/>
      <c r="AT77" s="1833"/>
      <c r="AU77" s="1833"/>
      <c r="AV77" s="1833"/>
      <c r="AW77" s="1833"/>
      <c r="AX77" s="1833"/>
      <c r="AY77" s="1833"/>
      <c r="AZ77" s="1833"/>
      <c r="BA77" s="1833"/>
      <c r="BB77" s="1833"/>
      <c r="BC77" s="1833"/>
      <c r="BD77" s="1833"/>
      <c r="BE77" s="1833"/>
      <c r="BF77" s="1833"/>
      <c r="BG77" s="1646"/>
    </row>
    <row customHeight="1" ht="11.25">
      <c r="A78" s="1177" t="s">
        <v>1088</v>
      </c>
      <c r="B78" s="1177"/>
      <c r="C78" s="1177"/>
      <c r="D78" s="1171"/>
      <c r="E78" s="1181"/>
      <c r="F78" s="1839"/>
      <c r="G78" s="1840"/>
      <c r="H78" s="2545" t="s">
        <v>92</v>
      </c>
      <c r="I78" s="2546"/>
      <c r="J78" s="2515"/>
      <c r="K78" s="2547"/>
      <c r="L78" s="2137"/>
      <c r="M78" s="2138"/>
      <c r="N78" s="2538"/>
      <c r="O78" s="2539">
        <v>1</v>
      </c>
      <c r="P78" s="2540" t="s">
        <v>19</v>
      </c>
      <c r="Q78" s="2543" t="s">
        <v>22</v>
      </c>
      <c r="R78" s="2543" t="s">
        <v>22</v>
      </c>
      <c r="S78" s="2543" t="s">
        <v>22</v>
      </c>
      <c r="T78" s="2543" t="s">
        <v>22</v>
      </c>
      <c r="U78" s="2543" t="s">
        <v>22</v>
      </c>
      <c r="V78" s="2543" t="s">
        <v>22</v>
      </c>
      <c r="W78" s="2543" t="s">
        <v>22</v>
      </c>
      <c r="X78" s="2543" t="s">
        <v>22</v>
      </c>
      <c r="Y78" s="2543"/>
      <c r="Z78" s="1186"/>
      <c r="AA78" s="1187"/>
      <c r="AB78" s="1187"/>
      <c r="AC78" s="1191"/>
      <c r="AD78" s="1191"/>
      <c r="AE78" s="1192"/>
      <c r="AF78" s="2536"/>
      <c r="AG78" s="2537"/>
      <c r="AH78" s="2537"/>
      <c r="AI78" s="2908"/>
      <c r="AJ78" s="2537"/>
      <c r="AK78" s="2537"/>
      <c r="AL78" s="1996"/>
      <c r="AM78" s="1833"/>
      <c r="AN78" s="1833"/>
      <c r="AO78" s="1833"/>
      <c r="AP78" s="1833"/>
      <c r="AQ78" s="1833"/>
      <c r="AR78" s="1833"/>
      <c r="AS78" s="1833"/>
      <c r="AT78" s="1833"/>
      <c r="AU78" s="1833"/>
      <c r="AV78" s="1833"/>
      <c r="AW78" s="1833"/>
      <c r="AX78" s="1833"/>
      <c r="AY78" s="1833"/>
      <c r="AZ78" s="1833"/>
      <c r="BA78" s="1833"/>
      <c r="BB78" s="1833"/>
      <c r="BC78" s="1833"/>
      <c r="BD78" s="1833"/>
      <c r="BE78" s="1833"/>
      <c r="BF78" s="1833"/>
      <c r="BG78" s="1646"/>
    </row>
    <row customHeight="1" ht="11.25">
      <c r="A79" s="1177" t="s">
        <v>1088</v>
      </c>
      <c r="B79" s="1177"/>
      <c r="C79" s="1177"/>
      <c r="D79" s="1171"/>
      <c r="E79" s="1181"/>
      <c r="F79" s="1839"/>
      <c r="G79" s="1840"/>
      <c r="H79" s="2545" t="s">
        <v>92</v>
      </c>
      <c r="I79" s="2546"/>
      <c r="J79" s="2515"/>
      <c r="K79" s="2547"/>
      <c r="L79" s="2137"/>
      <c r="M79" s="2138"/>
      <c r="N79" s="2538"/>
      <c r="O79" s="2539"/>
      <c r="P79" s="2541"/>
      <c r="Q79" s="2543"/>
      <c r="R79" s="2543"/>
      <c r="S79" s="2544"/>
      <c r="T79" s="2543"/>
      <c r="U79" s="2543"/>
      <c r="V79" s="2543"/>
      <c r="W79" s="2543"/>
      <c r="X79" s="2543"/>
      <c r="Y79" s="2543"/>
      <c r="Z79" s="1838"/>
      <c r="AA79" s="1804">
        <v>1</v>
      </c>
      <c r="AB79" s="1190" t="s">
        <v>1139</v>
      </c>
      <c r="AC79" s="1180">
        <v>3010.42</v>
      </c>
      <c r="AD79" s="1190" t="str">
        <f>AB79</f>
        <v>  За счет платы за технологическое присоединение</v>
      </c>
      <c r="AE79" s="1180">
        <v>0</v>
      </c>
      <c r="AF79" s="2536"/>
      <c r="AG79" s="2537"/>
      <c r="AH79" s="2537"/>
      <c r="AI79" s="2908"/>
      <c r="AJ79" s="2537"/>
      <c r="AK79" s="2537"/>
      <c r="AL79" s="1996"/>
      <c r="AM79" s="1833"/>
      <c r="AN79" s="1833"/>
      <c r="AO79" s="1833"/>
      <c r="AP79" s="1833"/>
      <c r="AQ79" s="1833"/>
      <c r="AR79" s="1833"/>
      <c r="AS79" s="1833"/>
      <c r="AT79" s="1833"/>
      <c r="AU79" s="1833"/>
      <c r="AV79" s="1833"/>
      <c r="AW79" s="1833"/>
      <c r="AX79" s="1833"/>
      <c r="AY79" s="1833"/>
      <c r="AZ79" s="1833"/>
      <c r="BA79" s="1833"/>
      <c r="BB79" s="1833"/>
      <c r="BC79" s="1833"/>
      <c r="BD79" s="1833"/>
      <c r="BE79" s="1833"/>
      <c r="BF79" s="1833"/>
      <c r="BG79" s="1646"/>
    </row>
    <row customHeight="1" ht="11.25">
      <c r="A80" s="1177" t="s">
        <v>1088</v>
      </c>
      <c r="B80" s="1177"/>
      <c r="C80" s="1177"/>
      <c r="D80" s="1171"/>
      <c r="E80" s="1181"/>
      <c r="F80" s="1839"/>
      <c r="G80" s="1840"/>
      <c r="H80" s="2545" t="s">
        <v>92</v>
      </c>
      <c r="I80" s="2546"/>
      <c r="J80" s="2515"/>
      <c r="K80" s="2547"/>
      <c r="L80" s="2137"/>
      <c r="M80" s="2138"/>
      <c r="N80" s="2538"/>
      <c r="O80" s="2539"/>
      <c r="P80" s="2542"/>
      <c r="Q80" s="2543"/>
      <c r="R80" s="2543"/>
      <c r="S80" s="2544"/>
      <c r="T80" s="2543"/>
      <c r="U80" s="2543"/>
      <c r="V80" s="2543"/>
      <c r="W80" s="2543"/>
      <c r="X80" s="2543"/>
      <c r="Y80" s="2543"/>
      <c r="Z80" s="1186"/>
      <c r="AA80" s="1187"/>
      <c r="AB80" s="1252" t="s">
        <v>1130</v>
      </c>
      <c r="AC80" s="1191"/>
      <c r="AD80" s="1191"/>
      <c r="AE80" s="1193"/>
      <c r="AF80" s="2536"/>
      <c r="AG80" s="2537"/>
      <c r="AH80" s="2537"/>
      <c r="AI80" s="2908"/>
      <c r="AJ80" s="2537"/>
      <c r="AK80" s="2537"/>
      <c r="AL80" s="1996"/>
      <c r="AM80" s="1833"/>
      <c r="AN80" s="1833"/>
      <c r="AO80" s="1833"/>
      <c r="AP80" s="1833"/>
      <c r="AQ80" s="1833"/>
      <c r="AR80" s="1833"/>
      <c r="AS80" s="1833"/>
      <c r="AT80" s="1833"/>
      <c r="AU80" s="1833"/>
      <c r="AV80" s="1833"/>
      <c r="AW80" s="1833"/>
      <c r="AX80" s="1833"/>
      <c r="AY80" s="1833"/>
      <c r="AZ80" s="1833"/>
      <c r="BA80" s="1833"/>
      <c r="BB80" s="1833"/>
      <c r="BC80" s="1833"/>
      <c r="BD80" s="1833"/>
      <c r="BE80" s="1833"/>
      <c r="BF80" s="1833"/>
      <c r="BG80" s="1646"/>
    </row>
    <row customHeight="1" ht="11.25">
      <c r="A81" s="1177" t="s">
        <v>1088</v>
      </c>
      <c r="B81" s="1177"/>
      <c r="C81" s="1177"/>
      <c r="D81" s="1171"/>
      <c r="E81" s="1181"/>
      <c r="F81" s="1839"/>
      <c r="G81" s="1840"/>
      <c r="H81" s="2545" t="s">
        <v>92</v>
      </c>
      <c r="I81" s="2546"/>
      <c r="J81" s="2515"/>
      <c r="K81" s="2547"/>
      <c r="L81" s="2137"/>
      <c r="M81" s="2138"/>
      <c r="N81" s="1186"/>
      <c r="O81" s="1187"/>
      <c r="P81" s="1179" t="s">
        <v>1131</v>
      </c>
      <c r="Q81" s="1187"/>
      <c r="R81" s="1187"/>
      <c r="S81" s="1187"/>
      <c r="T81" s="1187"/>
      <c r="U81" s="1187"/>
      <c r="V81" s="1187"/>
      <c r="W81" s="1187"/>
      <c r="X81" s="1187"/>
      <c r="Y81" s="1187"/>
      <c r="Z81" s="1187"/>
      <c r="AA81" s="1187"/>
      <c r="AB81" s="1187"/>
      <c r="AC81" s="1187"/>
      <c r="AD81" s="1187"/>
      <c r="AE81" s="1194"/>
      <c r="AF81" s="2536"/>
      <c r="AG81" s="2537"/>
      <c r="AH81" s="2537"/>
      <c r="AI81" s="2908"/>
      <c r="AJ81" s="2537"/>
      <c r="AK81" s="2537"/>
      <c r="AL81" s="1996"/>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c r="BG81" s="1646"/>
    </row>
    <row customHeight="1" ht="11.25">
      <c r="A82" s="1177" t="s">
        <v>1088</v>
      </c>
      <c r="B82" s="1177" t="s">
        <v>1133</v>
      </c>
      <c r="C82" s="1177"/>
      <c r="D82" s="1171"/>
      <c r="E82" s="1181"/>
      <c r="F82" s="1839"/>
      <c r="G82" s="694" t="s">
        <v>105</v>
      </c>
      <c r="H82" s="2545" t="s">
        <v>93</v>
      </c>
      <c r="I82" s="2546" t="s">
        <v>1134</v>
      </c>
      <c r="J82" s="2515" t="s">
        <v>1135</v>
      </c>
      <c r="K82" s="2547" t="s">
        <v>1148</v>
      </c>
      <c r="L82" s="2137" t="s">
        <v>19</v>
      </c>
      <c r="M82" s="2138"/>
      <c r="N82" s="1994"/>
      <c r="O82" s="1188" t="s">
        <v>390</v>
      </c>
      <c r="P82" s="1189"/>
      <c r="Q82" s="1189"/>
      <c r="R82" s="1189"/>
      <c r="S82" s="1189"/>
      <c r="T82" s="1189"/>
      <c r="U82" s="1189"/>
      <c r="V82" s="1189"/>
      <c r="W82" s="1189"/>
      <c r="X82" s="1189"/>
      <c r="Y82" s="1189"/>
      <c r="Z82" s="1189"/>
      <c r="AA82" s="1189"/>
      <c r="AB82" s="1189"/>
      <c r="AC82" s="1189"/>
      <c r="AD82" s="1189"/>
      <c r="AE82" s="1189"/>
      <c r="AF82" s="2536">
        <v>2025</v>
      </c>
      <c r="AG82" s="2537" t="s">
        <v>1122</v>
      </c>
      <c r="AH82" s="2537" t="s">
        <v>1138</v>
      </c>
      <c r="AI82" s="2908"/>
      <c r="AJ82" s="2537" t="s">
        <v>1145</v>
      </c>
      <c r="AK82" s="2537" t="s">
        <v>1145</v>
      </c>
      <c r="AL82" s="1996"/>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c r="BG82" s="1646"/>
    </row>
    <row customHeight="1" ht="11.25">
      <c r="A83" s="1177" t="s">
        <v>1088</v>
      </c>
      <c r="B83" s="1177"/>
      <c r="C83" s="1177"/>
      <c r="D83" s="1171"/>
      <c r="E83" s="1181"/>
      <c r="F83" s="1839"/>
      <c r="G83" s="1840"/>
      <c r="H83" s="2545" t="s">
        <v>121</v>
      </c>
      <c r="I83" s="2546"/>
      <c r="J83" s="2515"/>
      <c r="K83" s="2547"/>
      <c r="L83" s="2137"/>
      <c r="M83" s="2138"/>
      <c r="N83" s="2538"/>
      <c r="O83" s="2539">
        <v>1</v>
      </c>
      <c r="P83" s="2540" t="s">
        <v>19</v>
      </c>
      <c r="Q83" s="2543" t="s">
        <v>22</v>
      </c>
      <c r="R83" s="2543" t="s">
        <v>22</v>
      </c>
      <c r="S83" s="2543" t="s">
        <v>22</v>
      </c>
      <c r="T83" s="2543" t="s">
        <v>22</v>
      </c>
      <c r="U83" s="2543" t="s">
        <v>22</v>
      </c>
      <c r="V83" s="2543" t="s">
        <v>22</v>
      </c>
      <c r="W83" s="2543" t="s">
        <v>22</v>
      </c>
      <c r="X83" s="2543" t="s">
        <v>22</v>
      </c>
      <c r="Y83" s="2543"/>
      <c r="Z83" s="1186"/>
      <c r="AA83" s="1187"/>
      <c r="AB83" s="1187"/>
      <c r="AC83" s="1191"/>
      <c r="AD83" s="1191"/>
      <c r="AE83" s="1192"/>
      <c r="AF83" s="2536"/>
      <c r="AG83" s="2537"/>
      <c r="AH83" s="2537"/>
      <c r="AI83" s="2908"/>
      <c r="AJ83" s="2537"/>
      <c r="AK83" s="2537"/>
      <c r="AL83" s="1996"/>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c r="BG83" s="1646"/>
    </row>
    <row customHeight="1" ht="11.25">
      <c r="A84" s="1177" t="s">
        <v>1088</v>
      </c>
      <c r="B84" s="1177"/>
      <c r="C84" s="1177"/>
      <c r="D84" s="1171"/>
      <c r="E84" s="1181"/>
      <c r="F84" s="1839"/>
      <c r="G84" s="1840"/>
      <c r="H84" s="2545" t="s">
        <v>121</v>
      </c>
      <c r="I84" s="2546"/>
      <c r="J84" s="2515"/>
      <c r="K84" s="2547"/>
      <c r="L84" s="2137"/>
      <c r="M84" s="2138"/>
      <c r="N84" s="2538"/>
      <c r="O84" s="2539"/>
      <c r="P84" s="2541"/>
      <c r="Q84" s="2543"/>
      <c r="R84" s="2543"/>
      <c r="S84" s="2544"/>
      <c r="T84" s="2543"/>
      <c r="U84" s="2543"/>
      <c r="V84" s="2543"/>
      <c r="W84" s="2543"/>
      <c r="X84" s="2543"/>
      <c r="Y84" s="2543"/>
      <c r="Z84" s="1838"/>
      <c r="AA84" s="1804">
        <v>1</v>
      </c>
      <c r="AB84" s="1190" t="s">
        <v>1139</v>
      </c>
      <c r="AC84" s="1180">
        <v>3318.66</v>
      </c>
      <c r="AD84" s="1190" t="str">
        <f>AB84</f>
        <v>  За счет платы за технологическое присоединение</v>
      </c>
      <c r="AE84" s="1180">
        <v>0</v>
      </c>
      <c r="AF84" s="2536"/>
      <c r="AG84" s="2537"/>
      <c r="AH84" s="2537"/>
      <c r="AI84" s="2908"/>
      <c r="AJ84" s="2537"/>
      <c r="AK84" s="2537"/>
      <c r="AL84" s="1996"/>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c r="BG84" s="1646"/>
    </row>
    <row customHeight="1" ht="11.25">
      <c r="A85" s="1177" t="s">
        <v>1088</v>
      </c>
      <c r="B85" s="1177"/>
      <c r="C85" s="1177"/>
      <c r="D85" s="1171"/>
      <c r="E85" s="1181"/>
      <c r="F85" s="1839"/>
      <c r="G85" s="1840"/>
      <c r="H85" s="2545" t="s">
        <v>121</v>
      </c>
      <c r="I85" s="2546"/>
      <c r="J85" s="2515"/>
      <c r="K85" s="2547"/>
      <c r="L85" s="2137"/>
      <c r="M85" s="2138"/>
      <c r="N85" s="2538"/>
      <c r="O85" s="2539"/>
      <c r="P85" s="2542"/>
      <c r="Q85" s="2543"/>
      <c r="R85" s="2543"/>
      <c r="S85" s="2544"/>
      <c r="T85" s="2543"/>
      <c r="U85" s="2543"/>
      <c r="V85" s="2543"/>
      <c r="W85" s="2543"/>
      <c r="X85" s="2543"/>
      <c r="Y85" s="2543"/>
      <c r="Z85" s="1186"/>
      <c r="AA85" s="1187"/>
      <c r="AB85" s="1252" t="s">
        <v>1130</v>
      </c>
      <c r="AC85" s="1191"/>
      <c r="AD85" s="1191"/>
      <c r="AE85" s="1193"/>
      <c r="AF85" s="2536"/>
      <c r="AG85" s="2537"/>
      <c r="AH85" s="2537"/>
      <c r="AI85" s="2908"/>
      <c r="AJ85" s="2537"/>
      <c r="AK85" s="2537"/>
      <c r="AL85" s="1996"/>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c r="BG85" s="1646"/>
    </row>
    <row customHeight="1" ht="11.25">
      <c r="A86" s="1177" t="s">
        <v>1088</v>
      </c>
      <c r="B86" s="1177"/>
      <c r="C86" s="1177"/>
      <c r="D86" s="1171"/>
      <c r="E86" s="1181"/>
      <c r="F86" s="1839"/>
      <c r="G86" s="1840"/>
      <c r="H86" s="2545" t="s">
        <v>121</v>
      </c>
      <c r="I86" s="2546"/>
      <c r="J86" s="2515"/>
      <c r="K86" s="2547"/>
      <c r="L86" s="2137"/>
      <c r="M86" s="2138"/>
      <c r="N86" s="1186"/>
      <c r="O86" s="1187"/>
      <c r="P86" s="1179" t="s">
        <v>1131</v>
      </c>
      <c r="Q86" s="1187"/>
      <c r="R86" s="1187"/>
      <c r="S86" s="1187"/>
      <c r="T86" s="1187"/>
      <c r="U86" s="1187"/>
      <c r="V86" s="1187"/>
      <c r="W86" s="1187"/>
      <c r="X86" s="1187"/>
      <c r="Y86" s="1187"/>
      <c r="Z86" s="1187"/>
      <c r="AA86" s="1187"/>
      <c r="AB86" s="1187"/>
      <c r="AC86" s="1187"/>
      <c r="AD86" s="1187"/>
      <c r="AE86" s="1194"/>
      <c r="AF86" s="2536"/>
      <c r="AG86" s="2537"/>
      <c r="AH86" s="2537"/>
      <c r="AI86" s="2908"/>
      <c r="AJ86" s="2537"/>
      <c r="AK86" s="2537"/>
      <c r="AL86" s="1996"/>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c r="BG86" s="1646"/>
    </row>
    <row customHeight="1" ht="11.25">
      <c r="A87" s="1177" t="s">
        <v>1088</v>
      </c>
      <c r="B87" s="1177" t="s">
        <v>1133</v>
      </c>
      <c r="C87" s="1177"/>
      <c r="D87" s="1171"/>
      <c r="E87" s="1181"/>
      <c r="F87" s="1839"/>
      <c r="G87" s="694" t="s">
        <v>105</v>
      </c>
      <c r="H87" s="2545" t="s">
        <v>94</v>
      </c>
      <c r="I87" s="2546" t="s">
        <v>1134</v>
      </c>
      <c r="J87" s="2515" t="s">
        <v>1135</v>
      </c>
      <c r="K87" s="2547" t="s">
        <v>1149</v>
      </c>
      <c r="L87" s="2137" t="s">
        <v>19</v>
      </c>
      <c r="M87" s="2138"/>
      <c r="N87" s="1994"/>
      <c r="O87" s="1188" t="s">
        <v>390</v>
      </c>
      <c r="P87" s="1189"/>
      <c r="Q87" s="1189"/>
      <c r="R87" s="1189"/>
      <c r="S87" s="1189"/>
      <c r="T87" s="1189"/>
      <c r="U87" s="1189"/>
      <c r="V87" s="1189"/>
      <c r="W87" s="1189"/>
      <c r="X87" s="1189"/>
      <c r="Y87" s="1189"/>
      <c r="Z87" s="1189"/>
      <c r="AA87" s="1189"/>
      <c r="AB87" s="1189"/>
      <c r="AC87" s="1189"/>
      <c r="AD87" s="1189"/>
      <c r="AE87" s="1189"/>
      <c r="AF87" s="2536">
        <v>2025</v>
      </c>
      <c r="AG87" s="2537" t="s">
        <v>1122</v>
      </c>
      <c r="AH87" s="2537" t="s">
        <v>1138</v>
      </c>
      <c r="AI87" s="2908"/>
      <c r="AJ87" s="2537" t="s">
        <v>1145</v>
      </c>
      <c r="AK87" s="2537" t="s">
        <v>1145</v>
      </c>
      <c r="AL87" s="1996"/>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c r="BG87" s="1646"/>
    </row>
    <row customHeight="1" ht="11.25">
      <c r="A88" s="1177" t="s">
        <v>1088</v>
      </c>
      <c r="B88" s="1177"/>
      <c r="C88" s="1177"/>
      <c r="D88" s="1171"/>
      <c r="E88" s="1181"/>
      <c r="F88" s="1839"/>
      <c r="G88" s="1840"/>
      <c r="H88" s="2545" t="s">
        <v>93</v>
      </c>
      <c r="I88" s="2546"/>
      <c r="J88" s="2515"/>
      <c r="K88" s="2547"/>
      <c r="L88" s="2137"/>
      <c r="M88" s="2138"/>
      <c r="N88" s="2538"/>
      <c r="O88" s="2539">
        <v>1</v>
      </c>
      <c r="P88" s="2540" t="s">
        <v>19</v>
      </c>
      <c r="Q88" s="2543" t="s">
        <v>22</v>
      </c>
      <c r="R88" s="2543" t="s">
        <v>22</v>
      </c>
      <c r="S88" s="2543" t="s">
        <v>22</v>
      </c>
      <c r="T88" s="2543" t="s">
        <v>22</v>
      </c>
      <c r="U88" s="2543" t="s">
        <v>22</v>
      </c>
      <c r="V88" s="2543" t="s">
        <v>22</v>
      </c>
      <c r="W88" s="2543" t="s">
        <v>22</v>
      </c>
      <c r="X88" s="2543" t="s">
        <v>22</v>
      </c>
      <c r="Y88" s="2543"/>
      <c r="Z88" s="1186"/>
      <c r="AA88" s="1187"/>
      <c r="AB88" s="1187"/>
      <c r="AC88" s="1191"/>
      <c r="AD88" s="1191"/>
      <c r="AE88" s="1192"/>
      <c r="AF88" s="2536"/>
      <c r="AG88" s="2537"/>
      <c r="AH88" s="2537"/>
      <c r="AI88" s="2908"/>
      <c r="AJ88" s="2537"/>
      <c r="AK88" s="2537"/>
      <c r="AL88" s="1996"/>
      <c r="AM88" s="1833"/>
      <c r="AN88" s="1833"/>
      <c r="AO88" s="1833"/>
      <c r="AP88" s="1833"/>
      <c r="AQ88" s="1833"/>
      <c r="AR88" s="1833"/>
      <c r="AS88" s="1833"/>
      <c r="AT88" s="1833"/>
      <c r="AU88" s="1833"/>
      <c r="AV88" s="1833"/>
      <c r="AW88" s="1833"/>
      <c r="AX88" s="1833"/>
      <c r="AY88" s="1833"/>
      <c r="AZ88" s="1833"/>
      <c r="BA88" s="1833"/>
      <c r="BB88" s="1833"/>
      <c r="BC88" s="1833"/>
      <c r="BD88" s="1833"/>
      <c r="BE88" s="1833"/>
      <c r="BF88" s="1833"/>
      <c r="BG88" s="1646"/>
    </row>
    <row customHeight="1" ht="11.25">
      <c r="A89" s="1177" t="s">
        <v>1088</v>
      </c>
      <c r="B89" s="1177"/>
      <c r="C89" s="1177"/>
      <c r="D89" s="1171"/>
      <c r="E89" s="1181"/>
      <c r="F89" s="1839"/>
      <c r="G89" s="1840"/>
      <c r="H89" s="2545" t="s">
        <v>93</v>
      </c>
      <c r="I89" s="2546"/>
      <c r="J89" s="2515"/>
      <c r="K89" s="2547"/>
      <c r="L89" s="2137"/>
      <c r="M89" s="2138"/>
      <c r="N89" s="2538"/>
      <c r="O89" s="2539"/>
      <c r="P89" s="2541"/>
      <c r="Q89" s="2543"/>
      <c r="R89" s="2543"/>
      <c r="S89" s="2544"/>
      <c r="T89" s="2543"/>
      <c r="U89" s="2543"/>
      <c r="V89" s="2543"/>
      <c r="W89" s="2543"/>
      <c r="X89" s="2543"/>
      <c r="Y89" s="2543"/>
      <c r="Z89" s="1838"/>
      <c r="AA89" s="1804">
        <v>1</v>
      </c>
      <c r="AB89" s="1190" t="s">
        <v>1139</v>
      </c>
      <c r="AC89" s="1180">
        <v>2095.38</v>
      </c>
      <c r="AD89" s="1190" t="str">
        <f>AB89</f>
        <v>  За счет платы за технологическое присоединение</v>
      </c>
      <c r="AE89" s="1180">
        <v>0</v>
      </c>
      <c r="AF89" s="2536"/>
      <c r="AG89" s="2537"/>
      <c r="AH89" s="2537"/>
      <c r="AI89" s="2908"/>
      <c r="AJ89" s="2537"/>
      <c r="AK89" s="2537"/>
      <c r="AL89" s="1996"/>
      <c r="AM89" s="1833"/>
      <c r="AN89" s="1833"/>
      <c r="AO89" s="1833"/>
      <c r="AP89" s="1833"/>
      <c r="AQ89" s="1833"/>
      <c r="AR89" s="1833"/>
      <c r="AS89" s="1833"/>
      <c r="AT89" s="1833"/>
      <c r="AU89" s="1833"/>
      <c r="AV89" s="1833"/>
      <c r="AW89" s="1833"/>
      <c r="AX89" s="1833"/>
      <c r="AY89" s="1833"/>
      <c r="AZ89" s="1833"/>
      <c r="BA89" s="1833"/>
      <c r="BB89" s="1833"/>
      <c r="BC89" s="1833"/>
      <c r="BD89" s="1833"/>
      <c r="BE89" s="1833"/>
      <c r="BF89" s="1833"/>
      <c r="BG89" s="1646"/>
    </row>
    <row customHeight="1" ht="11.25">
      <c r="A90" s="1177" t="s">
        <v>1088</v>
      </c>
      <c r="B90" s="1177"/>
      <c r="C90" s="1177"/>
      <c r="D90" s="1171"/>
      <c r="E90" s="1181"/>
      <c r="F90" s="1839"/>
      <c r="G90" s="1840"/>
      <c r="H90" s="2545" t="s">
        <v>93</v>
      </c>
      <c r="I90" s="2546"/>
      <c r="J90" s="2515"/>
      <c r="K90" s="2547"/>
      <c r="L90" s="2137"/>
      <c r="M90" s="2138"/>
      <c r="N90" s="2538"/>
      <c r="O90" s="2539"/>
      <c r="P90" s="2542"/>
      <c r="Q90" s="2543"/>
      <c r="R90" s="2543"/>
      <c r="S90" s="2544"/>
      <c r="T90" s="2543"/>
      <c r="U90" s="2543"/>
      <c r="V90" s="2543"/>
      <c r="W90" s="2543"/>
      <c r="X90" s="2543"/>
      <c r="Y90" s="2543"/>
      <c r="Z90" s="1186"/>
      <c r="AA90" s="1187"/>
      <c r="AB90" s="1252" t="s">
        <v>1130</v>
      </c>
      <c r="AC90" s="1191"/>
      <c r="AD90" s="1191"/>
      <c r="AE90" s="1193"/>
      <c r="AF90" s="2536"/>
      <c r="AG90" s="2537"/>
      <c r="AH90" s="2537"/>
      <c r="AI90" s="2908"/>
      <c r="AJ90" s="2537"/>
      <c r="AK90" s="2537"/>
      <c r="AL90" s="1996"/>
      <c r="AM90" s="1833"/>
      <c r="AN90" s="1833"/>
      <c r="AO90" s="1833"/>
      <c r="AP90" s="1833"/>
      <c r="AQ90" s="1833"/>
      <c r="AR90" s="1833"/>
      <c r="AS90" s="1833"/>
      <c r="AT90" s="1833"/>
      <c r="AU90" s="1833"/>
      <c r="AV90" s="1833"/>
      <c r="AW90" s="1833"/>
      <c r="AX90" s="1833"/>
      <c r="AY90" s="1833"/>
      <c r="AZ90" s="1833"/>
      <c r="BA90" s="1833"/>
      <c r="BB90" s="1833"/>
      <c r="BC90" s="1833"/>
      <c r="BD90" s="1833"/>
      <c r="BE90" s="1833"/>
      <c r="BF90" s="1833"/>
      <c r="BG90" s="1646"/>
    </row>
    <row customHeight="1" ht="11.25">
      <c r="A91" s="1177" t="s">
        <v>1088</v>
      </c>
      <c r="B91" s="1177"/>
      <c r="C91" s="1177"/>
      <c r="D91" s="1171"/>
      <c r="E91" s="1181"/>
      <c r="F91" s="1839"/>
      <c r="G91" s="1840"/>
      <c r="H91" s="2545" t="s">
        <v>93</v>
      </c>
      <c r="I91" s="2546"/>
      <c r="J91" s="2515"/>
      <c r="K91" s="2547"/>
      <c r="L91" s="2137"/>
      <c r="M91" s="2138"/>
      <c r="N91" s="1186"/>
      <c r="O91" s="1187"/>
      <c r="P91" s="1179" t="s">
        <v>1131</v>
      </c>
      <c r="Q91" s="1187"/>
      <c r="R91" s="1187"/>
      <c r="S91" s="1187"/>
      <c r="T91" s="1187"/>
      <c r="U91" s="1187"/>
      <c r="V91" s="1187"/>
      <c r="W91" s="1187"/>
      <c r="X91" s="1187"/>
      <c r="Y91" s="1187"/>
      <c r="Z91" s="1187"/>
      <c r="AA91" s="1187"/>
      <c r="AB91" s="1187"/>
      <c r="AC91" s="1187"/>
      <c r="AD91" s="1187"/>
      <c r="AE91" s="1194"/>
      <c r="AF91" s="2536"/>
      <c r="AG91" s="2537"/>
      <c r="AH91" s="2537"/>
      <c r="AI91" s="2908"/>
      <c r="AJ91" s="2537"/>
      <c r="AK91" s="2537"/>
      <c r="AL91" s="1996"/>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c r="BG91" s="1646"/>
    </row>
    <row customHeight="1" ht="11.25">
      <c r="A92" s="1177" t="s">
        <v>1088</v>
      </c>
      <c r="B92" s="1177" t="s">
        <v>1133</v>
      </c>
      <c r="C92" s="1177"/>
      <c r="D92" s="1171"/>
      <c r="E92" s="1181"/>
      <c r="F92" s="1839"/>
      <c r="G92" s="694" t="s">
        <v>105</v>
      </c>
      <c r="H92" s="2545" t="s">
        <v>122</v>
      </c>
      <c r="I92" s="2546" t="s">
        <v>1134</v>
      </c>
      <c r="J92" s="2515" t="s">
        <v>1135</v>
      </c>
      <c r="K92" s="2547" t="s">
        <v>1150</v>
      </c>
      <c r="L92" s="2137" t="s">
        <v>19</v>
      </c>
      <c r="M92" s="2138"/>
      <c r="N92" s="1994"/>
      <c r="O92" s="1188" t="s">
        <v>390</v>
      </c>
      <c r="P92" s="1189"/>
      <c r="Q92" s="1189"/>
      <c r="R92" s="1189"/>
      <c r="S92" s="1189"/>
      <c r="T92" s="1189"/>
      <c r="U92" s="1189"/>
      <c r="V92" s="1189"/>
      <c r="W92" s="1189"/>
      <c r="X92" s="1189"/>
      <c r="Y92" s="1189"/>
      <c r="Z92" s="1189"/>
      <c r="AA92" s="1189"/>
      <c r="AB92" s="1189"/>
      <c r="AC92" s="1189"/>
      <c r="AD92" s="1189"/>
      <c r="AE92" s="1189"/>
      <c r="AF92" s="2536">
        <v>2025</v>
      </c>
      <c r="AG92" s="2537" t="s">
        <v>1122</v>
      </c>
      <c r="AH92" s="2537" t="s">
        <v>1138</v>
      </c>
      <c r="AI92" s="2908"/>
      <c r="AJ92" s="2537" t="s">
        <v>1145</v>
      </c>
      <c r="AK92" s="2537" t="s">
        <v>1145</v>
      </c>
      <c r="AL92" s="1996"/>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c r="BG92" s="1646"/>
    </row>
    <row customHeight="1" ht="11.25">
      <c r="A93" s="1177" t="s">
        <v>1088</v>
      </c>
      <c r="B93" s="1177"/>
      <c r="C93" s="1177"/>
      <c r="D93" s="1171"/>
      <c r="E93" s="1181"/>
      <c r="F93" s="1839"/>
      <c r="G93" s="1840"/>
      <c r="H93" s="2545" t="s">
        <v>94</v>
      </c>
      <c r="I93" s="2546"/>
      <c r="J93" s="2515"/>
      <c r="K93" s="2547"/>
      <c r="L93" s="2137"/>
      <c r="M93" s="2138"/>
      <c r="N93" s="2538"/>
      <c r="O93" s="2539">
        <v>1</v>
      </c>
      <c r="P93" s="2540" t="s">
        <v>19</v>
      </c>
      <c r="Q93" s="2543" t="s">
        <v>22</v>
      </c>
      <c r="R93" s="2543" t="s">
        <v>22</v>
      </c>
      <c r="S93" s="2543" t="s">
        <v>22</v>
      </c>
      <c r="T93" s="2543" t="s">
        <v>22</v>
      </c>
      <c r="U93" s="2543" t="s">
        <v>22</v>
      </c>
      <c r="V93" s="2543" t="s">
        <v>22</v>
      </c>
      <c r="W93" s="2543" t="s">
        <v>22</v>
      </c>
      <c r="X93" s="2543" t="s">
        <v>22</v>
      </c>
      <c r="Y93" s="2543"/>
      <c r="Z93" s="1186"/>
      <c r="AA93" s="1187"/>
      <c r="AB93" s="1187"/>
      <c r="AC93" s="1191"/>
      <c r="AD93" s="1191"/>
      <c r="AE93" s="1192"/>
      <c r="AF93" s="2536"/>
      <c r="AG93" s="2537"/>
      <c r="AH93" s="2537"/>
      <c r="AI93" s="2908"/>
      <c r="AJ93" s="2537"/>
      <c r="AK93" s="2537"/>
      <c r="AL93" s="1996"/>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c r="BG93" s="1646"/>
    </row>
    <row customHeight="1" ht="11.25">
      <c r="A94" s="1177" t="s">
        <v>1088</v>
      </c>
      <c r="B94" s="1177"/>
      <c r="C94" s="1177"/>
      <c r="D94" s="1171"/>
      <c r="E94" s="1181"/>
      <c r="F94" s="1839"/>
      <c r="G94" s="1840"/>
      <c r="H94" s="2545" t="s">
        <v>94</v>
      </c>
      <c r="I94" s="2546"/>
      <c r="J94" s="2515"/>
      <c r="K94" s="2547"/>
      <c r="L94" s="2137"/>
      <c r="M94" s="2138"/>
      <c r="N94" s="2538"/>
      <c r="O94" s="2539"/>
      <c r="P94" s="2541"/>
      <c r="Q94" s="2543"/>
      <c r="R94" s="2543"/>
      <c r="S94" s="2544"/>
      <c r="T94" s="2543"/>
      <c r="U94" s="2543"/>
      <c r="V94" s="2543"/>
      <c r="W94" s="2543"/>
      <c r="X94" s="2543"/>
      <c r="Y94" s="2543"/>
      <c r="Z94" s="1838"/>
      <c r="AA94" s="1804">
        <v>1</v>
      </c>
      <c r="AB94" s="1190" t="s">
        <v>1139</v>
      </c>
      <c r="AC94" s="1180">
        <v>2382.55</v>
      </c>
      <c r="AD94" s="1190" t="str">
        <f>AB94</f>
        <v>  За счет платы за технологическое присоединение</v>
      </c>
      <c r="AE94" s="1180">
        <v>0</v>
      </c>
      <c r="AF94" s="2536"/>
      <c r="AG94" s="2537"/>
      <c r="AH94" s="2537"/>
      <c r="AI94" s="2908"/>
      <c r="AJ94" s="2537"/>
      <c r="AK94" s="2537"/>
      <c r="AL94" s="1996"/>
      <c r="AM94" s="1833"/>
      <c r="AN94" s="1833"/>
      <c r="AO94" s="1833"/>
      <c r="AP94" s="1833"/>
      <c r="AQ94" s="1833"/>
      <c r="AR94" s="1833"/>
      <c r="AS94" s="1833"/>
      <c r="AT94" s="1833"/>
      <c r="AU94" s="1833"/>
      <c r="AV94" s="1833"/>
      <c r="AW94" s="1833"/>
      <c r="AX94" s="1833"/>
      <c r="AY94" s="1833"/>
      <c r="AZ94" s="1833"/>
      <c r="BA94" s="1833"/>
      <c r="BB94" s="1833"/>
      <c r="BC94" s="1833"/>
      <c r="BD94" s="1833"/>
      <c r="BE94" s="1833"/>
      <c r="BF94" s="1833"/>
      <c r="BG94" s="1646"/>
    </row>
    <row customHeight="1" ht="11.25">
      <c r="A95" s="1177" t="s">
        <v>1088</v>
      </c>
      <c r="B95" s="1177"/>
      <c r="C95" s="1177"/>
      <c r="D95" s="1171"/>
      <c r="E95" s="1181"/>
      <c r="F95" s="1839"/>
      <c r="G95" s="1840"/>
      <c r="H95" s="2545" t="s">
        <v>94</v>
      </c>
      <c r="I95" s="2546"/>
      <c r="J95" s="2515"/>
      <c r="K95" s="2547"/>
      <c r="L95" s="2137"/>
      <c r="M95" s="2138"/>
      <c r="N95" s="2538"/>
      <c r="O95" s="2539"/>
      <c r="P95" s="2542"/>
      <c r="Q95" s="2543"/>
      <c r="R95" s="2543"/>
      <c r="S95" s="2544"/>
      <c r="T95" s="2543"/>
      <c r="U95" s="2543"/>
      <c r="V95" s="2543"/>
      <c r="W95" s="2543"/>
      <c r="X95" s="2543"/>
      <c r="Y95" s="2543"/>
      <c r="Z95" s="1186"/>
      <c r="AA95" s="1187"/>
      <c r="AB95" s="1252" t="s">
        <v>1130</v>
      </c>
      <c r="AC95" s="1191"/>
      <c r="AD95" s="1191"/>
      <c r="AE95" s="1193"/>
      <c r="AF95" s="2536"/>
      <c r="AG95" s="2537"/>
      <c r="AH95" s="2537"/>
      <c r="AI95" s="2908"/>
      <c r="AJ95" s="2537"/>
      <c r="AK95" s="2537"/>
      <c r="AL95" s="1996"/>
      <c r="AM95" s="1833"/>
      <c r="AN95" s="1833"/>
      <c r="AO95" s="1833"/>
      <c r="AP95" s="1833"/>
      <c r="AQ95" s="1833"/>
      <c r="AR95" s="1833"/>
      <c r="AS95" s="1833"/>
      <c r="AT95" s="1833"/>
      <c r="AU95" s="1833"/>
      <c r="AV95" s="1833"/>
      <c r="AW95" s="1833"/>
      <c r="AX95" s="1833"/>
      <c r="AY95" s="1833"/>
      <c r="AZ95" s="1833"/>
      <c r="BA95" s="1833"/>
      <c r="BB95" s="1833"/>
      <c r="BC95" s="1833"/>
      <c r="BD95" s="1833"/>
      <c r="BE95" s="1833"/>
      <c r="BF95" s="1833"/>
      <c r="BG95" s="1646"/>
    </row>
    <row customHeight="1" ht="11.25">
      <c r="A96" s="1177" t="s">
        <v>1088</v>
      </c>
      <c r="B96" s="1177"/>
      <c r="C96" s="1177"/>
      <c r="D96" s="1171"/>
      <c r="E96" s="1181"/>
      <c r="F96" s="1839"/>
      <c r="G96" s="1840"/>
      <c r="H96" s="2545" t="s">
        <v>94</v>
      </c>
      <c r="I96" s="2546"/>
      <c r="J96" s="2515"/>
      <c r="K96" s="2547"/>
      <c r="L96" s="2137"/>
      <c r="M96" s="2138"/>
      <c r="N96" s="1186"/>
      <c r="O96" s="1187"/>
      <c r="P96" s="1179" t="s">
        <v>1131</v>
      </c>
      <c r="Q96" s="1187"/>
      <c r="R96" s="1187"/>
      <c r="S96" s="1187"/>
      <c r="T96" s="1187"/>
      <c r="U96" s="1187"/>
      <c r="V96" s="1187"/>
      <c r="W96" s="1187"/>
      <c r="X96" s="1187"/>
      <c r="Y96" s="1187"/>
      <c r="Z96" s="1187"/>
      <c r="AA96" s="1187"/>
      <c r="AB96" s="1187"/>
      <c r="AC96" s="1187"/>
      <c r="AD96" s="1187"/>
      <c r="AE96" s="1194"/>
      <c r="AF96" s="2536"/>
      <c r="AG96" s="2537"/>
      <c r="AH96" s="2537"/>
      <c r="AI96" s="2908"/>
      <c r="AJ96" s="2537"/>
      <c r="AK96" s="2537"/>
      <c r="AL96" s="1996"/>
      <c r="AM96" s="1833"/>
      <c r="AN96" s="1833"/>
      <c r="AO96" s="1833"/>
      <c r="AP96" s="1833"/>
      <c r="AQ96" s="1833"/>
      <c r="AR96" s="1833"/>
      <c r="AS96" s="1833"/>
      <c r="AT96" s="1833"/>
      <c r="AU96" s="1833"/>
      <c r="AV96" s="1833"/>
      <c r="AW96" s="1833"/>
      <c r="AX96" s="1833"/>
      <c r="AY96" s="1833"/>
      <c r="AZ96" s="1833"/>
      <c r="BA96" s="1833"/>
      <c r="BB96" s="1833"/>
      <c r="BC96" s="1833"/>
      <c r="BD96" s="1833"/>
      <c r="BE96" s="1833"/>
      <c r="BF96" s="1833"/>
      <c r="BG96" s="1646"/>
    </row>
    <row customHeight="1" ht="11.25">
      <c r="A97" s="1177" t="s">
        <v>1088</v>
      </c>
      <c r="B97" s="1177" t="s">
        <v>1133</v>
      </c>
      <c r="C97" s="1177"/>
      <c r="D97" s="1171"/>
      <c r="E97" s="1181"/>
      <c r="F97" s="1839"/>
      <c r="G97" s="694" t="s">
        <v>105</v>
      </c>
      <c r="H97" s="2545" t="s">
        <v>164</v>
      </c>
      <c r="I97" s="2546" t="s">
        <v>1134</v>
      </c>
      <c r="J97" s="2515" t="s">
        <v>1135</v>
      </c>
      <c r="K97" s="2547" t="s">
        <v>1151</v>
      </c>
      <c r="L97" s="2137" t="s">
        <v>19</v>
      </c>
      <c r="M97" s="2138"/>
      <c r="N97" s="1994"/>
      <c r="O97" s="1188" t="s">
        <v>390</v>
      </c>
      <c r="P97" s="1189"/>
      <c r="Q97" s="1189"/>
      <c r="R97" s="1189"/>
      <c r="S97" s="1189"/>
      <c r="T97" s="1189"/>
      <c r="U97" s="1189"/>
      <c r="V97" s="1189"/>
      <c r="W97" s="1189"/>
      <c r="X97" s="1189"/>
      <c r="Y97" s="1189"/>
      <c r="Z97" s="1189"/>
      <c r="AA97" s="1189"/>
      <c r="AB97" s="1189"/>
      <c r="AC97" s="1189"/>
      <c r="AD97" s="1189"/>
      <c r="AE97" s="1189"/>
      <c r="AF97" s="2536">
        <v>2025</v>
      </c>
      <c r="AG97" s="2537" t="s">
        <v>1122</v>
      </c>
      <c r="AH97" s="2537" t="s">
        <v>1138</v>
      </c>
      <c r="AI97" s="2908"/>
      <c r="AJ97" s="2537" t="s">
        <v>1145</v>
      </c>
      <c r="AK97" s="2537" t="s">
        <v>1145</v>
      </c>
      <c r="AL97" s="1996"/>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c r="BG97" s="1646"/>
    </row>
    <row customHeight="1" ht="11.25">
      <c r="A98" s="1177" t="s">
        <v>1088</v>
      </c>
      <c r="B98" s="1177"/>
      <c r="C98" s="1177"/>
      <c r="D98" s="1171"/>
      <c r="E98" s="1181"/>
      <c r="F98" s="1839"/>
      <c r="G98" s="1840"/>
      <c r="H98" s="2545" t="s">
        <v>122</v>
      </c>
      <c r="I98" s="2546"/>
      <c r="J98" s="2515"/>
      <c r="K98" s="2547"/>
      <c r="L98" s="2137"/>
      <c r="M98" s="2138"/>
      <c r="N98" s="2538"/>
      <c r="O98" s="2539">
        <v>1</v>
      </c>
      <c r="P98" s="2540" t="s">
        <v>19</v>
      </c>
      <c r="Q98" s="2543" t="s">
        <v>22</v>
      </c>
      <c r="R98" s="2543" t="s">
        <v>22</v>
      </c>
      <c r="S98" s="2543" t="s">
        <v>22</v>
      </c>
      <c r="T98" s="2543" t="s">
        <v>22</v>
      </c>
      <c r="U98" s="2543" t="s">
        <v>22</v>
      </c>
      <c r="V98" s="2543" t="s">
        <v>22</v>
      </c>
      <c r="W98" s="2543" t="s">
        <v>22</v>
      </c>
      <c r="X98" s="2543" t="s">
        <v>22</v>
      </c>
      <c r="Y98" s="2543"/>
      <c r="Z98" s="1186"/>
      <c r="AA98" s="1187"/>
      <c r="AB98" s="1187"/>
      <c r="AC98" s="1191"/>
      <c r="AD98" s="1191"/>
      <c r="AE98" s="1192"/>
      <c r="AF98" s="2536"/>
      <c r="AG98" s="2537"/>
      <c r="AH98" s="2537"/>
      <c r="AI98" s="2908"/>
      <c r="AJ98" s="2537"/>
      <c r="AK98" s="2537"/>
      <c r="AL98" s="1996"/>
      <c r="AM98" s="1833"/>
      <c r="AN98" s="1833"/>
      <c r="AO98" s="1833"/>
      <c r="AP98" s="1833"/>
      <c r="AQ98" s="1833"/>
      <c r="AR98" s="1833"/>
      <c r="AS98" s="1833"/>
      <c r="AT98" s="1833"/>
      <c r="AU98" s="1833"/>
      <c r="AV98" s="1833"/>
      <c r="AW98" s="1833"/>
      <c r="AX98" s="1833"/>
      <c r="AY98" s="1833"/>
      <c r="AZ98" s="1833"/>
      <c r="BA98" s="1833"/>
      <c r="BB98" s="1833"/>
      <c r="BC98" s="1833"/>
      <c r="BD98" s="1833"/>
      <c r="BE98" s="1833"/>
      <c r="BF98" s="1833"/>
      <c r="BG98" s="1646"/>
    </row>
    <row customHeight="1" ht="11.25">
      <c r="A99" s="1177" t="s">
        <v>1088</v>
      </c>
      <c r="B99" s="1177"/>
      <c r="C99" s="1177"/>
      <c r="D99" s="1171"/>
      <c r="E99" s="1181"/>
      <c r="F99" s="1839"/>
      <c r="G99" s="1840"/>
      <c r="H99" s="2545" t="s">
        <v>122</v>
      </c>
      <c r="I99" s="2546"/>
      <c r="J99" s="2515"/>
      <c r="K99" s="2547"/>
      <c r="L99" s="2137"/>
      <c r="M99" s="2138"/>
      <c r="N99" s="2538"/>
      <c r="O99" s="2539"/>
      <c r="P99" s="2541"/>
      <c r="Q99" s="2543"/>
      <c r="R99" s="2543"/>
      <c r="S99" s="2544"/>
      <c r="T99" s="2543"/>
      <c r="U99" s="2543"/>
      <c r="V99" s="2543"/>
      <c r="W99" s="2543"/>
      <c r="X99" s="2543"/>
      <c r="Y99" s="2543"/>
      <c r="Z99" s="1838"/>
      <c r="AA99" s="1804">
        <v>1</v>
      </c>
      <c r="AB99" s="1190" t="s">
        <v>1139</v>
      </c>
      <c r="AC99" s="1180">
        <v>25.72</v>
      </c>
      <c r="AD99" s="1190" t="str">
        <f>AB99</f>
        <v>  За счет платы за технологическое присоединение</v>
      </c>
      <c r="AE99" s="1180">
        <v>0</v>
      </c>
      <c r="AF99" s="2536"/>
      <c r="AG99" s="2537"/>
      <c r="AH99" s="2537"/>
      <c r="AI99" s="2908"/>
      <c r="AJ99" s="2537"/>
      <c r="AK99" s="2537"/>
      <c r="AL99" s="1996"/>
      <c r="AM99" s="1833"/>
      <c r="AN99" s="1833"/>
      <c r="AO99" s="1833"/>
      <c r="AP99" s="1833"/>
      <c r="AQ99" s="1833"/>
      <c r="AR99" s="1833"/>
      <c r="AS99" s="1833"/>
      <c r="AT99" s="1833"/>
      <c r="AU99" s="1833"/>
      <c r="AV99" s="1833"/>
      <c r="AW99" s="1833"/>
      <c r="AX99" s="1833"/>
      <c r="AY99" s="1833"/>
      <c r="AZ99" s="1833"/>
      <c r="BA99" s="1833"/>
      <c r="BB99" s="1833"/>
      <c r="BC99" s="1833"/>
      <c r="BD99" s="1833"/>
      <c r="BE99" s="1833"/>
      <c r="BF99" s="1833"/>
      <c r="BG99" s="1646"/>
    </row>
    <row customHeight="1" ht="11.25">
      <c r="A100" s="1177" t="s">
        <v>1088</v>
      </c>
      <c r="B100" s="1177"/>
      <c r="C100" s="1177"/>
      <c r="D100" s="1171"/>
      <c r="E100" s="1181"/>
      <c r="F100" s="1839"/>
      <c r="G100" s="1840"/>
      <c r="H100" s="2545" t="s">
        <v>122</v>
      </c>
      <c r="I100" s="2546"/>
      <c r="J100" s="2515"/>
      <c r="K100" s="2547"/>
      <c r="L100" s="2137"/>
      <c r="M100" s="2138"/>
      <c r="N100" s="2538"/>
      <c r="O100" s="2539"/>
      <c r="P100" s="2542"/>
      <c r="Q100" s="2543"/>
      <c r="R100" s="2543"/>
      <c r="S100" s="2544"/>
      <c r="T100" s="2543"/>
      <c r="U100" s="2543"/>
      <c r="V100" s="2543"/>
      <c r="W100" s="2543"/>
      <c r="X100" s="2543"/>
      <c r="Y100" s="2543"/>
      <c r="Z100" s="1186"/>
      <c r="AA100" s="1187"/>
      <c r="AB100" s="1252" t="s">
        <v>1130</v>
      </c>
      <c r="AC100" s="1191"/>
      <c r="AD100" s="1191"/>
      <c r="AE100" s="1193"/>
      <c r="AF100" s="2536"/>
      <c r="AG100" s="2537"/>
      <c r="AH100" s="2537"/>
      <c r="AI100" s="2908"/>
      <c r="AJ100" s="2537"/>
      <c r="AK100" s="2537"/>
      <c r="AL100" s="1996"/>
      <c r="AM100" s="1833"/>
      <c r="AN100" s="1833"/>
      <c r="AO100" s="1833"/>
      <c r="AP100" s="1833"/>
      <c r="AQ100" s="1833"/>
      <c r="AR100" s="1833"/>
      <c r="AS100" s="1833"/>
      <c r="AT100" s="1833"/>
      <c r="AU100" s="1833"/>
      <c r="AV100" s="1833"/>
      <c r="AW100" s="1833"/>
      <c r="AX100" s="1833"/>
      <c r="AY100" s="1833"/>
      <c r="AZ100" s="1833"/>
      <c r="BA100" s="1833"/>
      <c r="BB100" s="1833"/>
      <c r="BC100" s="1833"/>
      <c r="BD100" s="1833"/>
      <c r="BE100" s="1833"/>
      <c r="BF100" s="1833"/>
      <c r="BG100" s="1646"/>
    </row>
    <row customHeight="1" ht="11.25">
      <c r="A101" s="1177" t="s">
        <v>1088</v>
      </c>
      <c r="B101" s="1177"/>
      <c r="C101" s="1177"/>
      <c r="D101" s="1171"/>
      <c r="E101" s="1181"/>
      <c r="F101" s="1839"/>
      <c r="G101" s="1840"/>
      <c r="H101" s="2545" t="s">
        <v>122</v>
      </c>
      <c r="I101" s="2546"/>
      <c r="J101" s="2515"/>
      <c r="K101" s="2547"/>
      <c r="L101" s="2137"/>
      <c r="M101" s="2138"/>
      <c r="N101" s="1186"/>
      <c r="O101" s="1187"/>
      <c r="P101" s="1179" t="s">
        <v>1131</v>
      </c>
      <c r="Q101" s="1187"/>
      <c r="R101" s="1187"/>
      <c r="S101" s="1187"/>
      <c r="T101" s="1187"/>
      <c r="U101" s="1187"/>
      <c r="V101" s="1187"/>
      <c r="W101" s="1187"/>
      <c r="X101" s="1187"/>
      <c r="Y101" s="1187"/>
      <c r="Z101" s="1187"/>
      <c r="AA101" s="1187"/>
      <c r="AB101" s="1187"/>
      <c r="AC101" s="1187"/>
      <c r="AD101" s="1187"/>
      <c r="AE101" s="1194"/>
      <c r="AF101" s="2536"/>
      <c r="AG101" s="2537"/>
      <c r="AH101" s="2537"/>
      <c r="AI101" s="2908"/>
      <c r="AJ101" s="2537"/>
      <c r="AK101" s="2537"/>
      <c r="AL101" s="1996"/>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c r="BG101" s="1646"/>
    </row>
    <row customHeight="1" ht="11.25">
      <c r="A102" s="1177" t="s">
        <v>1088</v>
      </c>
      <c r="B102" s="1177" t="s">
        <v>1133</v>
      </c>
      <c r="C102" s="1177"/>
      <c r="D102" s="1171"/>
      <c r="E102" s="1181"/>
      <c r="F102" s="1839"/>
      <c r="G102" s="694" t="s">
        <v>105</v>
      </c>
      <c r="H102" s="2545" t="s">
        <v>165</v>
      </c>
      <c r="I102" s="2546" t="s">
        <v>1134</v>
      </c>
      <c r="J102" s="2515" t="s">
        <v>1135</v>
      </c>
      <c r="K102" s="2547" t="s">
        <v>1152</v>
      </c>
      <c r="L102" s="2137" t="s">
        <v>19</v>
      </c>
      <c r="M102" s="2138"/>
      <c r="N102" s="1994"/>
      <c r="O102" s="1188" t="s">
        <v>390</v>
      </c>
      <c r="P102" s="1189"/>
      <c r="Q102" s="1189"/>
      <c r="R102" s="1189"/>
      <c r="S102" s="1189"/>
      <c r="T102" s="1189"/>
      <c r="U102" s="1189"/>
      <c r="V102" s="1189"/>
      <c r="W102" s="1189"/>
      <c r="X102" s="1189"/>
      <c r="Y102" s="1189"/>
      <c r="Z102" s="1189"/>
      <c r="AA102" s="1189"/>
      <c r="AB102" s="1189"/>
      <c r="AC102" s="1189"/>
      <c r="AD102" s="1189"/>
      <c r="AE102" s="1189"/>
      <c r="AF102" s="2536">
        <v>2028</v>
      </c>
      <c r="AG102" s="2537" t="s">
        <v>1122</v>
      </c>
      <c r="AH102" s="2537" t="s">
        <v>1153</v>
      </c>
      <c r="AI102" s="2916"/>
      <c r="AJ102" s="2537" t="s">
        <v>1154</v>
      </c>
      <c r="AK102" s="2537" t="s">
        <v>1154</v>
      </c>
      <c r="AL102" s="1996"/>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c r="BG102" s="1646"/>
    </row>
    <row customHeight="1" ht="11.25">
      <c r="A103" s="1177" t="s">
        <v>1088</v>
      </c>
      <c r="B103" s="1177"/>
      <c r="C103" s="1177"/>
      <c r="D103" s="1171"/>
      <c r="E103" s="1181"/>
      <c r="F103" s="1839"/>
      <c r="G103" s="1840"/>
      <c r="H103" s="2545" t="s">
        <v>164</v>
      </c>
      <c r="I103" s="2546"/>
      <c r="J103" s="2515"/>
      <c r="K103" s="2547"/>
      <c r="L103" s="2137"/>
      <c r="M103" s="2138"/>
      <c r="N103" s="2538"/>
      <c r="O103" s="2539">
        <v>1</v>
      </c>
      <c r="P103" s="2540" t="s">
        <v>19</v>
      </c>
      <c r="Q103" s="2543" t="s">
        <v>22</v>
      </c>
      <c r="R103" s="2543" t="s">
        <v>22</v>
      </c>
      <c r="S103" s="2543" t="s">
        <v>22</v>
      </c>
      <c r="T103" s="2543" t="s">
        <v>22</v>
      </c>
      <c r="U103" s="2543" t="s">
        <v>22</v>
      </c>
      <c r="V103" s="2543" t="s">
        <v>22</v>
      </c>
      <c r="W103" s="2543" t="s">
        <v>22</v>
      </c>
      <c r="X103" s="2543" t="s">
        <v>22</v>
      </c>
      <c r="Y103" s="2543"/>
      <c r="Z103" s="1186"/>
      <c r="AA103" s="1187"/>
      <c r="AB103" s="1187"/>
      <c r="AC103" s="1191"/>
      <c r="AD103" s="1191"/>
      <c r="AE103" s="1192"/>
      <c r="AF103" s="2536"/>
      <c r="AG103" s="2537"/>
      <c r="AH103" s="2537"/>
      <c r="AI103" s="2916"/>
      <c r="AJ103" s="2537"/>
      <c r="AK103" s="2537"/>
      <c r="AL103" s="1996"/>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c r="BG103" s="1646"/>
    </row>
    <row customHeight="1" ht="11.25">
      <c r="A104" s="1177" t="s">
        <v>1088</v>
      </c>
      <c r="B104" s="1177"/>
      <c r="C104" s="1177"/>
      <c r="D104" s="1171"/>
      <c r="E104" s="1181"/>
      <c r="F104" s="1839"/>
      <c r="G104" s="1840"/>
      <c r="H104" s="2545" t="s">
        <v>164</v>
      </c>
      <c r="I104" s="2546"/>
      <c r="J104" s="2515"/>
      <c r="K104" s="2547"/>
      <c r="L104" s="2137"/>
      <c r="M104" s="2138"/>
      <c r="N104" s="2538"/>
      <c r="O104" s="2539"/>
      <c r="P104" s="2541"/>
      <c r="Q104" s="2543"/>
      <c r="R104" s="2543"/>
      <c r="S104" s="2544"/>
      <c r="T104" s="2543"/>
      <c r="U104" s="2543"/>
      <c r="V104" s="2543"/>
      <c r="W104" s="2543"/>
      <c r="X104" s="2543"/>
      <c r="Y104" s="2543"/>
      <c r="Z104" s="1838"/>
      <c r="AA104" s="1804">
        <v>1</v>
      </c>
      <c r="AB104" s="1190" t="s">
        <v>1139</v>
      </c>
      <c r="AC104" s="1180">
        <v>15528.65</v>
      </c>
      <c r="AD104" s="1190" t="str">
        <f>AB104</f>
        <v>  За счет платы за технологическое присоединение</v>
      </c>
      <c r="AE104" s="1180">
        <v>0</v>
      </c>
      <c r="AF104" s="2536"/>
      <c r="AG104" s="2537"/>
      <c r="AH104" s="2537"/>
      <c r="AI104" s="2916"/>
      <c r="AJ104" s="2537"/>
      <c r="AK104" s="2537"/>
      <c r="AL104" s="1996"/>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c r="BG104" s="1646"/>
    </row>
    <row customHeight="1" ht="11.25">
      <c r="A105" s="1177" t="s">
        <v>1088</v>
      </c>
      <c r="B105" s="1177"/>
      <c r="C105" s="1177"/>
      <c r="D105" s="1171"/>
      <c r="E105" s="1181"/>
      <c r="F105" s="1839"/>
      <c r="G105" s="1840"/>
      <c r="H105" s="2545" t="s">
        <v>164</v>
      </c>
      <c r="I105" s="2546"/>
      <c r="J105" s="2515"/>
      <c r="K105" s="2547"/>
      <c r="L105" s="2137"/>
      <c r="M105" s="2138"/>
      <c r="N105" s="2538"/>
      <c r="O105" s="2539"/>
      <c r="P105" s="2542"/>
      <c r="Q105" s="2543"/>
      <c r="R105" s="2543"/>
      <c r="S105" s="2544"/>
      <c r="T105" s="2543"/>
      <c r="U105" s="2543"/>
      <c r="V105" s="2543"/>
      <c r="W105" s="2543"/>
      <c r="X105" s="2543"/>
      <c r="Y105" s="2543"/>
      <c r="Z105" s="1186"/>
      <c r="AA105" s="1187"/>
      <c r="AB105" s="1252" t="s">
        <v>1130</v>
      </c>
      <c r="AC105" s="1191"/>
      <c r="AD105" s="1191"/>
      <c r="AE105" s="1193"/>
      <c r="AF105" s="2536"/>
      <c r="AG105" s="2537"/>
      <c r="AH105" s="2537"/>
      <c r="AI105" s="2916"/>
      <c r="AJ105" s="2537"/>
      <c r="AK105" s="2537"/>
      <c r="AL105" s="1996"/>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c r="BG105" s="1646"/>
    </row>
    <row customHeight="1" ht="11.25">
      <c r="A106" s="1177" t="s">
        <v>1088</v>
      </c>
      <c r="B106" s="1177"/>
      <c r="C106" s="1177"/>
      <c r="D106" s="1171"/>
      <c r="E106" s="1181"/>
      <c r="F106" s="1839"/>
      <c r="G106" s="1840"/>
      <c r="H106" s="2545" t="s">
        <v>164</v>
      </c>
      <c r="I106" s="2546"/>
      <c r="J106" s="2515"/>
      <c r="K106" s="2547"/>
      <c r="L106" s="2137"/>
      <c r="M106" s="2138"/>
      <c r="N106" s="1186"/>
      <c r="O106" s="1187"/>
      <c r="P106" s="1179" t="s">
        <v>1131</v>
      </c>
      <c r="Q106" s="1187"/>
      <c r="R106" s="1187"/>
      <c r="S106" s="1187"/>
      <c r="T106" s="1187"/>
      <c r="U106" s="1187"/>
      <c r="V106" s="1187"/>
      <c r="W106" s="1187"/>
      <c r="X106" s="1187"/>
      <c r="Y106" s="1187"/>
      <c r="Z106" s="1187"/>
      <c r="AA106" s="1187"/>
      <c r="AB106" s="1187"/>
      <c r="AC106" s="1187"/>
      <c r="AD106" s="1187"/>
      <c r="AE106" s="1194"/>
      <c r="AF106" s="2536"/>
      <c r="AG106" s="2537"/>
      <c r="AH106" s="2537"/>
      <c r="AI106" s="2916"/>
      <c r="AJ106" s="2537"/>
      <c r="AK106" s="2537"/>
      <c r="AL106" s="1996"/>
      <c r="AM106" s="1833"/>
      <c r="AN106" s="1833"/>
      <c r="AO106" s="1833"/>
      <c r="AP106" s="1833"/>
      <c r="AQ106" s="1833"/>
      <c r="AR106" s="1833"/>
      <c r="AS106" s="1833"/>
      <c r="AT106" s="1833"/>
      <c r="AU106" s="1833"/>
      <c r="AV106" s="1833"/>
      <c r="AW106" s="1833"/>
      <c r="AX106" s="1833"/>
      <c r="AY106" s="1833"/>
      <c r="AZ106" s="1833"/>
      <c r="BA106" s="1833"/>
      <c r="BB106" s="1833"/>
      <c r="BC106" s="1833"/>
      <c r="BD106" s="1833"/>
      <c r="BE106" s="1833"/>
      <c r="BF106" s="1833"/>
      <c r="BG106" s="1646"/>
    </row>
    <row customHeight="1" ht="11.25">
      <c r="A107" s="1177" t="s">
        <v>1088</v>
      </c>
      <c r="B107" s="1177" t="s">
        <v>1155</v>
      </c>
      <c r="C107" s="1177"/>
      <c r="D107" s="1171"/>
      <c r="E107" s="1181"/>
      <c r="F107" s="1839"/>
      <c r="G107" s="694" t="s">
        <v>105</v>
      </c>
      <c r="H107" s="2545" t="s">
        <v>166</v>
      </c>
      <c r="I107" s="2546" t="s">
        <v>1156</v>
      </c>
      <c r="J107" s="2515" t="s">
        <v>1157</v>
      </c>
      <c r="K107" s="2547" t="s">
        <v>1158</v>
      </c>
      <c r="L107" s="2137" t="s">
        <v>19</v>
      </c>
      <c r="M107" s="2138"/>
      <c r="N107" s="1994"/>
      <c r="O107" s="1188" t="s">
        <v>390</v>
      </c>
      <c r="P107" s="1189"/>
      <c r="Q107" s="1189"/>
      <c r="R107" s="1189"/>
      <c r="S107" s="1189"/>
      <c r="T107" s="1189"/>
      <c r="U107" s="1189"/>
      <c r="V107" s="1189"/>
      <c r="W107" s="1189"/>
      <c r="X107" s="1189"/>
      <c r="Y107" s="1189"/>
      <c r="Z107" s="1189"/>
      <c r="AA107" s="1189"/>
      <c r="AB107" s="1189"/>
      <c r="AC107" s="1189"/>
      <c r="AD107" s="1189"/>
      <c r="AE107" s="1189"/>
      <c r="AF107" s="2536">
        <v>2028</v>
      </c>
      <c r="AG107" s="2537" t="s">
        <v>1122</v>
      </c>
      <c r="AH107" s="2537" t="s">
        <v>1153</v>
      </c>
      <c r="AI107" s="2916"/>
      <c r="AJ107" s="2537" t="s">
        <v>1154</v>
      </c>
      <c r="AK107" s="2537" t="s">
        <v>1154</v>
      </c>
      <c r="AL107" s="1996"/>
      <c r="AM107" s="1833"/>
      <c r="AN107" s="1833"/>
      <c r="AO107" s="1833"/>
      <c r="AP107" s="1833"/>
      <c r="AQ107" s="1833"/>
      <c r="AR107" s="1833"/>
      <c r="AS107" s="1833"/>
      <c r="AT107" s="1833"/>
      <c r="AU107" s="1833"/>
      <c r="AV107" s="1833"/>
      <c r="AW107" s="1833"/>
      <c r="AX107" s="1833"/>
      <c r="AY107" s="1833"/>
      <c r="AZ107" s="1833"/>
      <c r="BA107" s="1833"/>
      <c r="BB107" s="1833"/>
      <c r="BC107" s="1833"/>
      <c r="BD107" s="1833"/>
      <c r="BE107" s="1833"/>
      <c r="BF107" s="1833"/>
      <c r="BG107" s="1646"/>
    </row>
    <row customHeight="1" ht="11.25">
      <c r="A108" s="1177" t="s">
        <v>1088</v>
      </c>
      <c r="B108" s="1177"/>
      <c r="C108" s="1177"/>
      <c r="D108" s="1171"/>
      <c r="E108" s="1181"/>
      <c r="F108" s="1839"/>
      <c r="G108" s="1840"/>
      <c r="H108" s="2545" t="s">
        <v>165</v>
      </c>
      <c r="I108" s="2546"/>
      <c r="J108" s="2515"/>
      <c r="K108" s="2547"/>
      <c r="L108" s="2137"/>
      <c r="M108" s="2138"/>
      <c r="N108" s="2538"/>
      <c r="O108" s="2539">
        <v>1</v>
      </c>
      <c r="P108" s="2540" t="s">
        <v>19</v>
      </c>
      <c r="Q108" s="2543" t="s">
        <v>22</v>
      </c>
      <c r="R108" s="2543" t="s">
        <v>22</v>
      </c>
      <c r="S108" s="2543" t="s">
        <v>22</v>
      </c>
      <c r="T108" s="2543" t="s">
        <v>22</v>
      </c>
      <c r="U108" s="2543" t="s">
        <v>22</v>
      </c>
      <c r="V108" s="2543" t="s">
        <v>22</v>
      </c>
      <c r="W108" s="2543" t="s">
        <v>22</v>
      </c>
      <c r="X108" s="2543" t="s">
        <v>22</v>
      </c>
      <c r="Y108" s="2543"/>
      <c r="Z108" s="1186"/>
      <c r="AA108" s="1187"/>
      <c r="AB108" s="1187"/>
      <c r="AC108" s="1191"/>
      <c r="AD108" s="1191"/>
      <c r="AE108" s="1192"/>
      <c r="AF108" s="2536"/>
      <c r="AG108" s="2537"/>
      <c r="AH108" s="2537"/>
      <c r="AI108" s="2916"/>
      <c r="AJ108" s="2537"/>
      <c r="AK108" s="2537"/>
      <c r="AL108" s="1996"/>
      <c r="AM108" s="1833"/>
      <c r="AN108" s="1833"/>
      <c r="AO108" s="1833"/>
      <c r="AP108" s="1833"/>
      <c r="AQ108" s="1833"/>
      <c r="AR108" s="1833"/>
      <c r="AS108" s="1833"/>
      <c r="AT108" s="1833"/>
      <c r="AU108" s="1833"/>
      <c r="AV108" s="1833"/>
      <c r="AW108" s="1833"/>
      <c r="AX108" s="1833"/>
      <c r="AY108" s="1833"/>
      <c r="AZ108" s="1833"/>
      <c r="BA108" s="1833"/>
      <c r="BB108" s="1833"/>
      <c r="BC108" s="1833"/>
      <c r="BD108" s="1833"/>
      <c r="BE108" s="1833"/>
      <c r="BF108" s="1833"/>
      <c r="BG108" s="1646"/>
    </row>
    <row customHeight="1" ht="11.25">
      <c r="A109" s="1177" t="s">
        <v>1088</v>
      </c>
      <c r="B109" s="1177"/>
      <c r="C109" s="1177"/>
      <c r="D109" s="1171"/>
      <c r="E109" s="1181"/>
      <c r="F109" s="1839"/>
      <c r="G109" s="1840"/>
      <c r="H109" s="2545" t="s">
        <v>165</v>
      </c>
      <c r="I109" s="2546"/>
      <c r="J109" s="2515"/>
      <c r="K109" s="2547"/>
      <c r="L109" s="2137"/>
      <c r="M109" s="2138"/>
      <c r="N109" s="2538"/>
      <c r="O109" s="2539"/>
      <c r="P109" s="2541"/>
      <c r="Q109" s="2543"/>
      <c r="R109" s="2543"/>
      <c r="S109" s="2544"/>
      <c r="T109" s="2543"/>
      <c r="U109" s="2543"/>
      <c r="V109" s="2543"/>
      <c r="W109" s="2543"/>
      <c r="X109" s="2543"/>
      <c r="Y109" s="2543"/>
      <c r="Z109" s="1838"/>
      <c r="AA109" s="1804">
        <v>1</v>
      </c>
      <c r="AB109" s="1190" t="s">
        <v>1159</v>
      </c>
      <c r="AC109" s="1180">
        <v>0</v>
      </c>
      <c r="AD109" s="1190" t="str">
        <f>AB109</f>
        <v>      Прочие амортизационные отчисления</v>
      </c>
      <c r="AE109" s="1180">
        <v>539.602</v>
      </c>
      <c r="AF109" s="2536"/>
      <c r="AG109" s="2537"/>
      <c r="AH109" s="2537"/>
      <c r="AI109" s="2916"/>
      <c r="AJ109" s="2537"/>
      <c r="AK109" s="2537"/>
      <c r="AL109" s="1996"/>
      <c r="AM109" s="1833"/>
      <c r="AN109" s="1833"/>
      <c r="AO109" s="1833"/>
      <c r="AP109" s="1833"/>
      <c r="AQ109" s="1833"/>
      <c r="AR109" s="1833"/>
      <c r="AS109" s="1833"/>
      <c r="AT109" s="1833"/>
      <c r="AU109" s="1833"/>
      <c r="AV109" s="1833"/>
      <c r="AW109" s="1833"/>
      <c r="AX109" s="1833"/>
      <c r="AY109" s="1833"/>
      <c r="AZ109" s="1833"/>
      <c r="BA109" s="1833"/>
      <c r="BB109" s="1833"/>
      <c r="BC109" s="1833"/>
      <c r="BD109" s="1833"/>
      <c r="BE109" s="1833"/>
      <c r="BF109" s="1833"/>
      <c r="BG109" s="1646"/>
    </row>
    <row customHeight="1" ht="11.25">
      <c r="A110" s="1177" t="s">
        <v>1088</v>
      </c>
      <c r="B110" s="1177"/>
      <c r="C110" s="1177"/>
      <c r="D110" s="1171"/>
      <c r="E110" s="1181"/>
      <c r="F110" s="1839"/>
      <c r="G110" s="1840"/>
      <c r="H110" s="2545" t="s">
        <v>165</v>
      </c>
      <c r="I110" s="2546"/>
      <c r="J110" s="2515"/>
      <c r="K110" s="2547"/>
      <c r="L110" s="2137"/>
      <c r="M110" s="2138"/>
      <c r="N110" s="2538"/>
      <c r="O110" s="2539"/>
      <c r="P110" s="2542"/>
      <c r="Q110" s="2543"/>
      <c r="R110" s="2543"/>
      <c r="S110" s="2544"/>
      <c r="T110" s="2543"/>
      <c r="U110" s="2543"/>
      <c r="V110" s="2543"/>
      <c r="W110" s="2543"/>
      <c r="X110" s="2543"/>
      <c r="Y110" s="2543"/>
      <c r="Z110" s="1186"/>
      <c r="AA110" s="1187"/>
      <c r="AB110" s="1252" t="s">
        <v>1130</v>
      </c>
      <c r="AC110" s="1191"/>
      <c r="AD110" s="1191"/>
      <c r="AE110" s="1193"/>
      <c r="AF110" s="2536"/>
      <c r="AG110" s="2537"/>
      <c r="AH110" s="2537"/>
      <c r="AI110" s="2916"/>
      <c r="AJ110" s="2537"/>
      <c r="AK110" s="2537"/>
      <c r="AL110" s="1996"/>
      <c r="AM110" s="1833"/>
      <c r="AN110" s="1833"/>
      <c r="AO110" s="1833"/>
      <c r="AP110" s="1833"/>
      <c r="AQ110" s="1833"/>
      <c r="AR110" s="1833"/>
      <c r="AS110" s="1833"/>
      <c r="AT110" s="1833"/>
      <c r="AU110" s="1833"/>
      <c r="AV110" s="1833"/>
      <c r="AW110" s="1833"/>
      <c r="AX110" s="1833"/>
      <c r="AY110" s="1833"/>
      <c r="AZ110" s="1833"/>
      <c r="BA110" s="1833"/>
      <c r="BB110" s="1833"/>
      <c r="BC110" s="1833"/>
      <c r="BD110" s="1833"/>
      <c r="BE110" s="1833"/>
      <c r="BF110" s="1833"/>
      <c r="BG110" s="1646"/>
    </row>
    <row customHeight="1" ht="11.25">
      <c r="A111" s="1177" t="s">
        <v>1088</v>
      </c>
      <c r="B111" s="1177"/>
      <c r="C111" s="1177"/>
      <c r="D111" s="1171"/>
      <c r="E111" s="1181"/>
      <c r="F111" s="1839"/>
      <c r="G111" s="1840"/>
      <c r="H111" s="2545" t="s">
        <v>165</v>
      </c>
      <c r="I111" s="2546"/>
      <c r="J111" s="2515"/>
      <c r="K111" s="2547"/>
      <c r="L111" s="2137"/>
      <c r="M111" s="2138"/>
      <c r="N111" s="1186"/>
      <c r="O111" s="1187"/>
      <c r="P111" s="1179" t="s">
        <v>1131</v>
      </c>
      <c r="Q111" s="1187"/>
      <c r="R111" s="1187"/>
      <c r="S111" s="1187"/>
      <c r="T111" s="1187"/>
      <c r="U111" s="1187"/>
      <c r="V111" s="1187"/>
      <c r="W111" s="1187"/>
      <c r="X111" s="1187"/>
      <c r="Y111" s="1187"/>
      <c r="Z111" s="1187"/>
      <c r="AA111" s="1187"/>
      <c r="AB111" s="1187"/>
      <c r="AC111" s="1187"/>
      <c r="AD111" s="1187"/>
      <c r="AE111" s="1194"/>
      <c r="AF111" s="2536"/>
      <c r="AG111" s="2537"/>
      <c r="AH111" s="2537"/>
      <c r="AI111" s="2916"/>
      <c r="AJ111" s="2537"/>
      <c r="AK111" s="2537"/>
      <c r="AL111" s="1996"/>
      <c r="AM111" s="1833"/>
      <c r="AN111" s="1833"/>
      <c r="AO111" s="1833"/>
      <c r="AP111" s="1833"/>
      <c r="AQ111" s="1833"/>
      <c r="AR111" s="1833"/>
      <c r="AS111" s="1833"/>
      <c r="AT111" s="1833"/>
      <c r="AU111" s="1833"/>
      <c r="AV111" s="1833"/>
      <c r="AW111" s="1833"/>
      <c r="AX111" s="1833"/>
      <c r="AY111" s="1833"/>
      <c r="AZ111" s="1833"/>
      <c r="BA111" s="1833"/>
      <c r="BB111" s="1833"/>
      <c r="BC111" s="1833"/>
      <c r="BD111" s="1833"/>
      <c r="BE111" s="1833"/>
      <c r="BF111" s="1833"/>
      <c r="BG111" s="1646"/>
    </row>
    <row customHeight="1" ht="11.25">
      <c r="A112" s="1177" t="s">
        <v>1088</v>
      </c>
      <c r="B112" s="1177" t="s">
        <v>1155</v>
      </c>
      <c r="C112" s="1177"/>
      <c r="D112" s="1171"/>
      <c r="E112" s="1181"/>
      <c r="F112" s="1839"/>
      <c r="G112" s="694" t="s">
        <v>105</v>
      </c>
      <c r="H112" s="2545" t="s">
        <v>167</v>
      </c>
      <c r="I112" s="2546" t="s">
        <v>1156</v>
      </c>
      <c r="J112" s="2515" t="s">
        <v>1160</v>
      </c>
      <c r="K112" s="2547" t="s">
        <v>1161</v>
      </c>
      <c r="L112" s="2137" t="s">
        <v>19</v>
      </c>
      <c r="M112" s="2138"/>
      <c r="N112" s="1994"/>
      <c r="O112" s="1188" t="s">
        <v>390</v>
      </c>
      <c r="P112" s="1189"/>
      <c r="Q112" s="1189"/>
      <c r="R112" s="1189"/>
      <c r="S112" s="1189"/>
      <c r="T112" s="1189"/>
      <c r="U112" s="1189"/>
      <c r="V112" s="1189"/>
      <c r="W112" s="1189"/>
      <c r="X112" s="1189"/>
      <c r="Y112" s="1189"/>
      <c r="Z112" s="1189"/>
      <c r="AA112" s="1189"/>
      <c r="AB112" s="1189"/>
      <c r="AC112" s="1189"/>
      <c r="AD112" s="1189"/>
      <c r="AE112" s="1189"/>
      <c r="AF112" s="2536">
        <v>2028</v>
      </c>
      <c r="AG112" s="2537" t="s">
        <v>1122</v>
      </c>
      <c r="AH112" s="2537" t="s">
        <v>1153</v>
      </c>
      <c r="AI112" s="2916"/>
      <c r="AJ112" s="2537" t="s">
        <v>1154</v>
      </c>
      <c r="AK112" s="2537" t="s">
        <v>1154</v>
      </c>
      <c r="AL112" s="1996"/>
      <c r="AM112" s="1833"/>
      <c r="AN112" s="1833"/>
      <c r="AO112" s="1833"/>
      <c r="AP112" s="1833"/>
      <c r="AQ112" s="1833"/>
      <c r="AR112" s="1833"/>
      <c r="AS112" s="1833"/>
      <c r="AT112" s="1833"/>
      <c r="AU112" s="1833"/>
      <c r="AV112" s="1833"/>
      <c r="AW112" s="1833"/>
      <c r="AX112" s="1833"/>
      <c r="AY112" s="1833"/>
      <c r="AZ112" s="1833"/>
      <c r="BA112" s="1833"/>
      <c r="BB112" s="1833"/>
      <c r="BC112" s="1833"/>
      <c r="BD112" s="1833"/>
      <c r="BE112" s="1833"/>
      <c r="BF112" s="1833"/>
      <c r="BG112" s="1646"/>
    </row>
    <row customHeight="1" ht="11.25">
      <c r="A113" s="1177" t="s">
        <v>1088</v>
      </c>
      <c r="B113" s="1177"/>
      <c r="C113" s="1177"/>
      <c r="D113" s="1171"/>
      <c r="E113" s="1181"/>
      <c r="F113" s="1839"/>
      <c r="G113" s="1840"/>
      <c r="H113" s="2545" t="s">
        <v>166</v>
      </c>
      <c r="I113" s="2546"/>
      <c r="J113" s="2515"/>
      <c r="K113" s="2547"/>
      <c r="L113" s="2137"/>
      <c r="M113" s="2138"/>
      <c r="N113" s="2538"/>
      <c r="O113" s="2539">
        <v>1</v>
      </c>
      <c r="P113" s="2540" t="s">
        <v>19</v>
      </c>
      <c r="Q113" s="2543" t="s">
        <v>22</v>
      </c>
      <c r="R113" s="2543" t="s">
        <v>22</v>
      </c>
      <c r="S113" s="2543" t="s">
        <v>22</v>
      </c>
      <c r="T113" s="2543" t="s">
        <v>22</v>
      </c>
      <c r="U113" s="2543" t="s">
        <v>22</v>
      </c>
      <c r="V113" s="2543" t="s">
        <v>22</v>
      </c>
      <c r="W113" s="2543" t="s">
        <v>22</v>
      </c>
      <c r="X113" s="2543" t="s">
        <v>22</v>
      </c>
      <c r="Y113" s="2543"/>
      <c r="Z113" s="1186"/>
      <c r="AA113" s="1187"/>
      <c r="AB113" s="1187"/>
      <c r="AC113" s="1191"/>
      <c r="AD113" s="1191"/>
      <c r="AE113" s="1192"/>
      <c r="AF113" s="2536"/>
      <c r="AG113" s="2537"/>
      <c r="AH113" s="2537"/>
      <c r="AI113" s="2916"/>
      <c r="AJ113" s="2537"/>
      <c r="AK113" s="2537"/>
      <c r="AL113" s="1996"/>
      <c r="AM113" s="1833"/>
      <c r="AN113" s="1833"/>
      <c r="AO113" s="1833"/>
      <c r="AP113" s="1833"/>
      <c r="AQ113" s="1833"/>
      <c r="AR113" s="1833"/>
      <c r="AS113" s="1833"/>
      <c r="AT113" s="1833"/>
      <c r="AU113" s="1833"/>
      <c r="AV113" s="1833"/>
      <c r="AW113" s="1833"/>
      <c r="AX113" s="1833"/>
      <c r="AY113" s="1833"/>
      <c r="AZ113" s="1833"/>
      <c r="BA113" s="1833"/>
      <c r="BB113" s="1833"/>
      <c r="BC113" s="1833"/>
      <c r="BD113" s="1833"/>
      <c r="BE113" s="1833"/>
      <c r="BF113" s="1833"/>
      <c r="BG113" s="1646"/>
    </row>
    <row customHeight="1" ht="11.25">
      <c r="A114" s="1177" t="s">
        <v>1088</v>
      </c>
      <c r="B114" s="1177"/>
      <c r="C114" s="1177"/>
      <c r="D114" s="1171"/>
      <c r="E114" s="1181"/>
      <c r="F114" s="1839"/>
      <c r="G114" s="1840"/>
      <c r="H114" s="2545" t="s">
        <v>166</v>
      </c>
      <c r="I114" s="2546"/>
      <c r="J114" s="2515"/>
      <c r="K114" s="2547"/>
      <c r="L114" s="2137"/>
      <c r="M114" s="2138"/>
      <c r="N114" s="2538"/>
      <c r="O114" s="2539"/>
      <c r="P114" s="2541"/>
      <c r="Q114" s="2543"/>
      <c r="R114" s="2543"/>
      <c r="S114" s="2544"/>
      <c r="T114" s="2543"/>
      <c r="U114" s="2543"/>
      <c r="V114" s="2543"/>
      <c r="W114" s="2543"/>
      <c r="X114" s="2543"/>
      <c r="Y114" s="2543"/>
      <c r="Z114" s="1838"/>
      <c r="AA114" s="1804">
        <v>1</v>
      </c>
      <c r="AB114" s="1190" t="s">
        <v>1159</v>
      </c>
      <c r="AC114" s="1180">
        <v>0</v>
      </c>
      <c r="AD114" s="1190" t="str">
        <f>AB114</f>
        <v>      Прочие амортизационные отчисления</v>
      </c>
      <c r="AE114" s="1180">
        <v>915</v>
      </c>
      <c r="AF114" s="2536"/>
      <c r="AG114" s="2537"/>
      <c r="AH114" s="2537"/>
      <c r="AI114" s="2916"/>
      <c r="AJ114" s="2537"/>
      <c r="AK114" s="2537"/>
      <c r="AL114" s="1996"/>
      <c r="AM114" s="1833"/>
      <c r="AN114" s="1833"/>
      <c r="AO114" s="1833"/>
      <c r="AP114" s="1833"/>
      <c r="AQ114" s="1833"/>
      <c r="AR114" s="1833"/>
      <c r="AS114" s="1833"/>
      <c r="AT114" s="1833"/>
      <c r="AU114" s="1833"/>
      <c r="AV114" s="1833"/>
      <c r="AW114" s="1833"/>
      <c r="AX114" s="1833"/>
      <c r="AY114" s="1833"/>
      <c r="AZ114" s="1833"/>
      <c r="BA114" s="1833"/>
      <c r="BB114" s="1833"/>
      <c r="BC114" s="1833"/>
      <c r="BD114" s="1833"/>
      <c r="BE114" s="1833"/>
      <c r="BF114" s="1833"/>
      <c r="BG114" s="1646"/>
    </row>
    <row customHeight="1" ht="11.25">
      <c r="A115" s="1177" t="s">
        <v>1088</v>
      </c>
      <c r="B115" s="1177"/>
      <c r="C115" s="1177"/>
      <c r="D115" s="1171"/>
      <c r="E115" s="1181"/>
      <c r="F115" s="1839"/>
      <c r="G115" s="1840"/>
      <c r="H115" s="2545" t="s">
        <v>166</v>
      </c>
      <c r="I115" s="2546"/>
      <c r="J115" s="2515"/>
      <c r="K115" s="2547"/>
      <c r="L115" s="2137"/>
      <c r="M115" s="2138"/>
      <c r="N115" s="2538"/>
      <c r="O115" s="2539"/>
      <c r="P115" s="2542"/>
      <c r="Q115" s="2543"/>
      <c r="R115" s="2543"/>
      <c r="S115" s="2544"/>
      <c r="T115" s="2543"/>
      <c r="U115" s="2543"/>
      <c r="V115" s="2543"/>
      <c r="W115" s="2543"/>
      <c r="X115" s="2543"/>
      <c r="Y115" s="2543"/>
      <c r="Z115" s="1186"/>
      <c r="AA115" s="1187"/>
      <c r="AB115" s="1252" t="s">
        <v>1130</v>
      </c>
      <c r="AC115" s="1191"/>
      <c r="AD115" s="1191"/>
      <c r="AE115" s="1193"/>
      <c r="AF115" s="2536"/>
      <c r="AG115" s="2537"/>
      <c r="AH115" s="2537"/>
      <c r="AI115" s="2916"/>
      <c r="AJ115" s="2537"/>
      <c r="AK115" s="2537"/>
      <c r="AL115" s="1996"/>
      <c r="AM115" s="1833"/>
      <c r="AN115" s="1833"/>
      <c r="AO115" s="1833"/>
      <c r="AP115" s="1833"/>
      <c r="AQ115" s="1833"/>
      <c r="AR115" s="1833"/>
      <c r="AS115" s="1833"/>
      <c r="AT115" s="1833"/>
      <c r="AU115" s="1833"/>
      <c r="AV115" s="1833"/>
      <c r="AW115" s="1833"/>
      <c r="AX115" s="1833"/>
      <c r="AY115" s="1833"/>
      <c r="AZ115" s="1833"/>
      <c r="BA115" s="1833"/>
      <c r="BB115" s="1833"/>
      <c r="BC115" s="1833"/>
      <c r="BD115" s="1833"/>
      <c r="BE115" s="1833"/>
      <c r="BF115" s="1833"/>
      <c r="BG115" s="1646"/>
    </row>
    <row customHeight="1" ht="11.25">
      <c r="A116" s="1177" t="s">
        <v>1088</v>
      </c>
      <c r="B116" s="1177"/>
      <c r="C116" s="1177"/>
      <c r="D116" s="1171"/>
      <c r="E116" s="1181"/>
      <c r="F116" s="1839"/>
      <c r="G116" s="1840"/>
      <c r="H116" s="2545" t="s">
        <v>166</v>
      </c>
      <c r="I116" s="2546"/>
      <c r="J116" s="2515"/>
      <c r="K116" s="2547"/>
      <c r="L116" s="2137"/>
      <c r="M116" s="2138"/>
      <c r="N116" s="1186"/>
      <c r="O116" s="1187"/>
      <c r="P116" s="1179" t="s">
        <v>1131</v>
      </c>
      <c r="Q116" s="1187"/>
      <c r="R116" s="1187"/>
      <c r="S116" s="1187"/>
      <c r="T116" s="1187"/>
      <c r="U116" s="1187"/>
      <c r="V116" s="1187"/>
      <c r="W116" s="1187"/>
      <c r="X116" s="1187"/>
      <c r="Y116" s="1187"/>
      <c r="Z116" s="1187"/>
      <c r="AA116" s="1187"/>
      <c r="AB116" s="1187"/>
      <c r="AC116" s="1187"/>
      <c r="AD116" s="1187"/>
      <c r="AE116" s="1194"/>
      <c r="AF116" s="2536"/>
      <c r="AG116" s="2537"/>
      <c r="AH116" s="2537"/>
      <c r="AI116" s="2916"/>
      <c r="AJ116" s="2537"/>
      <c r="AK116" s="2537"/>
      <c r="AL116" s="1996"/>
      <c r="AM116" s="1833"/>
      <c r="AN116" s="1833"/>
      <c r="AO116" s="1833"/>
      <c r="AP116" s="1833"/>
      <c r="AQ116" s="1833"/>
      <c r="AR116" s="1833"/>
      <c r="AS116" s="1833"/>
      <c r="AT116" s="1833"/>
      <c r="AU116" s="1833"/>
      <c r="AV116" s="1833"/>
      <c r="AW116" s="1833"/>
      <c r="AX116" s="1833"/>
      <c r="AY116" s="1833"/>
      <c r="AZ116" s="1833"/>
      <c r="BA116" s="1833"/>
      <c r="BB116" s="1833"/>
      <c r="BC116" s="1833"/>
      <c r="BD116" s="1833"/>
      <c r="BE116" s="1833"/>
      <c r="BF116" s="1833"/>
      <c r="BG116" s="1646"/>
    </row>
    <row customHeight="1" ht="11.25">
      <c r="A117" s="1177" t="s">
        <v>1088</v>
      </c>
      <c r="B117" s="1177" t="s">
        <v>1155</v>
      </c>
      <c r="C117" s="1177"/>
      <c r="D117" s="1171"/>
      <c r="E117" s="1181"/>
      <c r="F117" s="1839"/>
      <c r="G117" s="694" t="s">
        <v>105</v>
      </c>
      <c r="H117" s="2545" t="s">
        <v>168</v>
      </c>
      <c r="I117" s="2546" t="s">
        <v>1156</v>
      </c>
      <c r="J117" s="2515" t="s">
        <v>1160</v>
      </c>
      <c r="K117" s="2547" t="s">
        <v>1162</v>
      </c>
      <c r="L117" s="2137" t="s">
        <v>19</v>
      </c>
      <c r="M117" s="2138"/>
      <c r="N117" s="1994"/>
      <c r="O117" s="1188" t="s">
        <v>390</v>
      </c>
      <c r="P117" s="1189"/>
      <c r="Q117" s="1189"/>
      <c r="R117" s="1189"/>
      <c r="S117" s="1189"/>
      <c r="T117" s="1189"/>
      <c r="U117" s="1189"/>
      <c r="V117" s="1189"/>
      <c r="W117" s="1189"/>
      <c r="X117" s="1189"/>
      <c r="Y117" s="1189"/>
      <c r="Z117" s="1189"/>
      <c r="AA117" s="1189"/>
      <c r="AB117" s="1189"/>
      <c r="AC117" s="1189"/>
      <c r="AD117" s="1189"/>
      <c r="AE117" s="1189"/>
      <c r="AF117" s="2536">
        <v>2028</v>
      </c>
      <c r="AG117" s="2537" t="s">
        <v>1122</v>
      </c>
      <c r="AH117" s="2537" t="s">
        <v>1153</v>
      </c>
      <c r="AI117" s="2916"/>
      <c r="AJ117" s="2537" t="s">
        <v>1154</v>
      </c>
      <c r="AK117" s="2537" t="s">
        <v>1154</v>
      </c>
      <c r="AL117" s="1996"/>
      <c r="AM117" s="1833"/>
      <c r="AN117" s="1833"/>
      <c r="AO117" s="1833"/>
      <c r="AP117" s="1833"/>
      <c r="AQ117" s="1833"/>
      <c r="AR117" s="1833"/>
      <c r="AS117" s="1833"/>
      <c r="AT117" s="1833"/>
      <c r="AU117" s="1833"/>
      <c r="AV117" s="1833"/>
      <c r="AW117" s="1833"/>
      <c r="AX117" s="1833"/>
      <c r="AY117" s="1833"/>
      <c r="AZ117" s="1833"/>
      <c r="BA117" s="1833"/>
      <c r="BB117" s="1833"/>
      <c r="BC117" s="1833"/>
      <c r="BD117" s="1833"/>
      <c r="BE117" s="1833"/>
      <c r="BF117" s="1833"/>
      <c r="BG117" s="1646"/>
    </row>
    <row customHeight="1" ht="11.25">
      <c r="A118" s="1177" t="s">
        <v>1088</v>
      </c>
      <c r="B118" s="1177"/>
      <c r="C118" s="1177"/>
      <c r="D118" s="1171"/>
      <c r="E118" s="1181"/>
      <c r="F118" s="1839"/>
      <c r="G118" s="1840"/>
      <c r="H118" s="2545" t="s">
        <v>167</v>
      </c>
      <c r="I118" s="2546"/>
      <c r="J118" s="2515"/>
      <c r="K118" s="2547"/>
      <c r="L118" s="2137"/>
      <c r="M118" s="2138"/>
      <c r="N118" s="2538"/>
      <c r="O118" s="2539">
        <v>1</v>
      </c>
      <c r="P118" s="2540" t="s">
        <v>19</v>
      </c>
      <c r="Q118" s="2543" t="s">
        <v>22</v>
      </c>
      <c r="R118" s="2543" t="s">
        <v>22</v>
      </c>
      <c r="S118" s="2543" t="s">
        <v>22</v>
      </c>
      <c r="T118" s="2543" t="s">
        <v>22</v>
      </c>
      <c r="U118" s="2543" t="s">
        <v>22</v>
      </c>
      <c r="V118" s="2543" t="s">
        <v>22</v>
      </c>
      <c r="W118" s="2543" t="s">
        <v>22</v>
      </c>
      <c r="X118" s="2543" t="s">
        <v>22</v>
      </c>
      <c r="Y118" s="2543"/>
      <c r="Z118" s="1186"/>
      <c r="AA118" s="1187"/>
      <c r="AB118" s="1187"/>
      <c r="AC118" s="1191"/>
      <c r="AD118" s="1191"/>
      <c r="AE118" s="1192"/>
      <c r="AF118" s="2536"/>
      <c r="AG118" s="2537"/>
      <c r="AH118" s="2537"/>
      <c r="AI118" s="2916"/>
      <c r="AJ118" s="2537"/>
      <c r="AK118" s="2537"/>
      <c r="AL118" s="1996"/>
      <c r="AM118" s="1833"/>
      <c r="AN118" s="1833"/>
      <c r="AO118" s="1833"/>
      <c r="AP118" s="1833"/>
      <c r="AQ118" s="1833"/>
      <c r="AR118" s="1833"/>
      <c r="AS118" s="1833"/>
      <c r="AT118" s="1833"/>
      <c r="AU118" s="1833"/>
      <c r="AV118" s="1833"/>
      <c r="AW118" s="1833"/>
      <c r="AX118" s="1833"/>
      <c r="AY118" s="1833"/>
      <c r="AZ118" s="1833"/>
      <c r="BA118" s="1833"/>
      <c r="BB118" s="1833"/>
      <c r="BC118" s="1833"/>
      <c r="BD118" s="1833"/>
      <c r="BE118" s="1833"/>
      <c r="BF118" s="1833"/>
      <c r="BG118" s="1646"/>
    </row>
    <row customHeight="1" ht="11.25">
      <c r="A119" s="1177" t="s">
        <v>1088</v>
      </c>
      <c r="B119" s="1177"/>
      <c r="C119" s="1177"/>
      <c r="D119" s="1171"/>
      <c r="E119" s="1181"/>
      <c r="F119" s="1839"/>
      <c r="G119" s="1840"/>
      <c r="H119" s="2545" t="s">
        <v>167</v>
      </c>
      <c r="I119" s="2546"/>
      <c r="J119" s="2515"/>
      <c r="K119" s="2547"/>
      <c r="L119" s="2137"/>
      <c r="M119" s="2138"/>
      <c r="N119" s="2538"/>
      <c r="O119" s="2539"/>
      <c r="P119" s="2541"/>
      <c r="Q119" s="2543"/>
      <c r="R119" s="2543"/>
      <c r="S119" s="2544"/>
      <c r="T119" s="2543"/>
      <c r="U119" s="2543"/>
      <c r="V119" s="2543"/>
      <c r="W119" s="2543"/>
      <c r="X119" s="2543"/>
      <c r="Y119" s="2543"/>
      <c r="Z119" s="1838"/>
      <c r="AA119" s="1804">
        <v>1</v>
      </c>
      <c r="AB119" s="1190" t="s">
        <v>1159</v>
      </c>
      <c r="AC119" s="1180">
        <v>0</v>
      </c>
      <c r="AD119" s="1190" t="str">
        <f>AB119</f>
        <v>      Прочие амортизационные отчисления</v>
      </c>
      <c r="AE119" s="1180">
        <v>840</v>
      </c>
      <c r="AF119" s="2536"/>
      <c r="AG119" s="2537"/>
      <c r="AH119" s="2537"/>
      <c r="AI119" s="2916"/>
      <c r="AJ119" s="2537"/>
      <c r="AK119" s="2537"/>
      <c r="AL119" s="1996"/>
      <c r="AM119" s="1833"/>
      <c r="AN119" s="1833"/>
      <c r="AO119" s="1833"/>
      <c r="AP119" s="1833"/>
      <c r="AQ119" s="1833"/>
      <c r="AR119" s="1833"/>
      <c r="AS119" s="1833"/>
      <c r="AT119" s="1833"/>
      <c r="AU119" s="1833"/>
      <c r="AV119" s="1833"/>
      <c r="AW119" s="1833"/>
      <c r="AX119" s="1833"/>
      <c r="AY119" s="1833"/>
      <c r="AZ119" s="1833"/>
      <c r="BA119" s="1833"/>
      <c r="BB119" s="1833"/>
      <c r="BC119" s="1833"/>
      <c r="BD119" s="1833"/>
      <c r="BE119" s="1833"/>
      <c r="BF119" s="1833"/>
      <c r="BG119" s="1646"/>
    </row>
    <row customHeight="1" ht="11.25">
      <c r="A120" s="1177" t="s">
        <v>1088</v>
      </c>
      <c r="B120" s="1177"/>
      <c r="C120" s="1177"/>
      <c r="D120" s="1171"/>
      <c r="E120" s="1181"/>
      <c r="F120" s="1839"/>
      <c r="G120" s="1840"/>
      <c r="H120" s="2545" t="s">
        <v>167</v>
      </c>
      <c r="I120" s="2546"/>
      <c r="J120" s="2515"/>
      <c r="K120" s="2547"/>
      <c r="L120" s="2137"/>
      <c r="M120" s="2138"/>
      <c r="N120" s="2538"/>
      <c r="O120" s="2539"/>
      <c r="P120" s="2542"/>
      <c r="Q120" s="2543"/>
      <c r="R120" s="2543"/>
      <c r="S120" s="2544"/>
      <c r="T120" s="2543"/>
      <c r="U120" s="2543"/>
      <c r="V120" s="2543"/>
      <c r="W120" s="2543"/>
      <c r="X120" s="2543"/>
      <c r="Y120" s="2543"/>
      <c r="Z120" s="1186"/>
      <c r="AA120" s="1187"/>
      <c r="AB120" s="1252" t="s">
        <v>1130</v>
      </c>
      <c r="AC120" s="1191"/>
      <c r="AD120" s="1191"/>
      <c r="AE120" s="1193"/>
      <c r="AF120" s="2536"/>
      <c r="AG120" s="2537"/>
      <c r="AH120" s="2537"/>
      <c r="AI120" s="2916"/>
      <c r="AJ120" s="2537"/>
      <c r="AK120" s="2537"/>
      <c r="AL120" s="1996"/>
      <c r="AM120" s="1833"/>
      <c r="AN120" s="1833"/>
      <c r="AO120" s="1833"/>
      <c r="AP120" s="1833"/>
      <c r="AQ120" s="1833"/>
      <c r="AR120" s="1833"/>
      <c r="AS120" s="1833"/>
      <c r="AT120" s="1833"/>
      <c r="AU120" s="1833"/>
      <c r="AV120" s="1833"/>
      <c r="AW120" s="1833"/>
      <c r="AX120" s="1833"/>
      <c r="AY120" s="1833"/>
      <c r="AZ120" s="1833"/>
      <c r="BA120" s="1833"/>
      <c r="BB120" s="1833"/>
      <c r="BC120" s="1833"/>
      <c r="BD120" s="1833"/>
      <c r="BE120" s="1833"/>
      <c r="BF120" s="1833"/>
      <c r="BG120" s="1646"/>
    </row>
    <row customHeight="1" ht="11.25">
      <c r="A121" s="1177" t="s">
        <v>1088</v>
      </c>
      <c r="B121" s="1177"/>
      <c r="C121" s="1177"/>
      <c r="D121" s="1171"/>
      <c r="E121" s="1181"/>
      <c r="F121" s="1839"/>
      <c r="G121" s="1840"/>
      <c r="H121" s="2545" t="s">
        <v>167</v>
      </c>
      <c r="I121" s="2546"/>
      <c r="J121" s="2515"/>
      <c r="K121" s="2547"/>
      <c r="L121" s="2137"/>
      <c r="M121" s="2138"/>
      <c r="N121" s="1186"/>
      <c r="O121" s="1187"/>
      <c r="P121" s="1179" t="s">
        <v>1131</v>
      </c>
      <c r="Q121" s="1187"/>
      <c r="R121" s="1187"/>
      <c r="S121" s="1187"/>
      <c r="T121" s="1187"/>
      <c r="U121" s="1187"/>
      <c r="V121" s="1187"/>
      <c r="W121" s="1187"/>
      <c r="X121" s="1187"/>
      <c r="Y121" s="1187"/>
      <c r="Z121" s="1187"/>
      <c r="AA121" s="1187"/>
      <c r="AB121" s="1187"/>
      <c r="AC121" s="1187"/>
      <c r="AD121" s="1187"/>
      <c r="AE121" s="1194"/>
      <c r="AF121" s="2536"/>
      <c r="AG121" s="2537"/>
      <c r="AH121" s="2537"/>
      <c r="AI121" s="2916"/>
      <c r="AJ121" s="2537"/>
      <c r="AK121" s="2537"/>
      <c r="AL121" s="1996"/>
      <c r="AM121" s="1833"/>
      <c r="AN121" s="1833"/>
      <c r="AO121" s="1833"/>
      <c r="AP121" s="1833"/>
      <c r="AQ121" s="1833"/>
      <c r="AR121" s="1833"/>
      <c r="AS121" s="1833"/>
      <c r="AT121" s="1833"/>
      <c r="AU121" s="1833"/>
      <c r="AV121" s="1833"/>
      <c r="AW121" s="1833"/>
      <c r="AX121" s="1833"/>
      <c r="AY121" s="1833"/>
      <c r="AZ121" s="1833"/>
      <c r="BA121" s="1833"/>
      <c r="BB121" s="1833"/>
      <c r="BC121" s="1833"/>
      <c r="BD121" s="1833"/>
      <c r="BE121" s="1833"/>
      <c r="BF121" s="1833"/>
      <c r="BG121" s="1646"/>
    </row>
    <row customHeight="1" ht="11.25">
      <c r="A122" s="1177" t="s">
        <v>1088</v>
      </c>
      <c r="B122" s="1177" t="s">
        <v>1155</v>
      </c>
      <c r="C122" s="1177"/>
      <c r="D122" s="1171"/>
      <c r="E122" s="1181"/>
      <c r="F122" s="1839"/>
      <c r="G122" s="694" t="s">
        <v>105</v>
      </c>
      <c r="H122" s="2545" t="s">
        <v>169</v>
      </c>
      <c r="I122" s="2546" t="s">
        <v>1156</v>
      </c>
      <c r="J122" s="2515" t="s">
        <v>1160</v>
      </c>
      <c r="K122" s="2547" t="s">
        <v>1163</v>
      </c>
      <c r="L122" s="2137" t="s">
        <v>19</v>
      </c>
      <c r="M122" s="2138"/>
      <c r="N122" s="1994"/>
      <c r="O122" s="1188" t="s">
        <v>390</v>
      </c>
      <c r="P122" s="1189"/>
      <c r="Q122" s="1189"/>
      <c r="R122" s="1189"/>
      <c r="S122" s="1189"/>
      <c r="T122" s="1189"/>
      <c r="U122" s="1189"/>
      <c r="V122" s="1189"/>
      <c r="W122" s="1189"/>
      <c r="X122" s="1189"/>
      <c r="Y122" s="1189"/>
      <c r="Z122" s="1189"/>
      <c r="AA122" s="1189"/>
      <c r="AB122" s="1189"/>
      <c r="AC122" s="1189"/>
      <c r="AD122" s="1189"/>
      <c r="AE122" s="1189"/>
      <c r="AF122" s="2536">
        <v>2027</v>
      </c>
      <c r="AG122" s="2537" t="s">
        <v>1122</v>
      </c>
      <c r="AH122" s="2537" t="s">
        <v>1164</v>
      </c>
      <c r="AI122" s="2916"/>
      <c r="AJ122" s="2537" t="s">
        <v>1154</v>
      </c>
      <c r="AK122" s="2537" t="s">
        <v>1154</v>
      </c>
      <c r="AL122" s="1996"/>
      <c r="AM122" s="1833"/>
      <c r="AN122" s="1833"/>
      <c r="AO122" s="1833"/>
      <c r="AP122" s="1833"/>
      <c r="AQ122" s="1833"/>
      <c r="AR122" s="1833"/>
      <c r="AS122" s="1833"/>
      <c r="AT122" s="1833"/>
      <c r="AU122" s="1833"/>
      <c r="AV122" s="1833"/>
      <c r="AW122" s="1833"/>
      <c r="AX122" s="1833"/>
      <c r="AY122" s="1833"/>
      <c r="AZ122" s="1833"/>
      <c r="BA122" s="1833"/>
      <c r="BB122" s="1833"/>
      <c r="BC122" s="1833"/>
      <c r="BD122" s="1833"/>
      <c r="BE122" s="1833"/>
      <c r="BF122" s="1833"/>
      <c r="BG122" s="1646"/>
    </row>
    <row customHeight="1" ht="11.25">
      <c r="A123" s="1177" t="s">
        <v>1088</v>
      </c>
      <c r="B123" s="1177"/>
      <c r="C123" s="1177"/>
      <c r="D123" s="1171"/>
      <c r="E123" s="1181"/>
      <c r="F123" s="1839"/>
      <c r="G123" s="1840"/>
      <c r="H123" s="2545" t="s">
        <v>168</v>
      </c>
      <c r="I123" s="2546"/>
      <c r="J123" s="2515"/>
      <c r="K123" s="2547"/>
      <c r="L123" s="2137"/>
      <c r="M123" s="2138"/>
      <c r="N123" s="2538"/>
      <c r="O123" s="2539">
        <v>1</v>
      </c>
      <c r="P123" s="2540" t="s">
        <v>19</v>
      </c>
      <c r="Q123" s="2543" t="s">
        <v>22</v>
      </c>
      <c r="R123" s="2543" t="s">
        <v>22</v>
      </c>
      <c r="S123" s="2543" t="s">
        <v>22</v>
      </c>
      <c r="T123" s="2543" t="s">
        <v>22</v>
      </c>
      <c r="U123" s="2543" t="s">
        <v>22</v>
      </c>
      <c r="V123" s="2543" t="s">
        <v>22</v>
      </c>
      <c r="W123" s="2543" t="s">
        <v>22</v>
      </c>
      <c r="X123" s="2543" t="s">
        <v>22</v>
      </c>
      <c r="Y123" s="2543"/>
      <c r="Z123" s="1186"/>
      <c r="AA123" s="1187"/>
      <c r="AB123" s="1187"/>
      <c r="AC123" s="1191"/>
      <c r="AD123" s="1191"/>
      <c r="AE123" s="1192"/>
      <c r="AF123" s="2536"/>
      <c r="AG123" s="2537"/>
      <c r="AH123" s="2537"/>
      <c r="AI123" s="2916"/>
      <c r="AJ123" s="2537"/>
      <c r="AK123" s="2537"/>
      <c r="AL123" s="1996"/>
      <c r="AM123" s="1833"/>
      <c r="AN123" s="1833"/>
      <c r="AO123" s="1833"/>
      <c r="AP123" s="1833"/>
      <c r="AQ123" s="1833"/>
      <c r="AR123" s="1833"/>
      <c r="AS123" s="1833"/>
      <c r="AT123" s="1833"/>
      <c r="AU123" s="1833"/>
      <c r="AV123" s="1833"/>
      <c r="AW123" s="1833"/>
      <c r="AX123" s="1833"/>
      <c r="AY123" s="1833"/>
      <c r="AZ123" s="1833"/>
      <c r="BA123" s="1833"/>
      <c r="BB123" s="1833"/>
      <c r="BC123" s="1833"/>
      <c r="BD123" s="1833"/>
      <c r="BE123" s="1833"/>
      <c r="BF123" s="1833"/>
      <c r="BG123" s="1646"/>
    </row>
    <row customHeight="1" ht="11.25">
      <c r="A124" s="1177" t="s">
        <v>1088</v>
      </c>
      <c r="B124" s="1177"/>
      <c r="C124" s="1177"/>
      <c r="D124" s="1171"/>
      <c r="E124" s="1181"/>
      <c r="F124" s="1839"/>
      <c r="G124" s="1840"/>
      <c r="H124" s="2545" t="s">
        <v>168</v>
      </c>
      <c r="I124" s="2546"/>
      <c r="J124" s="2515"/>
      <c r="K124" s="2547"/>
      <c r="L124" s="2137"/>
      <c r="M124" s="2138"/>
      <c r="N124" s="2538"/>
      <c r="O124" s="2539"/>
      <c r="P124" s="2541"/>
      <c r="Q124" s="2543"/>
      <c r="R124" s="2543"/>
      <c r="S124" s="2544"/>
      <c r="T124" s="2543"/>
      <c r="U124" s="2543"/>
      <c r="V124" s="2543"/>
      <c r="W124" s="2543"/>
      <c r="X124" s="2543"/>
      <c r="Y124" s="2543"/>
      <c r="Z124" s="1838"/>
      <c r="AA124" s="1804">
        <v>1</v>
      </c>
      <c r="AB124" s="1190" t="s">
        <v>1159</v>
      </c>
      <c r="AC124" s="1180">
        <v>0</v>
      </c>
      <c r="AD124" s="1190" t="str">
        <f>AB124</f>
        <v>      Прочие амортизационные отчисления</v>
      </c>
      <c r="AE124" s="1180">
        <v>580</v>
      </c>
      <c r="AF124" s="2536"/>
      <c r="AG124" s="2537"/>
      <c r="AH124" s="2537"/>
      <c r="AI124" s="2916"/>
      <c r="AJ124" s="2537"/>
      <c r="AK124" s="2537"/>
      <c r="AL124" s="1996"/>
      <c r="AM124" s="1833"/>
      <c r="AN124" s="1833"/>
      <c r="AO124" s="1833"/>
      <c r="AP124" s="1833"/>
      <c r="AQ124" s="1833"/>
      <c r="AR124" s="1833"/>
      <c r="AS124" s="1833"/>
      <c r="AT124" s="1833"/>
      <c r="AU124" s="1833"/>
      <c r="AV124" s="1833"/>
      <c r="AW124" s="1833"/>
      <c r="AX124" s="1833"/>
      <c r="AY124" s="1833"/>
      <c r="AZ124" s="1833"/>
      <c r="BA124" s="1833"/>
      <c r="BB124" s="1833"/>
      <c r="BC124" s="1833"/>
      <c r="BD124" s="1833"/>
      <c r="BE124" s="1833"/>
      <c r="BF124" s="1833"/>
      <c r="BG124" s="1646"/>
    </row>
    <row customHeight="1" ht="11.25">
      <c r="A125" s="1177" t="s">
        <v>1088</v>
      </c>
      <c r="B125" s="1177"/>
      <c r="C125" s="1177"/>
      <c r="D125" s="1171"/>
      <c r="E125" s="1181"/>
      <c r="F125" s="1839"/>
      <c r="G125" s="1840"/>
      <c r="H125" s="2545" t="s">
        <v>168</v>
      </c>
      <c r="I125" s="2546"/>
      <c r="J125" s="2515"/>
      <c r="K125" s="2547"/>
      <c r="L125" s="2137"/>
      <c r="M125" s="2138"/>
      <c r="N125" s="2538"/>
      <c r="O125" s="2539"/>
      <c r="P125" s="2542"/>
      <c r="Q125" s="2543"/>
      <c r="R125" s="2543"/>
      <c r="S125" s="2544"/>
      <c r="T125" s="2543"/>
      <c r="U125" s="2543"/>
      <c r="V125" s="2543"/>
      <c r="W125" s="2543"/>
      <c r="X125" s="2543"/>
      <c r="Y125" s="2543"/>
      <c r="Z125" s="1186"/>
      <c r="AA125" s="1187"/>
      <c r="AB125" s="1252" t="s">
        <v>1130</v>
      </c>
      <c r="AC125" s="1191"/>
      <c r="AD125" s="1191"/>
      <c r="AE125" s="1193"/>
      <c r="AF125" s="2536"/>
      <c r="AG125" s="2537"/>
      <c r="AH125" s="2537"/>
      <c r="AI125" s="2916"/>
      <c r="AJ125" s="2537"/>
      <c r="AK125" s="2537"/>
      <c r="AL125" s="1996"/>
      <c r="AM125" s="1833"/>
      <c r="AN125" s="1833"/>
      <c r="AO125" s="1833"/>
      <c r="AP125" s="1833"/>
      <c r="AQ125" s="1833"/>
      <c r="AR125" s="1833"/>
      <c r="AS125" s="1833"/>
      <c r="AT125" s="1833"/>
      <c r="AU125" s="1833"/>
      <c r="AV125" s="1833"/>
      <c r="AW125" s="1833"/>
      <c r="AX125" s="1833"/>
      <c r="AY125" s="1833"/>
      <c r="AZ125" s="1833"/>
      <c r="BA125" s="1833"/>
      <c r="BB125" s="1833"/>
      <c r="BC125" s="1833"/>
      <c r="BD125" s="1833"/>
      <c r="BE125" s="1833"/>
      <c r="BF125" s="1833"/>
      <c r="BG125" s="1646"/>
    </row>
    <row customHeight="1" ht="11.25">
      <c r="A126" s="1177" t="s">
        <v>1088</v>
      </c>
      <c r="B126" s="1177"/>
      <c r="C126" s="1177"/>
      <c r="D126" s="1171"/>
      <c r="E126" s="1181"/>
      <c r="F126" s="1839"/>
      <c r="G126" s="1840"/>
      <c r="H126" s="2545" t="s">
        <v>168</v>
      </c>
      <c r="I126" s="2546"/>
      <c r="J126" s="2515"/>
      <c r="K126" s="2547"/>
      <c r="L126" s="2137"/>
      <c r="M126" s="2138"/>
      <c r="N126" s="1186"/>
      <c r="O126" s="1187"/>
      <c r="P126" s="1179" t="s">
        <v>1131</v>
      </c>
      <c r="Q126" s="1187"/>
      <c r="R126" s="1187"/>
      <c r="S126" s="1187"/>
      <c r="T126" s="1187"/>
      <c r="U126" s="1187"/>
      <c r="V126" s="1187"/>
      <c r="W126" s="1187"/>
      <c r="X126" s="1187"/>
      <c r="Y126" s="1187"/>
      <c r="Z126" s="1187"/>
      <c r="AA126" s="1187"/>
      <c r="AB126" s="1187"/>
      <c r="AC126" s="1187"/>
      <c r="AD126" s="1187"/>
      <c r="AE126" s="1194"/>
      <c r="AF126" s="2536"/>
      <c r="AG126" s="2537"/>
      <c r="AH126" s="2537"/>
      <c r="AI126" s="2916"/>
      <c r="AJ126" s="2537"/>
      <c r="AK126" s="2537"/>
      <c r="AL126" s="1996"/>
      <c r="AM126" s="1833"/>
      <c r="AN126" s="1833"/>
      <c r="AO126" s="1833"/>
      <c r="AP126" s="1833"/>
      <c r="AQ126" s="1833"/>
      <c r="AR126" s="1833"/>
      <c r="AS126" s="1833"/>
      <c r="AT126" s="1833"/>
      <c r="AU126" s="1833"/>
      <c r="AV126" s="1833"/>
      <c r="AW126" s="1833"/>
      <c r="AX126" s="1833"/>
      <c r="AY126" s="1833"/>
      <c r="AZ126" s="1833"/>
      <c r="BA126" s="1833"/>
      <c r="BB126" s="1833"/>
      <c r="BC126" s="1833"/>
      <c r="BD126" s="1833"/>
      <c r="BE126" s="1833"/>
      <c r="BF126" s="1833"/>
      <c r="BG126" s="1646"/>
    </row>
    <row customHeight="1" ht="11.25">
      <c r="A127" s="1177" t="s">
        <v>1088</v>
      </c>
      <c r="B127" s="1177" t="s">
        <v>1155</v>
      </c>
      <c r="C127" s="1177"/>
      <c r="D127" s="1171"/>
      <c r="E127" s="1181"/>
      <c r="F127" s="1839"/>
      <c r="G127" s="694" t="s">
        <v>105</v>
      </c>
      <c r="H127" s="2545" t="s">
        <v>1165</v>
      </c>
      <c r="I127" s="2546" t="s">
        <v>1156</v>
      </c>
      <c r="J127" s="2515" t="s">
        <v>1160</v>
      </c>
      <c r="K127" s="2547" t="s">
        <v>1166</v>
      </c>
      <c r="L127" s="2137" t="s">
        <v>19</v>
      </c>
      <c r="M127" s="2138"/>
      <c r="N127" s="1994"/>
      <c r="O127" s="1188" t="s">
        <v>390</v>
      </c>
      <c r="P127" s="1189"/>
      <c r="Q127" s="1189"/>
      <c r="R127" s="1189"/>
      <c r="S127" s="1189"/>
      <c r="T127" s="1189"/>
      <c r="U127" s="1189"/>
      <c r="V127" s="1189"/>
      <c r="W127" s="1189"/>
      <c r="X127" s="1189"/>
      <c r="Y127" s="1189"/>
      <c r="Z127" s="1189"/>
      <c r="AA127" s="1189"/>
      <c r="AB127" s="1189"/>
      <c r="AC127" s="1189"/>
      <c r="AD127" s="1189"/>
      <c r="AE127" s="1189"/>
      <c r="AF127" s="2536">
        <v>2027</v>
      </c>
      <c r="AG127" s="2537" t="s">
        <v>1122</v>
      </c>
      <c r="AH127" s="2537" t="s">
        <v>1164</v>
      </c>
      <c r="AI127" s="2916"/>
      <c r="AJ127" s="2537" t="s">
        <v>1154</v>
      </c>
      <c r="AK127" s="2537" t="s">
        <v>1154</v>
      </c>
      <c r="AL127" s="1996"/>
      <c r="AM127" s="1833"/>
      <c r="AN127" s="1833"/>
      <c r="AO127" s="1833"/>
      <c r="AP127" s="1833"/>
      <c r="AQ127" s="1833"/>
      <c r="AR127" s="1833"/>
      <c r="AS127" s="1833"/>
      <c r="AT127" s="1833"/>
      <c r="AU127" s="1833"/>
      <c r="AV127" s="1833"/>
      <c r="AW127" s="1833"/>
      <c r="AX127" s="1833"/>
      <c r="AY127" s="1833"/>
      <c r="AZ127" s="1833"/>
      <c r="BA127" s="1833"/>
      <c r="BB127" s="1833"/>
      <c r="BC127" s="1833"/>
      <c r="BD127" s="1833"/>
      <c r="BE127" s="1833"/>
      <c r="BF127" s="1833"/>
      <c r="BG127" s="1646"/>
    </row>
    <row customHeight="1" ht="11.25">
      <c r="A128" s="1177" t="s">
        <v>1088</v>
      </c>
      <c r="B128" s="1177"/>
      <c r="C128" s="1177"/>
      <c r="D128" s="1171"/>
      <c r="E128" s="1181"/>
      <c r="F128" s="1839"/>
      <c r="G128" s="1840"/>
      <c r="H128" s="2545" t="s">
        <v>169</v>
      </c>
      <c r="I128" s="2546"/>
      <c r="J128" s="2515"/>
      <c r="K128" s="2547"/>
      <c r="L128" s="2137"/>
      <c r="M128" s="2138"/>
      <c r="N128" s="2538"/>
      <c r="O128" s="2539">
        <v>1</v>
      </c>
      <c r="P128" s="2540" t="s">
        <v>19</v>
      </c>
      <c r="Q128" s="2543" t="s">
        <v>22</v>
      </c>
      <c r="R128" s="2543" t="s">
        <v>22</v>
      </c>
      <c r="S128" s="2543" t="s">
        <v>22</v>
      </c>
      <c r="T128" s="2543" t="s">
        <v>22</v>
      </c>
      <c r="U128" s="2543" t="s">
        <v>22</v>
      </c>
      <c r="V128" s="2543" t="s">
        <v>22</v>
      </c>
      <c r="W128" s="2543" t="s">
        <v>22</v>
      </c>
      <c r="X128" s="2543" t="s">
        <v>22</v>
      </c>
      <c r="Y128" s="2543"/>
      <c r="Z128" s="1186"/>
      <c r="AA128" s="1187"/>
      <c r="AB128" s="1187"/>
      <c r="AC128" s="1191"/>
      <c r="AD128" s="1191"/>
      <c r="AE128" s="1192"/>
      <c r="AF128" s="2536"/>
      <c r="AG128" s="2537"/>
      <c r="AH128" s="2537"/>
      <c r="AI128" s="2916"/>
      <c r="AJ128" s="2537"/>
      <c r="AK128" s="2537"/>
      <c r="AL128" s="1996"/>
      <c r="AM128" s="1833"/>
      <c r="AN128" s="1833"/>
      <c r="AO128" s="1833"/>
      <c r="AP128" s="1833"/>
      <c r="AQ128" s="1833"/>
      <c r="AR128" s="1833"/>
      <c r="AS128" s="1833"/>
      <c r="AT128" s="1833"/>
      <c r="AU128" s="1833"/>
      <c r="AV128" s="1833"/>
      <c r="AW128" s="1833"/>
      <c r="AX128" s="1833"/>
      <c r="AY128" s="1833"/>
      <c r="AZ128" s="1833"/>
      <c r="BA128" s="1833"/>
      <c r="BB128" s="1833"/>
      <c r="BC128" s="1833"/>
      <c r="BD128" s="1833"/>
      <c r="BE128" s="1833"/>
      <c r="BF128" s="1833"/>
      <c r="BG128" s="1646"/>
    </row>
    <row customHeight="1" ht="11.25">
      <c r="A129" s="1177" t="s">
        <v>1088</v>
      </c>
      <c r="B129" s="1177"/>
      <c r="C129" s="1177"/>
      <c r="D129" s="1171"/>
      <c r="E129" s="1181"/>
      <c r="F129" s="1839"/>
      <c r="G129" s="1840"/>
      <c r="H129" s="2545" t="s">
        <v>169</v>
      </c>
      <c r="I129" s="2546"/>
      <c r="J129" s="2515"/>
      <c r="K129" s="2547"/>
      <c r="L129" s="2137"/>
      <c r="M129" s="2138"/>
      <c r="N129" s="2538"/>
      <c r="O129" s="2539"/>
      <c r="P129" s="2541"/>
      <c r="Q129" s="2543"/>
      <c r="R129" s="2543"/>
      <c r="S129" s="2544"/>
      <c r="T129" s="2543"/>
      <c r="U129" s="2543"/>
      <c r="V129" s="2543"/>
      <c r="W129" s="2543"/>
      <c r="X129" s="2543"/>
      <c r="Y129" s="2543"/>
      <c r="Z129" s="1838"/>
      <c r="AA129" s="1804">
        <v>1</v>
      </c>
      <c r="AB129" s="1190" t="s">
        <v>1159</v>
      </c>
      <c r="AC129" s="1180">
        <v>0</v>
      </c>
      <c r="AD129" s="1190" t="str">
        <f>AB129</f>
        <v>      Прочие амортизационные отчисления</v>
      </c>
      <c r="AE129" s="1180">
        <v>920</v>
      </c>
      <c r="AF129" s="2536"/>
      <c r="AG129" s="2537"/>
      <c r="AH129" s="2537"/>
      <c r="AI129" s="2916"/>
      <c r="AJ129" s="2537"/>
      <c r="AK129" s="2537"/>
      <c r="AL129" s="1996"/>
      <c r="AM129" s="1833"/>
      <c r="AN129" s="1833"/>
      <c r="AO129" s="1833"/>
      <c r="AP129" s="1833"/>
      <c r="AQ129" s="1833"/>
      <c r="AR129" s="1833"/>
      <c r="AS129" s="1833"/>
      <c r="AT129" s="1833"/>
      <c r="AU129" s="1833"/>
      <c r="AV129" s="1833"/>
      <c r="AW129" s="1833"/>
      <c r="AX129" s="1833"/>
      <c r="AY129" s="1833"/>
      <c r="AZ129" s="1833"/>
      <c r="BA129" s="1833"/>
      <c r="BB129" s="1833"/>
      <c r="BC129" s="1833"/>
      <c r="BD129" s="1833"/>
      <c r="BE129" s="1833"/>
      <c r="BF129" s="1833"/>
      <c r="BG129" s="1646"/>
    </row>
    <row customHeight="1" ht="11.25">
      <c r="A130" s="1177" t="s">
        <v>1088</v>
      </c>
      <c r="B130" s="1177"/>
      <c r="C130" s="1177"/>
      <c r="D130" s="1171"/>
      <c r="E130" s="1181"/>
      <c r="F130" s="1839"/>
      <c r="G130" s="1840"/>
      <c r="H130" s="2545" t="s">
        <v>169</v>
      </c>
      <c r="I130" s="2546"/>
      <c r="J130" s="2515"/>
      <c r="K130" s="2547"/>
      <c r="L130" s="2137"/>
      <c r="M130" s="2138"/>
      <c r="N130" s="2538"/>
      <c r="O130" s="2539"/>
      <c r="P130" s="2542"/>
      <c r="Q130" s="2543"/>
      <c r="R130" s="2543"/>
      <c r="S130" s="2544"/>
      <c r="T130" s="2543"/>
      <c r="U130" s="2543"/>
      <c r="V130" s="2543"/>
      <c r="W130" s="2543"/>
      <c r="X130" s="2543"/>
      <c r="Y130" s="2543"/>
      <c r="Z130" s="1186"/>
      <c r="AA130" s="1187"/>
      <c r="AB130" s="1252" t="s">
        <v>1130</v>
      </c>
      <c r="AC130" s="1191"/>
      <c r="AD130" s="1191"/>
      <c r="AE130" s="1193"/>
      <c r="AF130" s="2536"/>
      <c r="AG130" s="2537"/>
      <c r="AH130" s="2537"/>
      <c r="AI130" s="2916"/>
      <c r="AJ130" s="2537"/>
      <c r="AK130" s="2537"/>
      <c r="AL130" s="1996"/>
      <c r="AM130" s="1833"/>
      <c r="AN130" s="1833"/>
      <c r="AO130" s="1833"/>
      <c r="AP130" s="1833"/>
      <c r="AQ130" s="1833"/>
      <c r="AR130" s="1833"/>
      <c r="AS130" s="1833"/>
      <c r="AT130" s="1833"/>
      <c r="AU130" s="1833"/>
      <c r="AV130" s="1833"/>
      <c r="AW130" s="1833"/>
      <c r="AX130" s="1833"/>
      <c r="AY130" s="1833"/>
      <c r="AZ130" s="1833"/>
      <c r="BA130" s="1833"/>
      <c r="BB130" s="1833"/>
      <c r="BC130" s="1833"/>
      <c r="BD130" s="1833"/>
      <c r="BE130" s="1833"/>
      <c r="BF130" s="1833"/>
      <c r="BG130" s="1646"/>
    </row>
    <row customHeight="1" ht="11.25">
      <c r="A131" s="1177" t="s">
        <v>1088</v>
      </c>
      <c r="B131" s="1177"/>
      <c r="C131" s="1177"/>
      <c r="D131" s="1171"/>
      <c r="E131" s="1181"/>
      <c r="F131" s="1839"/>
      <c r="G131" s="1840"/>
      <c r="H131" s="2545" t="s">
        <v>169</v>
      </c>
      <c r="I131" s="2546"/>
      <c r="J131" s="2515"/>
      <c r="K131" s="2547"/>
      <c r="L131" s="2137"/>
      <c r="M131" s="2138"/>
      <c r="N131" s="1186"/>
      <c r="O131" s="1187"/>
      <c r="P131" s="1179" t="s">
        <v>1131</v>
      </c>
      <c r="Q131" s="1187"/>
      <c r="R131" s="1187"/>
      <c r="S131" s="1187"/>
      <c r="T131" s="1187"/>
      <c r="U131" s="1187"/>
      <c r="V131" s="1187"/>
      <c r="W131" s="1187"/>
      <c r="X131" s="1187"/>
      <c r="Y131" s="1187"/>
      <c r="Z131" s="1187"/>
      <c r="AA131" s="1187"/>
      <c r="AB131" s="1187"/>
      <c r="AC131" s="1187"/>
      <c r="AD131" s="1187"/>
      <c r="AE131" s="1194"/>
      <c r="AF131" s="2536"/>
      <c r="AG131" s="2537"/>
      <c r="AH131" s="2537"/>
      <c r="AI131" s="2916"/>
      <c r="AJ131" s="2537"/>
      <c r="AK131" s="2537"/>
      <c r="AL131" s="1996"/>
      <c r="AM131" s="1833"/>
      <c r="AN131" s="1833"/>
      <c r="AO131" s="1833"/>
      <c r="AP131" s="1833"/>
      <c r="AQ131" s="1833"/>
      <c r="AR131" s="1833"/>
      <c r="AS131" s="1833"/>
      <c r="AT131" s="1833"/>
      <c r="AU131" s="1833"/>
      <c r="AV131" s="1833"/>
      <c r="AW131" s="1833"/>
      <c r="AX131" s="1833"/>
      <c r="AY131" s="1833"/>
      <c r="AZ131" s="1833"/>
      <c r="BA131" s="1833"/>
      <c r="BB131" s="1833"/>
      <c r="BC131" s="1833"/>
      <c r="BD131" s="1833"/>
      <c r="BE131" s="1833"/>
      <c r="BF131" s="1833"/>
      <c r="BG131" s="1646"/>
    </row>
    <row customHeight="1" ht="11.25">
      <c r="A132" s="1177" t="s">
        <v>1088</v>
      </c>
      <c r="B132" s="1177" t="s">
        <v>1155</v>
      </c>
      <c r="C132" s="1177"/>
      <c r="D132" s="1171"/>
      <c r="E132" s="1181"/>
      <c r="F132" s="1839"/>
      <c r="G132" s="694" t="s">
        <v>105</v>
      </c>
      <c r="H132" s="2545" t="s">
        <v>1167</v>
      </c>
      <c r="I132" s="2546" t="s">
        <v>1156</v>
      </c>
      <c r="J132" s="2515" t="s">
        <v>1157</v>
      </c>
      <c r="K132" s="2547" t="s">
        <v>1168</v>
      </c>
      <c r="L132" s="2137" t="s">
        <v>19</v>
      </c>
      <c r="M132" s="2138"/>
      <c r="N132" s="1994"/>
      <c r="O132" s="1188" t="s">
        <v>390</v>
      </c>
      <c r="P132" s="1189"/>
      <c r="Q132" s="1189"/>
      <c r="R132" s="1189"/>
      <c r="S132" s="1189"/>
      <c r="T132" s="1189"/>
      <c r="U132" s="1189"/>
      <c r="V132" s="1189"/>
      <c r="W132" s="1189"/>
      <c r="X132" s="1189"/>
      <c r="Y132" s="1189"/>
      <c r="Z132" s="1189"/>
      <c r="AA132" s="1189"/>
      <c r="AB132" s="1189"/>
      <c r="AC132" s="1189"/>
      <c r="AD132" s="1189"/>
      <c r="AE132" s="1189"/>
      <c r="AF132" s="2536">
        <v>2026</v>
      </c>
      <c r="AG132" s="2537" t="s">
        <v>1122</v>
      </c>
      <c r="AH132" s="2537" t="s">
        <v>1169</v>
      </c>
      <c r="AI132" s="2916"/>
      <c r="AJ132" s="2537" t="s">
        <v>1154</v>
      </c>
      <c r="AK132" s="2537" t="s">
        <v>1154</v>
      </c>
      <c r="AL132" s="1996"/>
      <c r="AM132" s="1833"/>
      <c r="AN132" s="1833"/>
      <c r="AO132" s="1833"/>
      <c r="AP132" s="1833"/>
      <c r="AQ132" s="1833"/>
      <c r="AR132" s="1833"/>
      <c r="AS132" s="1833"/>
      <c r="AT132" s="1833"/>
      <c r="AU132" s="1833"/>
      <c r="AV132" s="1833"/>
      <c r="AW132" s="1833"/>
      <c r="AX132" s="1833"/>
      <c r="AY132" s="1833"/>
      <c r="AZ132" s="1833"/>
      <c r="BA132" s="1833"/>
      <c r="BB132" s="1833"/>
      <c r="BC132" s="1833"/>
      <c r="BD132" s="1833"/>
      <c r="BE132" s="1833"/>
      <c r="BF132" s="1833"/>
      <c r="BG132" s="1646"/>
    </row>
    <row customHeight="1" ht="11.25">
      <c r="A133" s="1177" t="s">
        <v>1088</v>
      </c>
      <c r="B133" s="1177"/>
      <c r="C133" s="1177"/>
      <c r="D133" s="1171"/>
      <c r="E133" s="1181"/>
      <c r="F133" s="1839"/>
      <c r="G133" s="1840"/>
      <c r="H133" s="2545" t="s">
        <v>1165</v>
      </c>
      <c r="I133" s="2546"/>
      <c r="J133" s="2515"/>
      <c r="K133" s="2547"/>
      <c r="L133" s="2137"/>
      <c r="M133" s="2138"/>
      <c r="N133" s="2538"/>
      <c r="O133" s="2539">
        <v>1</v>
      </c>
      <c r="P133" s="2540" t="s">
        <v>63</v>
      </c>
      <c r="Q133" s="2913" t="s">
        <v>633</v>
      </c>
      <c r="R133" s="2914" t="s">
        <v>1124</v>
      </c>
      <c r="S133" s="2914" t="s">
        <v>101</v>
      </c>
      <c r="T133" s="2914" t="s">
        <v>101</v>
      </c>
      <c r="U133" s="2914" t="s">
        <v>102</v>
      </c>
      <c r="V133" s="2914" t="s">
        <v>1125</v>
      </c>
      <c r="W133" s="2914" t="s">
        <v>1126</v>
      </c>
      <c r="X133" s="2914" t="s">
        <v>1170</v>
      </c>
      <c r="Y133" s="2914" t="s">
        <v>1171</v>
      </c>
      <c r="Z133" s="1186"/>
      <c r="AA133" s="1187"/>
      <c r="AB133" s="1187"/>
      <c r="AC133" s="1191"/>
      <c r="AD133" s="1191"/>
      <c r="AE133" s="1192"/>
      <c r="AF133" s="2536"/>
      <c r="AG133" s="2537"/>
      <c r="AH133" s="2537"/>
      <c r="AI133" s="2916"/>
      <c r="AJ133" s="2537"/>
      <c r="AK133" s="2537"/>
      <c r="AL133" s="1996"/>
      <c r="AM133" s="1833"/>
      <c r="AN133" s="1833"/>
      <c r="AO133" s="1833"/>
      <c r="AP133" s="1833"/>
      <c r="AQ133" s="1833"/>
      <c r="AR133" s="1833"/>
      <c r="AS133" s="1833"/>
      <c r="AT133" s="1833"/>
      <c r="AU133" s="1833"/>
      <c r="AV133" s="1833"/>
      <c r="AW133" s="1833"/>
      <c r="AX133" s="1833"/>
      <c r="AY133" s="1833"/>
      <c r="AZ133" s="1833"/>
      <c r="BA133" s="1833"/>
      <c r="BB133" s="1833"/>
      <c r="BC133" s="1833"/>
      <c r="BD133" s="1833"/>
      <c r="BE133" s="1833"/>
      <c r="BF133" s="1833"/>
      <c r="BG133" s="1646"/>
    </row>
    <row customHeight="1" ht="11.25">
      <c r="A134" s="1177" t="s">
        <v>1088</v>
      </c>
      <c r="B134" s="1177"/>
      <c r="C134" s="1177"/>
      <c r="D134" s="1171"/>
      <c r="E134" s="1181"/>
      <c r="F134" s="1839"/>
      <c r="G134" s="1840"/>
      <c r="H134" s="2545" t="s">
        <v>1165</v>
      </c>
      <c r="I134" s="2546"/>
      <c r="J134" s="2515"/>
      <c r="K134" s="2547"/>
      <c r="L134" s="2137"/>
      <c r="M134" s="2138"/>
      <c r="N134" s="2538"/>
      <c r="O134" s="2539"/>
      <c r="P134" s="2541"/>
      <c r="Q134" s="2913"/>
      <c r="R134" s="2543"/>
      <c r="S134" s="2544"/>
      <c r="T134" s="2543"/>
      <c r="U134" s="2543"/>
      <c r="V134" s="2543"/>
      <c r="W134" s="2543"/>
      <c r="X134" s="2543"/>
      <c r="Y134" s="2543"/>
      <c r="Z134" s="1838"/>
      <c r="AA134" s="1804">
        <v>1</v>
      </c>
      <c r="AB134" s="1190" t="s">
        <v>1159</v>
      </c>
      <c r="AC134" s="1180">
        <v>10300.55</v>
      </c>
      <c r="AD134" s="1190" t="str">
        <f>AB134</f>
        <v>      Прочие амортизационные отчисления</v>
      </c>
      <c r="AE134" s="1180">
        <v>12737.72441</v>
      </c>
      <c r="AF134" s="2536"/>
      <c r="AG134" s="2537"/>
      <c r="AH134" s="2537"/>
      <c r="AI134" s="2916"/>
      <c r="AJ134" s="2537"/>
      <c r="AK134" s="2537"/>
      <c r="AL134" s="1996"/>
      <c r="AM134" s="1833"/>
      <c r="AN134" s="1833"/>
      <c r="AO134" s="1833"/>
      <c r="AP134" s="1833"/>
      <c r="AQ134" s="1833"/>
      <c r="AR134" s="1833"/>
      <c r="AS134" s="1833"/>
      <c r="AT134" s="1833"/>
      <c r="AU134" s="1833"/>
      <c r="AV134" s="1833"/>
      <c r="AW134" s="1833"/>
      <c r="AX134" s="1833"/>
      <c r="AY134" s="1833"/>
      <c r="AZ134" s="1833"/>
      <c r="BA134" s="1833"/>
      <c r="BB134" s="1833"/>
      <c r="BC134" s="1833"/>
      <c r="BD134" s="1833"/>
      <c r="BE134" s="1833"/>
      <c r="BF134" s="1833"/>
      <c r="BG134" s="1646"/>
    </row>
    <row customHeight="1" ht="11.25">
      <c r="A135" s="1177" t="s">
        <v>1088</v>
      </c>
      <c r="B135" s="1177"/>
      <c r="C135" s="1177"/>
      <c r="D135" s="1171"/>
      <c r="E135" s="1181"/>
      <c r="F135" s="1839"/>
      <c r="G135" s="1840"/>
      <c r="H135" s="2545" t="s">
        <v>1165</v>
      </c>
      <c r="I135" s="2546"/>
      <c r="J135" s="2515"/>
      <c r="K135" s="2547"/>
      <c r="L135" s="2137"/>
      <c r="M135" s="2138"/>
      <c r="N135" s="2538"/>
      <c r="O135" s="2539"/>
      <c r="P135" s="2542"/>
      <c r="Q135" s="2913"/>
      <c r="R135" s="2543"/>
      <c r="S135" s="2544"/>
      <c r="T135" s="2543"/>
      <c r="U135" s="2543"/>
      <c r="V135" s="2543"/>
      <c r="W135" s="2543"/>
      <c r="X135" s="2543"/>
      <c r="Y135" s="2543"/>
      <c r="Z135" s="1186"/>
      <c r="AA135" s="1187"/>
      <c r="AB135" s="1252" t="s">
        <v>1130</v>
      </c>
      <c r="AC135" s="1191"/>
      <c r="AD135" s="1191"/>
      <c r="AE135" s="1193"/>
      <c r="AF135" s="2536"/>
      <c r="AG135" s="2537"/>
      <c r="AH135" s="2537"/>
      <c r="AI135" s="2916"/>
      <c r="AJ135" s="2537"/>
      <c r="AK135" s="2537"/>
      <c r="AL135" s="1996"/>
      <c r="AM135" s="1833"/>
      <c r="AN135" s="1833"/>
      <c r="AO135" s="1833"/>
      <c r="AP135" s="1833"/>
      <c r="AQ135" s="1833"/>
      <c r="AR135" s="1833"/>
      <c r="AS135" s="1833"/>
      <c r="AT135" s="1833"/>
      <c r="AU135" s="1833"/>
      <c r="AV135" s="1833"/>
      <c r="AW135" s="1833"/>
      <c r="AX135" s="1833"/>
      <c r="AY135" s="1833"/>
      <c r="AZ135" s="1833"/>
      <c r="BA135" s="1833"/>
      <c r="BB135" s="1833"/>
      <c r="BC135" s="1833"/>
      <c r="BD135" s="1833"/>
      <c r="BE135" s="1833"/>
      <c r="BF135" s="1833"/>
      <c r="BG135" s="1646"/>
    </row>
    <row customHeight="1" ht="11.25">
      <c r="A136" s="1177" t="s">
        <v>1088</v>
      </c>
      <c r="B136" s="1177"/>
      <c r="C136" s="1177"/>
      <c r="D136" s="1171"/>
      <c r="E136" s="1181"/>
      <c r="F136" s="1839"/>
      <c r="G136" s="1840"/>
      <c r="H136" s="2545" t="s">
        <v>1165</v>
      </c>
      <c r="I136" s="2546"/>
      <c r="J136" s="2515"/>
      <c r="K136" s="2547"/>
      <c r="L136" s="2137"/>
      <c r="M136" s="2138"/>
      <c r="N136" s="1186"/>
      <c r="O136" s="1187"/>
      <c r="P136" s="1179" t="s">
        <v>1131</v>
      </c>
      <c r="Q136" s="1187"/>
      <c r="R136" s="1187"/>
      <c r="S136" s="1187"/>
      <c r="T136" s="1187"/>
      <c r="U136" s="1187"/>
      <c r="V136" s="1187"/>
      <c r="W136" s="1187"/>
      <c r="X136" s="1187"/>
      <c r="Y136" s="1187"/>
      <c r="Z136" s="1187"/>
      <c r="AA136" s="1187"/>
      <c r="AB136" s="1187"/>
      <c r="AC136" s="1187"/>
      <c r="AD136" s="1187"/>
      <c r="AE136" s="1194"/>
      <c r="AF136" s="2536"/>
      <c r="AG136" s="2537"/>
      <c r="AH136" s="2537"/>
      <c r="AI136" s="2916"/>
      <c r="AJ136" s="2537"/>
      <c r="AK136" s="2537"/>
      <c r="AL136" s="1996"/>
      <c r="AM136" s="1833"/>
      <c r="AN136" s="1833"/>
      <c r="AO136" s="1833"/>
      <c r="AP136" s="1833"/>
      <c r="AQ136" s="1833"/>
      <c r="AR136" s="1833"/>
      <c r="AS136" s="1833"/>
      <c r="AT136" s="1833"/>
      <c r="AU136" s="1833"/>
      <c r="AV136" s="1833"/>
      <c r="AW136" s="1833"/>
      <c r="AX136" s="1833"/>
      <c r="AY136" s="1833"/>
      <c r="AZ136" s="1833"/>
      <c r="BA136" s="1833"/>
      <c r="BB136" s="1833"/>
      <c r="BC136" s="1833"/>
      <c r="BD136" s="1833"/>
      <c r="BE136" s="1833"/>
      <c r="BF136" s="1833"/>
      <c r="BG136" s="1646"/>
    </row>
    <row customHeight="1" ht="11.25">
      <c r="A137" s="1177" t="s">
        <v>1088</v>
      </c>
      <c r="B137" s="1177" t="s">
        <v>1155</v>
      </c>
      <c r="C137" s="1177"/>
      <c r="D137" s="1171"/>
      <c r="E137" s="1181"/>
      <c r="F137" s="1839"/>
      <c r="G137" s="694" t="s">
        <v>105</v>
      </c>
      <c r="H137" s="2545" t="s">
        <v>1172</v>
      </c>
      <c r="I137" s="2546" t="s">
        <v>1156</v>
      </c>
      <c r="J137" s="2515" t="s">
        <v>1157</v>
      </c>
      <c r="K137" s="2547" t="s">
        <v>1173</v>
      </c>
      <c r="L137" s="2137" t="s">
        <v>19</v>
      </c>
      <c r="M137" s="2138"/>
      <c r="N137" s="1994"/>
      <c r="O137" s="1188" t="s">
        <v>390</v>
      </c>
      <c r="P137" s="1189"/>
      <c r="Q137" s="1189"/>
      <c r="R137" s="1189"/>
      <c r="S137" s="1189"/>
      <c r="T137" s="1189"/>
      <c r="U137" s="1189"/>
      <c r="V137" s="1189"/>
      <c r="W137" s="1189"/>
      <c r="X137" s="1189"/>
      <c r="Y137" s="1189"/>
      <c r="Z137" s="1189"/>
      <c r="AA137" s="1189"/>
      <c r="AB137" s="1189"/>
      <c r="AC137" s="1189"/>
      <c r="AD137" s="1189"/>
      <c r="AE137" s="1189"/>
      <c r="AF137" s="2536">
        <v>2026</v>
      </c>
      <c r="AG137" s="2537" t="s">
        <v>1122</v>
      </c>
      <c r="AH137" s="2537" t="s">
        <v>1169</v>
      </c>
      <c r="AI137" s="2916"/>
      <c r="AJ137" s="2537" t="s">
        <v>1154</v>
      </c>
      <c r="AK137" s="2537" t="s">
        <v>1154</v>
      </c>
      <c r="AL137" s="1996"/>
      <c r="AM137" s="1833"/>
      <c r="AN137" s="1833"/>
      <c r="AO137" s="1833"/>
      <c r="AP137" s="1833"/>
      <c r="AQ137" s="1833"/>
      <c r="AR137" s="1833"/>
      <c r="AS137" s="1833"/>
      <c r="AT137" s="1833"/>
      <c r="AU137" s="1833"/>
      <c r="AV137" s="1833"/>
      <c r="AW137" s="1833"/>
      <c r="AX137" s="1833"/>
      <c r="AY137" s="1833"/>
      <c r="AZ137" s="1833"/>
      <c r="BA137" s="1833"/>
      <c r="BB137" s="1833"/>
      <c r="BC137" s="1833"/>
      <c r="BD137" s="1833"/>
      <c r="BE137" s="1833"/>
      <c r="BF137" s="1833"/>
      <c r="BG137" s="1646"/>
    </row>
    <row customHeight="1" ht="11.25">
      <c r="A138" s="1177" t="s">
        <v>1088</v>
      </c>
      <c r="B138" s="1177"/>
      <c r="C138" s="1177"/>
      <c r="D138" s="1171"/>
      <c r="E138" s="1181"/>
      <c r="F138" s="1839"/>
      <c r="G138" s="1840"/>
      <c r="H138" s="2545" t="s">
        <v>1167</v>
      </c>
      <c r="I138" s="2546"/>
      <c r="J138" s="2515"/>
      <c r="K138" s="2547"/>
      <c r="L138" s="2137"/>
      <c r="M138" s="2138"/>
      <c r="N138" s="2538"/>
      <c r="O138" s="2539">
        <v>1</v>
      </c>
      <c r="P138" s="2540" t="s">
        <v>63</v>
      </c>
      <c r="Q138" s="2913" t="s">
        <v>640</v>
      </c>
      <c r="R138" s="2914" t="s">
        <v>1124</v>
      </c>
      <c r="S138" s="2914" t="s">
        <v>108</v>
      </c>
      <c r="T138" s="2914" t="s">
        <v>108</v>
      </c>
      <c r="U138" s="2914" t="s">
        <v>109</v>
      </c>
      <c r="V138" s="2914" t="s">
        <v>1174</v>
      </c>
      <c r="W138" s="2914" t="s">
        <v>1175</v>
      </c>
      <c r="X138" s="2914" t="s">
        <v>1176</v>
      </c>
      <c r="Y138" s="2914" t="s">
        <v>104</v>
      </c>
      <c r="Z138" s="1186"/>
      <c r="AA138" s="1187"/>
      <c r="AB138" s="1187"/>
      <c r="AC138" s="1191"/>
      <c r="AD138" s="1191"/>
      <c r="AE138" s="1192"/>
      <c r="AF138" s="2536"/>
      <c r="AG138" s="2537"/>
      <c r="AH138" s="2537"/>
      <c r="AI138" s="2916"/>
      <c r="AJ138" s="2537"/>
      <c r="AK138" s="2537"/>
      <c r="AL138" s="1996"/>
      <c r="AM138" s="1833"/>
      <c r="AN138" s="1833"/>
      <c r="AO138" s="1833"/>
      <c r="AP138" s="1833"/>
      <c r="AQ138" s="1833"/>
      <c r="AR138" s="1833"/>
      <c r="AS138" s="1833"/>
      <c r="AT138" s="1833"/>
      <c r="AU138" s="1833"/>
      <c r="AV138" s="1833"/>
      <c r="AW138" s="1833"/>
      <c r="AX138" s="1833"/>
      <c r="AY138" s="1833"/>
      <c r="AZ138" s="1833"/>
      <c r="BA138" s="1833"/>
      <c r="BB138" s="1833"/>
      <c r="BC138" s="1833"/>
      <c r="BD138" s="1833"/>
      <c r="BE138" s="1833"/>
      <c r="BF138" s="1833"/>
      <c r="BG138" s="1646"/>
    </row>
    <row customHeight="1" ht="11.25">
      <c r="A139" s="1177" t="s">
        <v>1088</v>
      </c>
      <c r="B139" s="1177"/>
      <c r="C139" s="1177"/>
      <c r="D139" s="1171"/>
      <c r="E139" s="1181"/>
      <c r="F139" s="1839"/>
      <c r="G139" s="1840"/>
      <c r="H139" s="2545" t="s">
        <v>1167</v>
      </c>
      <c r="I139" s="2546"/>
      <c r="J139" s="2515"/>
      <c r="K139" s="2547"/>
      <c r="L139" s="2137"/>
      <c r="M139" s="2138"/>
      <c r="N139" s="2538"/>
      <c r="O139" s="2539"/>
      <c r="P139" s="2541"/>
      <c r="Q139" s="2913"/>
      <c r="R139" s="2543"/>
      <c r="S139" s="2544"/>
      <c r="T139" s="2543"/>
      <c r="U139" s="2543"/>
      <c r="V139" s="2543"/>
      <c r="W139" s="2543"/>
      <c r="X139" s="2543"/>
      <c r="Y139" s="2543"/>
      <c r="Z139" s="1838"/>
      <c r="AA139" s="1804">
        <v>1</v>
      </c>
      <c r="AB139" s="1190" t="s">
        <v>1159</v>
      </c>
      <c r="AC139" s="1180">
        <v>0</v>
      </c>
      <c r="AD139" s="1190" t="str">
        <f>AB139</f>
        <v>      Прочие амортизационные отчисления</v>
      </c>
      <c r="AE139" s="1180">
        <v>402.46868</v>
      </c>
      <c r="AF139" s="2536"/>
      <c r="AG139" s="2537"/>
      <c r="AH139" s="2537"/>
      <c r="AI139" s="2916"/>
      <c r="AJ139" s="2537"/>
      <c r="AK139" s="2537"/>
      <c r="AL139" s="1996"/>
      <c r="AM139" s="1833"/>
      <c r="AN139" s="1833"/>
      <c r="AO139" s="1833"/>
      <c r="AP139" s="1833"/>
      <c r="AQ139" s="1833"/>
      <c r="AR139" s="1833"/>
      <c r="AS139" s="1833"/>
      <c r="AT139" s="1833"/>
      <c r="AU139" s="1833"/>
      <c r="AV139" s="1833"/>
      <c r="AW139" s="1833"/>
      <c r="AX139" s="1833"/>
      <c r="AY139" s="1833"/>
      <c r="AZ139" s="1833"/>
      <c r="BA139" s="1833"/>
      <c r="BB139" s="1833"/>
      <c r="BC139" s="1833"/>
      <c r="BD139" s="1833"/>
      <c r="BE139" s="1833"/>
      <c r="BF139" s="1833"/>
      <c r="BG139" s="1646"/>
    </row>
    <row customHeight="1" ht="11.25">
      <c r="A140" s="1177" t="s">
        <v>1088</v>
      </c>
      <c r="B140" s="1177"/>
      <c r="C140" s="1177"/>
      <c r="D140" s="1171"/>
      <c r="E140" s="1181"/>
      <c r="F140" s="1839"/>
      <c r="G140" s="1840"/>
      <c r="H140" s="2545" t="s">
        <v>1167</v>
      </c>
      <c r="I140" s="2546"/>
      <c r="J140" s="2515"/>
      <c r="K140" s="2547"/>
      <c r="L140" s="2137"/>
      <c r="M140" s="2138"/>
      <c r="N140" s="2538"/>
      <c r="O140" s="2539"/>
      <c r="P140" s="2542"/>
      <c r="Q140" s="2913"/>
      <c r="R140" s="2543"/>
      <c r="S140" s="2544"/>
      <c r="T140" s="2543"/>
      <c r="U140" s="2543"/>
      <c r="V140" s="2543"/>
      <c r="W140" s="2543"/>
      <c r="X140" s="2543"/>
      <c r="Y140" s="2543"/>
      <c r="Z140" s="1186"/>
      <c r="AA140" s="1187"/>
      <c r="AB140" s="1252" t="s">
        <v>1130</v>
      </c>
      <c r="AC140" s="1191"/>
      <c r="AD140" s="1191"/>
      <c r="AE140" s="1193"/>
      <c r="AF140" s="2536"/>
      <c r="AG140" s="2537"/>
      <c r="AH140" s="2537"/>
      <c r="AI140" s="2916"/>
      <c r="AJ140" s="2537"/>
      <c r="AK140" s="2537"/>
      <c r="AL140" s="1996"/>
      <c r="AM140" s="1833"/>
      <c r="AN140" s="1833"/>
      <c r="AO140" s="1833"/>
      <c r="AP140" s="1833"/>
      <c r="AQ140" s="1833"/>
      <c r="AR140" s="1833"/>
      <c r="AS140" s="1833"/>
      <c r="AT140" s="1833"/>
      <c r="AU140" s="1833"/>
      <c r="AV140" s="1833"/>
      <c r="AW140" s="1833"/>
      <c r="AX140" s="1833"/>
      <c r="AY140" s="1833"/>
      <c r="AZ140" s="1833"/>
      <c r="BA140" s="1833"/>
      <c r="BB140" s="1833"/>
      <c r="BC140" s="1833"/>
      <c r="BD140" s="1833"/>
      <c r="BE140" s="1833"/>
      <c r="BF140" s="1833"/>
      <c r="BG140" s="1646"/>
    </row>
    <row customHeight="1" ht="11.25">
      <c r="A141" s="1177" t="s">
        <v>1088</v>
      </c>
      <c r="B141" s="1177"/>
      <c r="C141" s="1177"/>
      <c r="D141" s="1171"/>
      <c r="E141" s="1181"/>
      <c r="F141" s="1839"/>
      <c r="G141" s="1840"/>
      <c r="H141" s="2545" t="s">
        <v>1167</v>
      </c>
      <c r="I141" s="2546"/>
      <c r="J141" s="2515"/>
      <c r="K141" s="2547"/>
      <c r="L141" s="2137"/>
      <c r="M141" s="2138"/>
      <c r="N141" s="1186"/>
      <c r="O141" s="1187"/>
      <c r="P141" s="1179" t="s">
        <v>1131</v>
      </c>
      <c r="Q141" s="1187"/>
      <c r="R141" s="1187"/>
      <c r="S141" s="1187"/>
      <c r="T141" s="1187"/>
      <c r="U141" s="1187"/>
      <c r="V141" s="1187"/>
      <c r="W141" s="1187"/>
      <c r="X141" s="1187"/>
      <c r="Y141" s="1187"/>
      <c r="Z141" s="1187"/>
      <c r="AA141" s="1187"/>
      <c r="AB141" s="1187"/>
      <c r="AC141" s="1187"/>
      <c r="AD141" s="1187"/>
      <c r="AE141" s="1194"/>
      <c r="AF141" s="2536"/>
      <c r="AG141" s="2537"/>
      <c r="AH141" s="2537"/>
      <c r="AI141" s="2916"/>
      <c r="AJ141" s="2537"/>
      <c r="AK141" s="2537"/>
      <c r="AL141" s="1996"/>
      <c r="AM141" s="1833"/>
      <c r="AN141" s="1833"/>
      <c r="AO141" s="1833"/>
      <c r="AP141" s="1833"/>
      <c r="AQ141" s="1833"/>
      <c r="AR141" s="1833"/>
      <c r="AS141" s="1833"/>
      <c r="AT141" s="1833"/>
      <c r="AU141" s="1833"/>
      <c r="AV141" s="1833"/>
      <c r="AW141" s="1833"/>
      <c r="AX141" s="1833"/>
      <c r="AY141" s="1833"/>
      <c r="AZ141" s="1833"/>
      <c r="BA141" s="1833"/>
      <c r="BB141" s="1833"/>
      <c r="BC141" s="1833"/>
      <c r="BD141" s="1833"/>
      <c r="BE141" s="1833"/>
      <c r="BF141" s="1833"/>
      <c r="BG141" s="1646"/>
    </row>
    <row customHeight="1" ht="11.25">
      <c r="A142" s="1177" t="s">
        <v>1088</v>
      </c>
      <c r="B142" s="1177" t="s">
        <v>1155</v>
      </c>
      <c r="C142" s="1177"/>
      <c r="D142" s="1171"/>
      <c r="E142" s="1181"/>
      <c r="F142" s="1839"/>
      <c r="G142" s="694" t="s">
        <v>105</v>
      </c>
      <c r="H142" s="2545" t="s">
        <v>1177</v>
      </c>
      <c r="I142" s="2546" t="s">
        <v>1156</v>
      </c>
      <c r="J142" s="2515" t="s">
        <v>1157</v>
      </c>
      <c r="K142" s="2547" t="s">
        <v>1178</v>
      </c>
      <c r="L142" s="2137" t="s">
        <v>19</v>
      </c>
      <c r="M142" s="2138"/>
      <c r="N142" s="1994"/>
      <c r="O142" s="1188" t="s">
        <v>390</v>
      </c>
      <c r="P142" s="1189"/>
      <c r="Q142" s="1189"/>
      <c r="R142" s="1189"/>
      <c r="S142" s="1189"/>
      <c r="T142" s="1189"/>
      <c r="U142" s="1189"/>
      <c r="V142" s="1189"/>
      <c r="W142" s="1189"/>
      <c r="X142" s="1189"/>
      <c r="Y142" s="1189"/>
      <c r="Z142" s="1189"/>
      <c r="AA142" s="1189"/>
      <c r="AB142" s="1189"/>
      <c r="AC142" s="1189"/>
      <c r="AD142" s="1189"/>
      <c r="AE142" s="1189"/>
      <c r="AF142" s="2536">
        <v>2026</v>
      </c>
      <c r="AG142" s="2537" t="s">
        <v>1122</v>
      </c>
      <c r="AH142" s="2537" t="s">
        <v>1169</v>
      </c>
      <c r="AI142" s="2916"/>
      <c r="AJ142" s="2537" t="s">
        <v>1154</v>
      </c>
      <c r="AK142" s="2537" t="s">
        <v>1154</v>
      </c>
      <c r="AL142" s="1996"/>
      <c r="AM142" s="1833"/>
      <c r="AN142" s="1833"/>
      <c r="AO142" s="1833"/>
      <c r="AP142" s="1833"/>
      <c r="AQ142" s="1833"/>
      <c r="AR142" s="1833"/>
      <c r="AS142" s="1833"/>
      <c r="AT142" s="1833"/>
      <c r="AU142" s="1833"/>
      <c r="AV142" s="1833"/>
      <c r="AW142" s="1833"/>
      <c r="AX142" s="1833"/>
      <c r="AY142" s="1833"/>
      <c r="AZ142" s="1833"/>
      <c r="BA142" s="1833"/>
      <c r="BB142" s="1833"/>
      <c r="BC142" s="1833"/>
      <c r="BD142" s="1833"/>
      <c r="BE142" s="1833"/>
      <c r="BF142" s="1833"/>
      <c r="BG142" s="1646"/>
    </row>
    <row customHeight="1" ht="11.25">
      <c r="A143" s="1177" t="s">
        <v>1088</v>
      </c>
      <c r="B143" s="1177"/>
      <c r="C143" s="1177"/>
      <c r="D143" s="1171"/>
      <c r="E143" s="1181"/>
      <c r="F143" s="1839"/>
      <c r="G143" s="1840"/>
      <c r="H143" s="2545" t="s">
        <v>1172</v>
      </c>
      <c r="I143" s="2546"/>
      <c r="J143" s="2515"/>
      <c r="K143" s="2547"/>
      <c r="L143" s="2137"/>
      <c r="M143" s="2138"/>
      <c r="N143" s="2538"/>
      <c r="O143" s="2539">
        <v>1</v>
      </c>
      <c r="P143" s="2540" t="s">
        <v>19</v>
      </c>
      <c r="Q143" s="2543" t="s">
        <v>22</v>
      </c>
      <c r="R143" s="2543" t="s">
        <v>22</v>
      </c>
      <c r="S143" s="2543" t="s">
        <v>22</v>
      </c>
      <c r="T143" s="2543" t="s">
        <v>22</v>
      </c>
      <c r="U143" s="2543" t="s">
        <v>22</v>
      </c>
      <c r="V143" s="2543" t="s">
        <v>22</v>
      </c>
      <c r="W143" s="2543" t="s">
        <v>22</v>
      </c>
      <c r="X143" s="2543" t="s">
        <v>22</v>
      </c>
      <c r="Y143" s="2543"/>
      <c r="Z143" s="1186"/>
      <c r="AA143" s="1187"/>
      <c r="AB143" s="1187"/>
      <c r="AC143" s="1191"/>
      <c r="AD143" s="1191"/>
      <c r="AE143" s="1192"/>
      <c r="AF143" s="2536"/>
      <c r="AG143" s="2537"/>
      <c r="AH143" s="2537"/>
      <c r="AI143" s="2916"/>
      <c r="AJ143" s="2537"/>
      <c r="AK143" s="2537"/>
      <c r="AL143" s="1996"/>
      <c r="AM143" s="1833"/>
      <c r="AN143" s="1833"/>
      <c r="AO143" s="1833"/>
      <c r="AP143" s="1833"/>
      <c r="AQ143" s="1833"/>
      <c r="AR143" s="1833"/>
      <c r="AS143" s="1833"/>
      <c r="AT143" s="1833"/>
      <c r="AU143" s="1833"/>
      <c r="AV143" s="1833"/>
      <c r="AW143" s="1833"/>
      <c r="AX143" s="1833"/>
      <c r="AY143" s="1833"/>
      <c r="AZ143" s="1833"/>
      <c r="BA143" s="1833"/>
      <c r="BB143" s="1833"/>
      <c r="BC143" s="1833"/>
      <c r="BD143" s="1833"/>
      <c r="BE143" s="1833"/>
      <c r="BF143" s="1833"/>
      <c r="BG143" s="1646"/>
    </row>
    <row customHeight="1" ht="11.25">
      <c r="A144" s="1177" t="s">
        <v>1088</v>
      </c>
      <c r="B144" s="1177"/>
      <c r="C144" s="1177"/>
      <c r="D144" s="1171"/>
      <c r="E144" s="1181"/>
      <c r="F144" s="1839"/>
      <c r="G144" s="1840"/>
      <c r="H144" s="2545" t="s">
        <v>1172</v>
      </c>
      <c r="I144" s="2546"/>
      <c r="J144" s="2515"/>
      <c r="K144" s="2547"/>
      <c r="L144" s="2137"/>
      <c r="M144" s="2138"/>
      <c r="N144" s="2538"/>
      <c r="O144" s="2539"/>
      <c r="P144" s="2541"/>
      <c r="Q144" s="2543"/>
      <c r="R144" s="2543"/>
      <c r="S144" s="2544"/>
      <c r="T144" s="2543"/>
      <c r="U144" s="2543"/>
      <c r="V144" s="2543"/>
      <c r="W144" s="2543"/>
      <c r="X144" s="2543"/>
      <c r="Y144" s="2543"/>
      <c r="Z144" s="1838"/>
      <c r="AA144" s="1804">
        <v>1</v>
      </c>
      <c r="AB144" s="1190" t="s">
        <v>1129</v>
      </c>
      <c r="AC144" s="1180">
        <v>1500</v>
      </c>
      <c r="AD144" s="1190" t="str">
        <f>AB144</f>
        <v>  Прибыль направляемая на инвестиции</v>
      </c>
      <c r="AE144" s="1180">
        <v>0</v>
      </c>
      <c r="AF144" s="2536"/>
      <c r="AG144" s="2537"/>
      <c r="AH144" s="2537"/>
      <c r="AI144" s="2916"/>
      <c r="AJ144" s="2537"/>
      <c r="AK144" s="2537"/>
      <c r="AL144" s="1996"/>
      <c r="AM144" s="1833"/>
      <c r="AN144" s="1833"/>
      <c r="AO144" s="1833"/>
      <c r="AP144" s="1833"/>
      <c r="AQ144" s="1833"/>
      <c r="AR144" s="1833"/>
      <c r="AS144" s="1833"/>
      <c r="AT144" s="1833"/>
      <c r="AU144" s="1833"/>
      <c r="AV144" s="1833"/>
      <c r="AW144" s="1833"/>
      <c r="AX144" s="1833"/>
      <c r="AY144" s="1833"/>
      <c r="AZ144" s="1833"/>
      <c r="BA144" s="1833"/>
      <c r="BB144" s="1833"/>
      <c r="BC144" s="1833"/>
      <c r="BD144" s="1833"/>
      <c r="BE144" s="1833"/>
      <c r="BF144" s="1833"/>
      <c r="BG144" s="1646"/>
    </row>
    <row customHeight="1" ht="11.25">
      <c r="A145" s="1177" t="s">
        <v>1088</v>
      </c>
      <c r="B145" s="1177"/>
      <c r="C145" s="1177"/>
      <c r="D145" s="1171"/>
      <c r="E145" s="1181"/>
      <c r="F145" s="1839"/>
      <c r="G145" s="1840"/>
      <c r="H145" s="2545" t="s">
        <v>1172</v>
      </c>
      <c r="I145" s="2546"/>
      <c r="J145" s="2515"/>
      <c r="K145" s="2547"/>
      <c r="L145" s="2137"/>
      <c r="M145" s="2138"/>
      <c r="N145" s="2538"/>
      <c r="O145" s="2539"/>
      <c r="P145" s="2542"/>
      <c r="Q145" s="2543"/>
      <c r="R145" s="2543"/>
      <c r="S145" s="2544"/>
      <c r="T145" s="2543"/>
      <c r="U145" s="2543"/>
      <c r="V145" s="2543"/>
      <c r="W145" s="2543"/>
      <c r="X145" s="2543"/>
      <c r="Y145" s="2543"/>
      <c r="Z145" s="1186"/>
      <c r="AA145" s="1187"/>
      <c r="AB145" s="1252" t="s">
        <v>1130</v>
      </c>
      <c r="AC145" s="1191"/>
      <c r="AD145" s="1191"/>
      <c r="AE145" s="1193"/>
      <c r="AF145" s="2536"/>
      <c r="AG145" s="2537"/>
      <c r="AH145" s="2537"/>
      <c r="AI145" s="2916"/>
      <c r="AJ145" s="2537"/>
      <c r="AK145" s="2537"/>
      <c r="AL145" s="1996"/>
      <c r="AM145" s="1833"/>
      <c r="AN145" s="1833"/>
      <c r="AO145" s="1833"/>
      <c r="AP145" s="1833"/>
      <c r="AQ145" s="1833"/>
      <c r="AR145" s="1833"/>
      <c r="AS145" s="1833"/>
      <c r="AT145" s="1833"/>
      <c r="AU145" s="1833"/>
      <c r="AV145" s="1833"/>
      <c r="AW145" s="1833"/>
      <c r="AX145" s="1833"/>
      <c r="AY145" s="1833"/>
      <c r="AZ145" s="1833"/>
      <c r="BA145" s="1833"/>
      <c r="BB145" s="1833"/>
      <c r="BC145" s="1833"/>
      <c r="BD145" s="1833"/>
      <c r="BE145" s="1833"/>
      <c r="BF145" s="1833"/>
      <c r="BG145" s="1646"/>
    </row>
    <row customHeight="1" ht="11.25">
      <c r="A146" s="1177" t="s">
        <v>1088</v>
      </c>
      <c r="B146" s="1177"/>
      <c r="C146" s="1177"/>
      <c r="D146" s="1171"/>
      <c r="E146" s="1181"/>
      <c r="F146" s="1839"/>
      <c r="G146" s="1840"/>
      <c r="H146" s="2545" t="s">
        <v>1172</v>
      </c>
      <c r="I146" s="2546"/>
      <c r="J146" s="2515"/>
      <c r="K146" s="2547"/>
      <c r="L146" s="2137"/>
      <c r="M146" s="2138"/>
      <c r="N146" s="1186"/>
      <c r="O146" s="1187"/>
      <c r="P146" s="1179" t="s">
        <v>1131</v>
      </c>
      <c r="Q146" s="1187"/>
      <c r="R146" s="1187"/>
      <c r="S146" s="1187"/>
      <c r="T146" s="1187"/>
      <c r="U146" s="1187"/>
      <c r="V146" s="1187"/>
      <c r="W146" s="1187"/>
      <c r="X146" s="1187"/>
      <c r="Y146" s="1187"/>
      <c r="Z146" s="1187"/>
      <c r="AA146" s="1187"/>
      <c r="AB146" s="1187"/>
      <c r="AC146" s="1187"/>
      <c r="AD146" s="1187"/>
      <c r="AE146" s="1194"/>
      <c r="AF146" s="2536"/>
      <c r="AG146" s="2537"/>
      <c r="AH146" s="2537"/>
      <c r="AI146" s="2916"/>
      <c r="AJ146" s="2537"/>
      <c r="AK146" s="2537"/>
      <c r="AL146" s="1996"/>
      <c r="AM146" s="1833"/>
      <c r="AN146" s="1833"/>
      <c r="AO146" s="1833"/>
      <c r="AP146" s="1833"/>
      <c r="AQ146" s="1833"/>
      <c r="AR146" s="1833"/>
      <c r="AS146" s="1833"/>
      <c r="AT146" s="1833"/>
      <c r="AU146" s="1833"/>
      <c r="AV146" s="1833"/>
      <c r="AW146" s="1833"/>
      <c r="AX146" s="1833"/>
      <c r="AY146" s="1833"/>
      <c r="AZ146" s="1833"/>
      <c r="BA146" s="1833"/>
      <c r="BB146" s="1833"/>
      <c r="BC146" s="1833"/>
      <c r="BD146" s="1833"/>
      <c r="BE146" s="1833"/>
      <c r="BF146" s="1833"/>
      <c r="BG146" s="1646"/>
    </row>
    <row customHeight="1" ht="11.25">
      <c r="A147" s="1177" t="s">
        <v>1088</v>
      </c>
      <c r="B147" s="1177" t="s">
        <v>1155</v>
      </c>
      <c r="C147" s="1177"/>
      <c r="D147" s="1171"/>
      <c r="E147" s="1181"/>
      <c r="F147" s="1839"/>
      <c r="G147" s="694" t="s">
        <v>105</v>
      </c>
      <c r="H147" s="2545" t="s">
        <v>1179</v>
      </c>
      <c r="I147" s="2546" t="s">
        <v>1156</v>
      </c>
      <c r="J147" s="2515" t="s">
        <v>1157</v>
      </c>
      <c r="K147" s="2547" t="s">
        <v>1180</v>
      </c>
      <c r="L147" s="2137" t="s">
        <v>19</v>
      </c>
      <c r="M147" s="2138"/>
      <c r="N147" s="1994"/>
      <c r="O147" s="1188" t="s">
        <v>390</v>
      </c>
      <c r="P147" s="1189"/>
      <c r="Q147" s="1189"/>
      <c r="R147" s="1189"/>
      <c r="S147" s="1189"/>
      <c r="T147" s="1189"/>
      <c r="U147" s="1189"/>
      <c r="V147" s="1189"/>
      <c r="W147" s="1189"/>
      <c r="X147" s="1189"/>
      <c r="Y147" s="1189"/>
      <c r="Z147" s="1189"/>
      <c r="AA147" s="1189"/>
      <c r="AB147" s="1189"/>
      <c r="AC147" s="1189"/>
      <c r="AD147" s="1189"/>
      <c r="AE147" s="1189"/>
      <c r="AF147" s="2536">
        <v>2026</v>
      </c>
      <c r="AG147" s="2537" t="s">
        <v>1122</v>
      </c>
      <c r="AH147" s="2537" t="s">
        <v>1169</v>
      </c>
      <c r="AI147" s="2916"/>
      <c r="AJ147" s="2537" t="s">
        <v>1154</v>
      </c>
      <c r="AK147" s="2537" t="s">
        <v>1154</v>
      </c>
      <c r="AL147" s="1996"/>
      <c r="AM147" s="1833"/>
      <c r="AN147" s="1833"/>
      <c r="AO147" s="1833"/>
      <c r="AP147" s="1833"/>
      <c r="AQ147" s="1833"/>
      <c r="AR147" s="1833"/>
      <c r="AS147" s="1833"/>
      <c r="AT147" s="1833"/>
      <c r="AU147" s="1833"/>
      <c r="AV147" s="1833"/>
      <c r="AW147" s="1833"/>
      <c r="AX147" s="1833"/>
      <c r="AY147" s="1833"/>
      <c r="AZ147" s="1833"/>
      <c r="BA147" s="1833"/>
      <c r="BB147" s="1833"/>
      <c r="BC147" s="1833"/>
      <c r="BD147" s="1833"/>
      <c r="BE147" s="1833"/>
      <c r="BF147" s="1833"/>
      <c r="BG147" s="1646"/>
    </row>
    <row customHeight="1" ht="11.25">
      <c r="A148" s="1177" t="s">
        <v>1088</v>
      </c>
      <c r="B148" s="1177"/>
      <c r="C148" s="1177"/>
      <c r="D148" s="1171"/>
      <c r="E148" s="1181"/>
      <c r="F148" s="1839"/>
      <c r="G148" s="1840"/>
      <c r="H148" s="2545" t="s">
        <v>1177</v>
      </c>
      <c r="I148" s="2546"/>
      <c r="J148" s="2515"/>
      <c r="K148" s="2547"/>
      <c r="L148" s="2137"/>
      <c r="M148" s="2138"/>
      <c r="N148" s="2538"/>
      <c r="O148" s="2539">
        <v>1</v>
      </c>
      <c r="P148" s="2540" t="s">
        <v>63</v>
      </c>
      <c r="Q148" s="2913" t="s">
        <v>1181</v>
      </c>
      <c r="R148" s="2914" t="s">
        <v>1124</v>
      </c>
      <c r="S148" s="2914" t="s">
        <v>112</v>
      </c>
      <c r="T148" s="2914" t="s">
        <v>112</v>
      </c>
      <c r="U148" s="2914" t="s">
        <v>113</v>
      </c>
      <c r="V148" s="2914" t="s">
        <v>1182</v>
      </c>
      <c r="W148" s="2914" t="s">
        <v>1183</v>
      </c>
      <c r="X148" s="2914" t="s">
        <v>1184</v>
      </c>
      <c r="Y148" s="2914" t="s">
        <v>1185</v>
      </c>
      <c r="Z148" s="1186"/>
      <c r="AA148" s="1187"/>
      <c r="AB148" s="1187"/>
      <c r="AC148" s="1191"/>
      <c r="AD148" s="1191"/>
      <c r="AE148" s="1192"/>
      <c r="AF148" s="2536"/>
      <c r="AG148" s="2537"/>
      <c r="AH148" s="2537"/>
      <c r="AI148" s="2916"/>
      <c r="AJ148" s="2537"/>
      <c r="AK148" s="2537"/>
      <c r="AL148" s="1996"/>
      <c r="AM148" s="1833"/>
      <c r="AN148" s="1833"/>
      <c r="AO148" s="1833"/>
      <c r="AP148" s="1833"/>
      <c r="AQ148" s="1833"/>
      <c r="AR148" s="1833"/>
      <c r="AS148" s="1833"/>
      <c r="AT148" s="1833"/>
      <c r="AU148" s="1833"/>
      <c r="AV148" s="1833"/>
      <c r="AW148" s="1833"/>
      <c r="AX148" s="1833"/>
      <c r="AY148" s="1833"/>
      <c r="AZ148" s="1833"/>
      <c r="BA148" s="1833"/>
      <c r="BB148" s="1833"/>
      <c r="BC148" s="1833"/>
      <c r="BD148" s="1833"/>
      <c r="BE148" s="1833"/>
      <c r="BF148" s="1833"/>
      <c r="BG148" s="1646"/>
    </row>
    <row customHeight="1" ht="11.25">
      <c r="A149" s="1177" t="s">
        <v>1088</v>
      </c>
      <c r="B149" s="1177"/>
      <c r="C149" s="1177"/>
      <c r="D149" s="1171"/>
      <c r="E149" s="1181"/>
      <c r="F149" s="1839"/>
      <c r="G149" s="1840"/>
      <c r="H149" s="2545" t="s">
        <v>1177</v>
      </c>
      <c r="I149" s="2546"/>
      <c r="J149" s="2515"/>
      <c r="K149" s="2547"/>
      <c r="L149" s="2137"/>
      <c r="M149" s="2138"/>
      <c r="N149" s="2538"/>
      <c r="O149" s="2539"/>
      <c r="P149" s="2541"/>
      <c r="Q149" s="2913"/>
      <c r="R149" s="2543"/>
      <c r="S149" s="2544"/>
      <c r="T149" s="2543"/>
      <c r="U149" s="2543"/>
      <c r="V149" s="2543"/>
      <c r="W149" s="2543"/>
      <c r="X149" s="2543"/>
      <c r="Y149" s="2543"/>
      <c r="Z149" s="1838"/>
      <c r="AA149" s="1804">
        <v>1</v>
      </c>
      <c r="AB149" s="1190" t="s">
        <v>1159</v>
      </c>
      <c r="AC149" s="1180">
        <v>4000</v>
      </c>
      <c r="AD149" s="1190" t="str">
        <f>AB149</f>
        <v>      Прочие амортизационные отчисления</v>
      </c>
      <c r="AE149" s="1180">
        <v>4239.33134</v>
      </c>
      <c r="AF149" s="2536"/>
      <c r="AG149" s="2537"/>
      <c r="AH149" s="2537"/>
      <c r="AI149" s="2916"/>
      <c r="AJ149" s="2537"/>
      <c r="AK149" s="2537"/>
      <c r="AL149" s="1996"/>
      <c r="AM149" s="1833"/>
      <c r="AN149" s="1833"/>
      <c r="AO149" s="1833"/>
      <c r="AP149" s="1833"/>
      <c r="AQ149" s="1833"/>
      <c r="AR149" s="1833"/>
      <c r="AS149" s="1833"/>
      <c r="AT149" s="1833"/>
      <c r="AU149" s="1833"/>
      <c r="AV149" s="1833"/>
      <c r="AW149" s="1833"/>
      <c r="AX149" s="1833"/>
      <c r="AY149" s="1833"/>
      <c r="AZ149" s="1833"/>
      <c r="BA149" s="1833"/>
      <c r="BB149" s="1833"/>
      <c r="BC149" s="1833"/>
      <c r="BD149" s="1833"/>
      <c r="BE149" s="1833"/>
      <c r="BF149" s="1833"/>
      <c r="BG149" s="1646"/>
    </row>
    <row customHeight="1" ht="11.25">
      <c r="A150" s="1177" t="s">
        <v>1088</v>
      </c>
      <c r="B150" s="1177"/>
      <c r="C150" s="1177"/>
      <c r="D150" s="1171"/>
      <c r="E150" s="1181"/>
      <c r="F150" s="1839"/>
      <c r="G150" s="1840"/>
      <c r="H150" s="2545" t="s">
        <v>1177</v>
      </c>
      <c r="I150" s="2546"/>
      <c r="J150" s="2515"/>
      <c r="K150" s="2547"/>
      <c r="L150" s="2137"/>
      <c r="M150" s="2138"/>
      <c r="N150" s="2538"/>
      <c r="O150" s="2539"/>
      <c r="P150" s="2542"/>
      <c r="Q150" s="2913"/>
      <c r="R150" s="2543"/>
      <c r="S150" s="2544"/>
      <c r="T150" s="2543"/>
      <c r="U150" s="2543"/>
      <c r="V150" s="2543"/>
      <c r="W150" s="2543"/>
      <c r="X150" s="2543"/>
      <c r="Y150" s="2543"/>
      <c r="Z150" s="1186"/>
      <c r="AA150" s="1187"/>
      <c r="AB150" s="1252" t="s">
        <v>1130</v>
      </c>
      <c r="AC150" s="1191"/>
      <c r="AD150" s="1191"/>
      <c r="AE150" s="1193"/>
      <c r="AF150" s="2536"/>
      <c r="AG150" s="2537"/>
      <c r="AH150" s="2537"/>
      <c r="AI150" s="2916"/>
      <c r="AJ150" s="2537"/>
      <c r="AK150" s="2537"/>
      <c r="AL150" s="1996"/>
      <c r="AM150" s="1833"/>
      <c r="AN150" s="1833"/>
      <c r="AO150" s="1833"/>
      <c r="AP150" s="1833"/>
      <c r="AQ150" s="1833"/>
      <c r="AR150" s="1833"/>
      <c r="AS150" s="1833"/>
      <c r="AT150" s="1833"/>
      <c r="AU150" s="1833"/>
      <c r="AV150" s="1833"/>
      <c r="AW150" s="1833"/>
      <c r="AX150" s="1833"/>
      <c r="AY150" s="1833"/>
      <c r="AZ150" s="1833"/>
      <c r="BA150" s="1833"/>
      <c r="BB150" s="1833"/>
      <c r="BC150" s="1833"/>
      <c r="BD150" s="1833"/>
      <c r="BE150" s="1833"/>
      <c r="BF150" s="1833"/>
      <c r="BG150" s="1646"/>
    </row>
    <row customHeight="1" ht="11.25">
      <c r="A151" s="1177" t="s">
        <v>1088</v>
      </c>
      <c r="B151" s="1177"/>
      <c r="C151" s="1177"/>
      <c r="D151" s="1171"/>
      <c r="E151" s="1181"/>
      <c r="F151" s="1839"/>
      <c r="G151" s="1840"/>
      <c r="H151" s="2545" t="s">
        <v>1177</v>
      </c>
      <c r="I151" s="2546"/>
      <c r="J151" s="2515"/>
      <c r="K151" s="2547"/>
      <c r="L151" s="2137"/>
      <c r="M151" s="2138"/>
      <c r="N151" s="1186"/>
      <c r="O151" s="1187"/>
      <c r="P151" s="1179" t="s">
        <v>1131</v>
      </c>
      <c r="Q151" s="1187"/>
      <c r="R151" s="1187"/>
      <c r="S151" s="1187"/>
      <c r="T151" s="1187"/>
      <c r="U151" s="1187"/>
      <c r="V151" s="1187"/>
      <c r="W151" s="1187"/>
      <c r="X151" s="1187"/>
      <c r="Y151" s="1187"/>
      <c r="Z151" s="1187"/>
      <c r="AA151" s="1187"/>
      <c r="AB151" s="1187"/>
      <c r="AC151" s="1187"/>
      <c r="AD151" s="1187"/>
      <c r="AE151" s="1194"/>
      <c r="AF151" s="2536"/>
      <c r="AG151" s="2537"/>
      <c r="AH151" s="2537"/>
      <c r="AI151" s="2916"/>
      <c r="AJ151" s="2537"/>
      <c r="AK151" s="2537"/>
      <c r="AL151" s="1996"/>
      <c r="AM151" s="1833"/>
      <c r="AN151" s="1833"/>
      <c r="AO151" s="1833"/>
      <c r="AP151" s="1833"/>
      <c r="AQ151" s="1833"/>
      <c r="AR151" s="1833"/>
      <c r="AS151" s="1833"/>
      <c r="AT151" s="1833"/>
      <c r="AU151" s="1833"/>
      <c r="AV151" s="1833"/>
      <c r="AW151" s="1833"/>
      <c r="AX151" s="1833"/>
      <c r="AY151" s="1833"/>
      <c r="AZ151" s="1833"/>
      <c r="BA151" s="1833"/>
      <c r="BB151" s="1833"/>
      <c r="BC151" s="1833"/>
      <c r="BD151" s="1833"/>
      <c r="BE151" s="1833"/>
      <c r="BF151" s="1833"/>
      <c r="BG151" s="1646"/>
    </row>
    <row customHeight="1" ht="11.25">
      <c r="A152" s="1177" t="s">
        <v>1088</v>
      </c>
      <c r="B152" s="1177" t="s">
        <v>1155</v>
      </c>
      <c r="C152" s="1177"/>
      <c r="D152" s="1171"/>
      <c r="E152" s="1181"/>
      <c r="F152" s="1839"/>
      <c r="G152" s="694" t="s">
        <v>105</v>
      </c>
      <c r="H152" s="2545" t="s">
        <v>1186</v>
      </c>
      <c r="I152" s="2546" t="s">
        <v>1156</v>
      </c>
      <c r="J152" s="2515" t="s">
        <v>1157</v>
      </c>
      <c r="K152" s="2547" t="s">
        <v>1187</v>
      </c>
      <c r="L152" s="2137" t="s">
        <v>19</v>
      </c>
      <c r="M152" s="2138"/>
      <c r="N152" s="1994"/>
      <c r="O152" s="1188" t="s">
        <v>390</v>
      </c>
      <c r="P152" s="1189"/>
      <c r="Q152" s="1189"/>
      <c r="R152" s="1189"/>
      <c r="S152" s="1189"/>
      <c r="T152" s="1189"/>
      <c r="U152" s="1189"/>
      <c r="V152" s="1189"/>
      <c r="W152" s="1189"/>
      <c r="X152" s="1189"/>
      <c r="Y152" s="1189"/>
      <c r="Z152" s="1189"/>
      <c r="AA152" s="1189"/>
      <c r="AB152" s="1189"/>
      <c r="AC152" s="1189"/>
      <c r="AD152" s="1189"/>
      <c r="AE152" s="1189"/>
      <c r="AF152" s="2536">
        <v>2026</v>
      </c>
      <c r="AG152" s="2537" t="s">
        <v>1122</v>
      </c>
      <c r="AH152" s="2537" t="s">
        <v>1169</v>
      </c>
      <c r="AI152" s="2916"/>
      <c r="AJ152" s="2537" t="s">
        <v>1154</v>
      </c>
      <c r="AK152" s="2537" t="s">
        <v>1154</v>
      </c>
      <c r="AL152" s="1996"/>
      <c r="AM152" s="1833"/>
      <c r="AN152" s="1833"/>
      <c r="AO152" s="1833"/>
      <c r="AP152" s="1833"/>
      <c r="AQ152" s="1833"/>
      <c r="AR152" s="1833"/>
      <c r="AS152" s="1833"/>
      <c r="AT152" s="1833"/>
      <c r="AU152" s="1833"/>
      <c r="AV152" s="1833"/>
      <c r="AW152" s="1833"/>
      <c r="AX152" s="1833"/>
      <c r="AY152" s="1833"/>
      <c r="AZ152" s="1833"/>
      <c r="BA152" s="1833"/>
      <c r="BB152" s="1833"/>
      <c r="BC152" s="1833"/>
      <c r="BD152" s="1833"/>
      <c r="BE152" s="1833"/>
      <c r="BF152" s="1833"/>
      <c r="BG152" s="1646"/>
    </row>
    <row customHeight="1" ht="11.25">
      <c r="A153" s="1177" t="s">
        <v>1088</v>
      </c>
      <c r="B153" s="1177"/>
      <c r="C153" s="1177"/>
      <c r="D153" s="1171"/>
      <c r="E153" s="1181"/>
      <c r="F153" s="1839"/>
      <c r="G153" s="1840"/>
      <c r="H153" s="2545" t="s">
        <v>1179</v>
      </c>
      <c r="I153" s="2546"/>
      <c r="J153" s="2515"/>
      <c r="K153" s="2547"/>
      <c r="L153" s="2137"/>
      <c r="M153" s="2138"/>
      <c r="N153" s="2538"/>
      <c r="O153" s="2539">
        <v>1</v>
      </c>
      <c r="P153" s="2540" t="s">
        <v>63</v>
      </c>
      <c r="Q153" s="2913" t="s">
        <v>1188</v>
      </c>
      <c r="R153" s="2914" t="s">
        <v>1124</v>
      </c>
      <c r="S153" s="2914" t="s">
        <v>112</v>
      </c>
      <c r="T153" s="2914" t="s">
        <v>112</v>
      </c>
      <c r="U153" s="2914" t="s">
        <v>113</v>
      </c>
      <c r="V153" s="2914" t="s">
        <v>1189</v>
      </c>
      <c r="W153" s="2914" t="s">
        <v>1190</v>
      </c>
      <c r="X153" s="2914" t="s">
        <v>1191</v>
      </c>
      <c r="Y153" s="2914" t="s">
        <v>167</v>
      </c>
      <c r="Z153" s="1186"/>
      <c r="AA153" s="1187"/>
      <c r="AB153" s="1187"/>
      <c r="AC153" s="1191"/>
      <c r="AD153" s="1191"/>
      <c r="AE153" s="1192"/>
      <c r="AF153" s="2536"/>
      <c r="AG153" s="2537"/>
      <c r="AH153" s="2537"/>
      <c r="AI153" s="2916"/>
      <c r="AJ153" s="2537"/>
      <c r="AK153" s="2537"/>
      <c r="AL153" s="1996"/>
      <c r="AM153" s="1833"/>
      <c r="AN153" s="1833"/>
      <c r="AO153" s="1833"/>
      <c r="AP153" s="1833"/>
      <c r="AQ153" s="1833"/>
      <c r="AR153" s="1833"/>
      <c r="AS153" s="1833"/>
      <c r="AT153" s="1833"/>
      <c r="AU153" s="1833"/>
      <c r="AV153" s="1833"/>
      <c r="AW153" s="1833"/>
      <c r="AX153" s="1833"/>
      <c r="AY153" s="1833"/>
      <c r="AZ153" s="1833"/>
      <c r="BA153" s="1833"/>
      <c r="BB153" s="1833"/>
      <c r="BC153" s="1833"/>
      <c r="BD153" s="1833"/>
      <c r="BE153" s="1833"/>
      <c r="BF153" s="1833"/>
      <c r="BG153" s="1646"/>
    </row>
    <row customHeight="1" ht="11.25">
      <c r="A154" s="1177" t="s">
        <v>1088</v>
      </c>
      <c r="B154" s="1177"/>
      <c r="C154" s="1177"/>
      <c r="D154" s="1171"/>
      <c r="E154" s="1181"/>
      <c r="F154" s="1839"/>
      <c r="G154" s="1840"/>
      <c r="H154" s="2545" t="s">
        <v>1179</v>
      </c>
      <c r="I154" s="2546"/>
      <c r="J154" s="2515"/>
      <c r="K154" s="2547"/>
      <c r="L154" s="2137"/>
      <c r="M154" s="2138"/>
      <c r="N154" s="2538"/>
      <c r="O154" s="2539"/>
      <c r="P154" s="2541"/>
      <c r="Q154" s="2913"/>
      <c r="R154" s="2543"/>
      <c r="S154" s="2544"/>
      <c r="T154" s="2543"/>
      <c r="U154" s="2543"/>
      <c r="V154" s="2543"/>
      <c r="W154" s="2543"/>
      <c r="X154" s="2543"/>
      <c r="Y154" s="2543"/>
      <c r="Z154" s="1838"/>
      <c r="AA154" s="1804">
        <v>1</v>
      </c>
      <c r="AB154" s="1190" t="s">
        <v>1129</v>
      </c>
      <c r="AC154" s="1180">
        <v>8202.16</v>
      </c>
      <c r="AD154" s="1190" t="str">
        <f>AB154</f>
        <v>  Прибыль направляемая на инвестиции</v>
      </c>
      <c r="AE154" s="1180">
        <v>0</v>
      </c>
      <c r="AF154" s="2536"/>
      <c r="AG154" s="2537"/>
      <c r="AH154" s="2537"/>
      <c r="AI154" s="2916"/>
      <c r="AJ154" s="2537"/>
      <c r="AK154" s="2537"/>
      <c r="AL154" s="1996"/>
      <c r="AM154" s="1833"/>
      <c r="AN154" s="1833"/>
      <c r="AO154" s="1833"/>
      <c r="AP154" s="1833"/>
      <c r="AQ154" s="1833"/>
      <c r="AR154" s="1833"/>
      <c r="AS154" s="1833"/>
      <c r="AT154" s="1833"/>
      <c r="AU154" s="1833"/>
      <c r="AV154" s="1833"/>
      <c r="AW154" s="1833"/>
      <c r="AX154" s="1833"/>
      <c r="AY154" s="1833"/>
      <c r="AZ154" s="1833"/>
      <c r="BA154" s="1833"/>
      <c r="BB154" s="1833"/>
      <c r="BC154" s="1833"/>
      <c r="BD154" s="1833"/>
      <c r="BE154" s="1833"/>
      <c r="BF154" s="1833"/>
      <c r="BG154" s="1646"/>
    </row>
    <row customHeight="1" ht="11.25">
      <c r="A155" s="1177" t="s">
        <v>1088</v>
      </c>
      <c r="B155" s="1177"/>
      <c r="C155" s="1177"/>
      <c r="D155" s="1171"/>
      <c r="E155" s="1181"/>
      <c r="F155" s="1840"/>
      <c r="G155" s="1840"/>
      <c r="H155" s="1840"/>
      <c r="I155" s="1840"/>
      <c r="J155" s="1840"/>
      <c r="K155" s="1840"/>
      <c r="L155" s="1840"/>
      <c r="M155" s="1840"/>
      <c r="N155" s="1840"/>
      <c r="O155" s="1840"/>
      <c r="P155" s="1840"/>
      <c r="Q155" s="1840"/>
      <c r="R155" s="1840"/>
      <c r="S155" s="1840"/>
      <c r="T155" s="1840"/>
      <c r="U155" s="1840"/>
      <c r="V155" s="1840"/>
      <c r="W155" s="1840"/>
      <c r="X155" s="1840"/>
      <c r="Y155" s="1840"/>
      <c r="Z155" s="694" t="s">
        <v>105</v>
      </c>
      <c r="AA155" s="1824" t="s">
        <v>104</v>
      </c>
      <c r="AB155" s="1190" t="s">
        <v>1159</v>
      </c>
      <c r="AC155" s="1180">
        <v>0</v>
      </c>
      <c r="AD155" s="1190" t="str">
        <f>AB155</f>
        <v>      Прочие амортизационные отчисления</v>
      </c>
      <c r="AE155" s="1180">
        <v>7079.06183</v>
      </c>
      <c r="AF155" s="2097"/>
      <c r="AG155" s="1769"/>
      <c r="AH155" s="1769"/>
      <c r="AI155" s="2917"/>
      <c r="AJ155" s="1769"/>
      <c r="AK155" s="1995"/>
      <c r="AL155" s="1996"/>
      <c r="AM155" s="1833"/>
      <c r="AN155" s="1833"/>
      <c r="AO155" s="1833"/>
      <c r="AP155" s="1833"/>
      <c r="AQ155" s="1833"/>
      <c r="AR155" s="1833"/>
      <c r="AS155" s="1833"/>
      <c r="AT155" s="1833"/>
      <c r="AU155" s="1833"/>
      <c r="AV155" s="1833"/>
      <c r="AW155" s="1833"/>
      <c r="AX155" s="1833"/>
      <c r="AY155" s="1833"/>
      <c r="AZ155" s="1833"/>
      <c r="BA155" s="1833"/>
      <c r="BB155" s="1833"/>
      <c r="BC155" s="1833"/>
      <c r="BD155" s="1833"/>
      <c r="BE155" s="1833"/>
      <c r="BF155" s="1833"/>
      <c r="BG155" s="1646"/>
    </row>
    <row customHeight="1" ht="11.25">
      <c r="A156" s="1177" t="s">
        <v>1088</v>
      </c>
      <c r="B156" s="1177"/>
      <c r="C156" s="1177"/>
      <c r="D156" s="1171"/>
      <c r="E156" s="1181"/>
      <c r="F156" s="1839"/>
      <c r="G156" s="1840"/>
      <c r="H156" s="2545" t="s">
        <v>1179</v>
      </c>
      <c r="I156" s="2546"/>
      <c r="J156" s="2515"/>
      <c r="K156" s="2547"/>
      <c r="L156" s="2137"/>
      <c r="M156" s="2138"/>
      <c r="N156" s="2538"/>
      <c r="O156" s="2539"/>
      <c r="P156" s="2542"/>
      <c r="Q156" s="2913"/>
      <c r="R156" s="2543"/>
      <c r="S156" s="2544"/>
      <c r="T156" s="2543"/>
      <c r="U156" s="2543"/>
      <c r="V156" s="2543"/>
      <c r="W156" s="2543"/>
      <c r="X156" s="2543"/>
      <c r="Y156" s="2543"/>
      <c r="Z156" s="1186"/>
      <c r="AA156" s="1187"/>
      <c r="AB156" s="1252" t="s">
        <v>1130</v>
      </c>
      <c r="AC156" s="1191"/>
      <c r="AD156" s="1191"/>
      <c r="AE156" s="1193"/>
      <c r="AF156" s="2536"/>
      <c r="AG156" s="2537"/>
      <c r="AH156" s="2537"/>
      <c r="AI156" s="2916"/>
      <c r="AJ156" s="2537"/>
      <c r="AK156" s="2537"/>
      <c r="AL156" s="1996"/>
      <c r="AM156" s="1833"/>
      <c r="AN156" s="1833"/>
      <c r="AO156" s="1833"/>
      <c r="AP156" s="1833"/>
      <c r="AQ156" s="1833"/>
      <c r="AR156" s="1833"/>
      <c r="AS156" s="1833"/>
      <c r="AT156" s="1833"/>
      <c r="AU156" s="1833"/>
      <c r="AV156" s="1833"/>
      <c r="AW156" s="1833"/>
      <c r="AX156" s="1833"/>
      <c r="AY156" s="1833"/>
      <c r="AZ156" s="1833"/>
      <c r="BA156" s="1833"/>
      <c r="BB156" s="1833"/>
      <c r="BC156" s="1833"/>
      <c r="BD156" s="1833"/>
      <c r="BE156" s="1833"/>
      <c r="BF156" s="1833"/>
      <c r="BG156" s="1646"/>
    </row>
    <row customHeight="1" ht="11.25">
      <c r="A157" s="1177" t="s">
        <v>1088</v>
      </c>
      <c r="B157" s="1177"/>
      <c r="C157" s="1177"/>
      <c r="D157" s="1171"/>
      <c r="E157" s="1181"/>
      <c r="F157" s="1839"/>
      <c r="G157" s="1840"/>
      <c r="H157" s="2545" t="s">
        <v>1179</v>
      </c>
      <c r="I157" s="2546"/>
      <c r="J157" s="2515"/>
      <c r="K157" s="2547"/>
      <c r="L157" s="2137"/>
      <c r="M157" s="2138"/>
      <c r="N157" s="1186"/>
      <c r="O157" s="1187"/>
      <c r="P157" s="1179" t="s">
        <v>1131</v>
      </c>
      <c r="Q157" s="1187"/>
      <c r="R157" s="1187"/>
      <c r="S157" s="1187"/>
      <c r="T157" s="1187"/>
      <c r="U157" s="1187"/>
      <c r="V157" s="1187"/>
      <c r="W157" s="1187"/>
      <c r="X157" s="1187"/>
      <c r="Y157" s="1187"/>
      <c r="Z157" s="1187"/>
      <c r="AA157" s="1187"/>
      <c r="AB157" s="1187"/>
      <c r="AC157" s="1187"/>
      <c r="AD157" s="1187"/>
      <c r="AE157" s="1194"/>
      <c r="AF157" s="2536"/>
      <c r="AG157" s="2537"/>
      <c r="AH157" s="2537"/>
      <c r="AI157" s="2916"/>
      <c r="AJ157" s="2537"/>
      <c r="AK157" s="2537"/>
      <c r="AL157" s="1996"/>
      <c r="AM157" s="1833"/>
      <c r="AN157" s="1833"/>
      <c r="AO157" s="1833"/>
      <c r="AP157" s="1833"/>
      <c r="AQ157" s="1833"/>
      <c r="AR157" s="1833"/>
      <c r="AS157" s="1833"/>
      <c r="AT157" s="1833"/>
      <c r="AU157" s="1833"/>
      <c r="AV157" s="1833"/>
      <c r="AW157" s="1833"/>
      <c r="AX157" s="1833"/>
      <c r="AY157" s="1833"/>
      <c r="AZ157" s="1833"/>
      <c r="BA157" s="1833"/>
      <c r="BB157" s="1833"/>
      <c r="BC157" s="1833"/>
      <c r="BD157" s="1833"/>
      <c r="BE157" s="1833"/>
      <c r="BF157" s="1833"/>
      <c r="BG157" s="1646"/>
    </row>
    <row customHeight="1" ht="11.25">
      <c r="A158" s="1177" t="s">
        <v>1088</v>
      </c>
      <c r="B158" s="1177" t="s">
        <v>22</v>
      </c>
      <c r="C158" s="1177"/>
      <c r="D158" s="1171"/>
      <c r="E158" s="1181"/>
      <c r="F158" s="1839"/>
      <c r="G158" s="694" t="s">
        <v>105</v>
      </c>
      <c r="H158" s="2545" t="s">
        <v>1192</v>
      </c>
      <c r="I158" s="2546" t="s">
        <v>1120</v>
      </c>
      <c r="J158" s="2911" t="s">
        <v>22</v>
      </c>
      <c r="K158" s="2547" t="s">
        <v>1193</v>
      </c>
      <c r="L158" s="2137" t="s">
        <v>19</v>
      </c>
      <c r="M158" s="2138"/>
      <c r="N158" s="1994"/>
      <c r="O158" s="1188" t="s">
        <v>390</v>
      </c>
      <c r="P158" s="1189"/>
      <c r="Q158" s="1189"/>
      <c r="R158" s="1189"/>
      <c r="S158" s="1189"/>
      <c r="T158" s="1189"/>
      <c r="U158" s="1189"/>
      <c r="V158" s="1189"/>
      <c r="W158" s="1189"/>
      <c r="X158" s="1189"/>
      <c r="Y158" s="1189"/>
      <c r="Z158" s="1189"/>
      <c r="AA158" s="1189"/>
      <c r="AB158" s="1189"/>
      <c r="AC158" s="1189"/>
      <c r="AD158" s="1189"/>
      <c r="AE158" s="1189"/>
      <c r="AF158" s="2536">
        <v>2028</v>
      </c>
      <c r="AG158" s="2537" t="s">
        <v>1122</v>
      </c>
      <c r="AH158" s="2537" t="s">
        <v>1153</v>
      </c>
      <c r="AI158" s="2916"/>
      <c r="AJ158" s="2537" t="s">
        <v>1154</v>
      </c>
      <c r="AK158" s="2537" t="s">
        <v>1154</v>
      </c>
      <c r="AL158" s="1996"/>
      <c r="AM158" s="1833"/>
      <c r="AN158" s="1833"/>
      <c r="AO158" s="1833"/>
      <c r="AP158" s="1833"/>
      <c r="AQ158" s="1833"/>
      <c r="AR158" s="1833"/>
      <c r="AS158" s="1833"/>
      <c r="AT158" s="1833"/>
      <c r="AU158" s="1833"/>
      <c r="AV158" s="1833"/>
      <c r="AW158" s="1833"/>
      <c r="AX158" s="1833"/>
      <c r="AY158" s="1833"/>
      <c r="AZ158" s="1833"/>
      <c r="BA158" s="1833"/>
      <c r="BB158" s="1833"/>
      <c r="BC158" s="1833"/>
      <c r="BD158" s="1833"/>
      <c r="BE158" s="1833"/>
      <c r="BF158" s="1833"/>
      <c r="BG158" s="1646"/>
    </row>
    <row customHeight="1" ht="11.25">
      <c r="A159" s="1177" t="s">
        <v>1088</v>
      </c>
      <c r="B159" s="1177"/>
      <c r="C159" s="1177"/>
      <c r="D159" s="1171"/>
      <c r="E159" s="1181"/>
      <c r="F159" s="1839"/>
      <c r="G159" s="1840"/>
      <c r="H159" s="2545" t="s">
        <v>1186</v>
      </c>
      <c r="I159" s="2546"/>
      <c r="J159" s="2911"/>
      <c r="K159" s="2547"/>
      <c r="L159" s="2137"/>
      <c r="M159" s="2138"/>
      <c r="N159" s="2538"/>
      <c r="O159" s="2539">
        <v>1</v>
      </c>
      <c r="P159" s="2540" t="s">
        <v>63</v>
      </c>
      <c r="Q159" s="2913" t="s">
        <v>616</v>
      </c>
      <c r="R159" s="2914" t="s">
        <v>1124</v>
      </c>
      <c r="S159" s="2914" t="s">
        <v>101</v>
      </c>
      <c r="T159" s="2914" t="s">
        <v>101</v>
      </c>
      <c r="U159" s="2914" t="s">
        <v>102</v>
      </c>
      <c r="V159" s="2914" t="s">
        <v>1125</v>
      </c>
      <c r="W159" s="2914" t="s">
        <v>1126</v>
      </c>
      <c r="X159" s="2914" t="s">
        <v>1194</v>
      </c>
      <c r="Y159" s="2914" t="s">
        <v>1195</v>
      </c>
      <c r="Z159" s="1186"/>
      <c r="AA159" s="1187"/>
      <c r="AB159" s="1187"/>
      <c r="AC159" s="1191"/>
      <c r="AD159" s="1191"/>
      <c r="AE159" s="1192"/>
      <c r="AF159" s="2536"/>
      <c r="AG159" s="2537"/>
      <c r="AH159" s="2537"/>
      <c r="AI159" s="2916"/>
      <c r="AJ159" s="2537"/>
      <c r="AK159" s="2537"/>
      <c r="AL159" s="1996"/>
      <c r="AM159" s="1833"/>
      <c r="AN159" s="1833"/>
      <c r="AO159" s="1833"/>
      <c r="AP159" s="1833"/>
      <c r="AQ159" s="1833"/>
      <c r="AR159" s="1833"/>
      <c r="AS159" s="1833"/>
      <c r="AT159" s="1833"/>
      <c r="AU159" s="1833"/>
      <c r="AV159" s="1833"/>
      <c r="AW159" s="1833"/>
      <c r="AX159" s="1833"/>
      <c r="AY159" s="1833"/>
      <c r="AZ159" s="1833"/>
      <c r="BA159" s="1833"/>
      <c r="BB159" s="1833"/>
      <c r="BC159" s="1833"/>
      <c r="BD159" s="1833"/>
      <c r="BE159" s="1833"/>
      <c r="BF159" s="1833"/>
      <c r="BG159" s="1646"/>
    </row>
    <row customHeight="1" ht="11.25">
      <c r="A160" s="1177" t="s">
        <v>1088</v>
      </c>
      <c r="B160" s="1177"/>
      <c r="C160" s="1177"/>
      <c r="D160" s="1171"/>
      <c r="E160" s="1181"/>
      <c r="F160" s="1839"/>
      <c r="G160" s="1840"/>
      <c r="H160" s="2545" t="s">
        <v>1186</v>
      </c>
      <c r="I160" s="2546"/>
      <c r="J160" s="2911"/>
      <c r="K160" s="2547"/>
      <c r="L160" s="2137"/>
      <c r="M160" s="2138"/>
      <c r="N160" s="2538"/>
      <c r="O160" s="2539"/>
      <c r="P160" s="2541"/>
      <c r="Q160" s="2913"/>
      <c r="R160" s="2543"/>
      <c r="S160" s="2544"/>
      <c r="T160" s="2543"/>
      <c r="U160" s="2543"/>
      <c r="V160" s="2543"/>
      <c r="W160" s="2543"/>
      <c r="X160" s="2543"/>
      <c r="Y160" s="2543"/>
      <c r="Z160" s="1838"/>
      <c r="AA160" s="1804">
        <v>1</v>
      </c>
      <c r="AB160" s="1190" t="s">
        <v>1159</v>
      </c>
      <c r="AC160" s="1180">
        <v>3000</v>
      </c>
      <c r="AD160" s="1190" t="str">
        <f>AB160</f>
        <v>      Прочие амортизационные отчисления</v>
      </c>
      <c r="AE160" s="1180">
        <v>1237.66667</v>
      </c>
      <c r="AF160" s="2536"/>
      <c r="AG160" s="2537"/>
      <c r="AH160" s="2537"/>
      <c r="AI160" s="2916"/>
      <c r="AJ160" s="2537"/>
      <c r="AK160" s="2537"/>
      <c r="AL160" s="1996"/>
      <c r="AM160" s="1833"/>
      <c r="AN160" s="1833"/>
      <c r="AO160" s="1833"/>
      <c r="AP160" s="1833"/>
      <c r="AQ160" s="1833"/>
      <c r="AR160" s="1833"/>
      <c r="AS160" s="1833"/>
      <c r="AT160" s="1833"/>
      <c r="AU160" s="1833"/>
      <c r="AV160" s="1833"/>
      <c r="AW160" s="1833"/>
      <c r="AX160" s="1833"/>
      <c r="AY160" s="1833"/>
      <c r="AZ160" s="1833"/>
      <c r="BA160" s="1833"/>
      <c r="BB160" s="1833"/>
      <c r="BC160" s="1833"/>
      <c r="BD160" s="1833"/>
      <c r="BE160" s="1833"/>
      <c r="BF160" s="1833"/>
      <c r="BG160" s="1646"/>
    </row>
    <row customHeight="1" ht="11.25">
      <c r="A161" s="1177" t="s">
        <v>1088</v>
      </c>
      <c r="B161" s="1177"/>
      <c r="C161" s="1177"/>
      <c r="D161" s="1171"/>
      <c r="E161" s="1181"/>
      <c r="F161" s="1839"/>
      <c r="G161" s="1840"/>
      <c r="H161" s="2545" t="s">
        <v>1186</v>
      </c>
      <c r="I161" s="2546"/>
      <c r="J161" s="2911"/>
      <c r="K161" s="2547"/>
      <c r="L161" s="2137"/>
      <c r="M161" s="2138"/>
      <c r="N161" s="2538"/>
      <c r="O161" s="2539"/>
      <c r="P161" s="2542"/>
      <c r="Q161" s="2913"/>
      <c r="R161" s="2543"/>
      <c r="S161" s="2544"/>
      <c r="T161" s="2543"/>
      <c r="U161" s="2543"/>
      <c r="V161" s="2543"/>
      <c r="W161" s="2543"/>
      <c r="X161" s="2543"/>
      <c r="Y161" s="2543"/>
      <c r="Z161" s="1186"/>
      <c r="AA161" s="1187"/>
      <c r="AB161" s="1252" t="s">
        <v>1130</v>
      </c>
      <c r="AC161" s="1191"/>
      <c r="AD161" s="1191"/>
      <c r="AE161" s="1193"/>
      <c r="AF161" s="2536"/>
      <c r="AG161" s="2537"/>
      <c r="AH161" s="2537"/>
      <c r="AI161" s="2916"/>
      <c r="AJ161" s="2537"/>
      <c r="AK161" s="2537"/>
      <c r="AL161" s="1996"/>
      <c r="AM161" s="1833"/>
      <c r="AN161" s="1833"/>
      <c r="AO161" s="1833"/>
      <c r="AP161" s="1833"/>
      <c r="AQ161" s="1833"/>
      <c r="AR161" s="1833"/>
      <c r="AS161" s="1833"/>
      <c r="AT161" s="1833"/>
      <c r="AU161" s="1833"/>
      <c r="AV161" s="1833"/>
      <c r="AW161" s="1833"/>
      <c r="AX161" s="1833"/>
      <c r="AY161" s="1833"/>
      <c r="AZ161" s="1833"/>
      <c r="BA161" s="1833"/>
      <c r="BB161" s="1833"/>
      <c r="BC161" s="1833"/>
      <c r="BD161" s="1833"/>
      <c r="BE161" s="1833"/>
      <c r="BF161" s="1833"/>
      <c r="BG161" s="1646"/>
    </row>
    <row customHeight="1" ht="11.25">
      <c r="A162" s="1177" t="s">
        <v>1088</v>
      </c>
      <c r="B162" s="1177"/>
      <c r="C162" s="1177"/>
      <c r="D162" s="1171"/>
      <c r="E162" s="1181"/>
      <c r="F162" s="1839"/>
      <c r="G162" s="1840"/>
      <c r="H162" s="2545" t="s">
        <v>1186</v>
      </c>
      <c r="I162" s="2546"/>
      <c r="J162" s="2911"/>
      <c r="K162" s="2547"/>
      <c r="L162" s="2137"/>
      <c r="M162" s="2138"/>
      <c r="N162" s="1186"/>
      <c r="O162" s="1187"/>
      <c r="P162" s="1179" t="s">
        <v>1131</v>
      </c>
      <c r="Q162" s="1187"/>
      <c r="R162" s="1187"/>
      <c r="S162" s="1187"/>
      <c r="T162" s="1187"/>
      <c r="U162" s="1187"/>
      <c r="V162" s="1187"/>
      <c r="W162" s="1187"/>
      <c r="X162" s="1187"/>
      <c r="Y162" s="1187"/>
      <c r="Z162" s="1187"/>
      <c r="AA162" s="1187"/>
      <c r="AB162" s="1187"/>
      <c r="AC162" s="1187"/>
      <c r="AD162" s="1187"/>
      <c r="AE162" s="1194"/>
      <c r="AF162" s="2536"/>
      <c r="AG162" s="2537"/>
      <c r="AH162" s="2537"/>
      <c r="AI162" s="2916"/>
      <c r="AJ162" s="2537"/>
      <c r="AK162" s="2537"/>
      <c r="AL162" s="1996"/>
      <c r="AM162" s="1833"/>
      <c r="AN162" s="1833"/>
      <c r="AO162" s="1833"/>
      <c r="AP162" s="1833"/>
      <c r="AQ162" s="1833"/>
      <c r="AR162" s="1833"/>
      <c r="AS162" s="1833"/>
      <c r="AT162" s="1833"/>
      <c r="AU162" s="1833"/>
      <c r="AV162" s="1833"/>
      <c r="AW162" s="1833"/>
      <c r="AX162" s="1833"/>
      <c r="AY162" s="1833"/>
      <c r="AZ162" s="1833"/>
      <c r="BA162" s="1833"/>
      <c r="BB162" s="1833"/>
      <c r="BC162" s="1833"/>
      <c r="BD162" s="1833"/>
      <c r="BE162" s="1833"/>
      <c r="BF162" s="1833"/>
      <c r="BG162" s="1646"/>
    </row>
    <row customHeight="1" ht="11.25">
      <c r="A163" s="1177" t="s">
        <v>1088</v>
      </c>
      <c r="B163" s="1177" t="s">
        <v>22</v>
      </c>
      <c r="C163" s="1177"/>
      <c r="D163" s="1171"/>
      <c r="E163" s="1181"/>
      <c r="F163" s="1839"/>
      <c r="G163" s="694" t="s">
        <v>105</v>
      </c>
      <c r="H163" s="2545" t="s">
        <v>1196</v>
      </c>
      <c r="I163" s="2546" t="s">
        <v>1120</v>
      </c>
      <c r="J163" s="2911" t="s">
        <v>22</v>
      </c>
      <c r="K163" s="2547" t="s">
        <v>1141</v>
      </c>
      <c r="L163" s="2137" t="s">
        <v>19</v>
      </c>
      <c r="M163" s="2138"/>
      <c r="N163" s="1994"/>
      <c r="O163" s="1188" t="s">
        <v>390</v>
      </c>
      <c r="P163" s="1189"/>
      <c r="Q163" s="1189"/>
      <c r="R163" s="1189"/>
      <c r="S163" s="1189"/>
      <c r="T163" s="1189"/>
      <c r="U163" s="1189"/>
      <c r="V163" s="1189"/>
      <c r="W163" s="1189"/>
      <c r="X163" s="1189"/>
      <c r="Y163" s="1189"/>
      <c r="Z163" s="1189"/>
      <c r="AA163" s="1189"/>
      <c r="AB163" s="1189"/>
      <c r="AC163" s="1189"/>
      <c r="AD163" s="1189"/>
      <c r="AE163" s="1189"/>
      <c r="AF163" s="2536">
        <v>2025</v>
      </c>
      <c r="AG163" s="2537" t="s">
        <v>1122</v>
      </c>
      <c r="AH163" s="2537" t="s">
        <v>1138</v>
      </c>
      <c r="AI163" s="2536">
        <v>2025</v>
      </c>
      <c r="AJ163" s="2537" t="s">
        <v>1122</v>
      </c>
      <c r="AK163" s="2537" t="s">
        <v>1138</v>
      </c>
      <c r="AL163" s="1996"/>
      <c r="AM163" s="1833"/>
      <c r="AN163" s="1833"/>
      <c r="AO163" s="1833"/>
      <c r="AP163" s="1833"/>
      <c r="AQ163" s="1833"/>
      <c r="AR163" s="1833"/>
      <c r="AS163" s="1833"/>
      <c r="AT163" s="1833"/>
      <c r="AU163" s="1833"/>
      <c r="AV163" s="1833"/>
      <c r="AW163" s="1833"/>
      <c r="AX163" s="1833"/>
      <c r="AY163" s="1833"/>
      <c r="AZ163" s="1833"/>
      <c r="BA163" s="1833"/>
      <c r="BB163" s="1833"/>
      <c r="BC163" s="1833"/>
      <c r="BD163" s="1833"/>
      <c r="BE163" s="1833"/>
      <c r="BF163" s="1833"/>
      <c r="BG163" s="1646"/>
    </row>
    <row customHeight="1" ht="11.25">
      <c r="A164" s="1177" t="s">
        <v>1088</v>
      </c>
      <c r="B164" s="1177"/>
      <c r="C164" s="1177"/>
      <c r="D164" s="1171"/>
      <c r="E164" s="1181"/>
      <c r="F164" s="1839"/>
      <c r="G164" s="1840"/>
      <c r="H164" s="2545" t="s">
        <v>1192</v>
      </c>
      <c r="I164" s="2546"/>
      <c r="J164" s="2911"/>
      <c r="K164" s="2547"/>
      <c r="L164" s="2137"/>
      <c r="M164" s="2138"/>
      <c r="N164" s="2538"/>
      <c r="O164" s="2539">
        <v>1</v>
      </c>
      <c r="P164" s="2540" t="s">
        <v>63</v>
      </c>
      <c r="Q164" s="2913" t="s">
        <v>614</v>
      </c>
      <c r="R164" s="2914" t="s">
        <v>1124</v>
      </c>
      <c r="S164" s="2914" t="s">
        <v>101</v>
      </c>
      <c r="T164" s="2914" t="s">
        <v>101</v>
      </c>
      <c r="U164" s="2914" t="s">
        <v>102</v>
      </c>
      <c r="V164" s="2914" t="s">
        <v>1125</v>
      </c>
      <c r="W164" s="2914" t="s">
        <v>1126</v>
      </c>
      <c r="X164" s="2914" t="s">
        <v>1127</v>
      </c>
      <c r="Y164" s="2914" t="s">
        <v>1128</v>
      </c>
      <c r="Z164" s="1186"/>
      <c r="AA164" s="1187"/>
      <c r="AB164" s="1187"/>
      <c r="AC164" s="1191"/>
      <c r="AD164" s="1191"/>
      <c r="AE164" s="1192"/>
      <c r="AF164" s="2536"/>
      <c r="AG164" s="2537"/>
      <c r="AH164" s="2537"/>
      <c r="AI164" s="2536"/>
      <c r="AJ164" s="2537"/>
      <c r="AK164" s="2537"/>
      <c r="AL164" s="1996"/>
      <c r="AM164" s="1833"/>
      <c r="AN164" s="1833"/>
      <c r="AO164" s="1833"/>
      <c r="AP164" s="1833"/>
      <c r="AQ164" s="1833"/>
      <c r="AR164" s="1833"/>
      <c r="AS164" s="1833"/>
      <c r="AT164" s="1833"/>
      <c r="AU164" s="1833"/>
      <c r="AV164" s="1833"/>
      <c r="AW164" s="1833"/>
      <c r="AX164" s="1833"/>
      <c r="AY164" s="1833"/>
      <c r="AZ164" s="1833"/>
      <c r="BA164" s="1833"/>
      <c r="BB164" s="1833"/>
      <c r="BC164" s="1833"/>
      <c r="BD164" s="1833"/>
      <c r="BE164" s="1833"/>
      <c r="BF164" s="1833"/>
      <c r="BG164" s="1646"/>
    </row>
    <row customHeight="1" ht="11.25">
      <c r="A165" s="1177" t="s">
        <v>1088</v>
      </c>
      <c r="B165" s="1177"/>
      <c r="C165" s="1177"/>
      <c r="D165" s="1171"/>
      <c r="E165" s="1181"/>
      <c r="F165" s="1839"/>
      <c r="G165" s="1840"/>
      <c r="H165" s="2545" t="s">
        <v>1192</v>
      </c>
      <c r="I165" s="2546"/>
      <c r="J165" s="2911"/>
      <c r="K165" s="2547"/>
      <c r="L165" s="2137"/>
      <c r="M165" s="2138"/>
      <c r="N165" s="2538"/>
      <c r="O165" s="2539"/>
      <c r="P165" s="2541"/>
      <c r="Q165" s="2913"/>
      <c r="R165" s="2543"/>
      <c r="S165" s="2544"/>
      <c r="T165" s="2543"/>
      <c r="U165" s="2543"/>
      <c r="V165" s="2543"/>
      <c r="W165" s="2543"/>
      <c r="X165" s="2543"/>
      <c r="Y165" s="2543"/>
      <c r="Z165" s="1838"/>
      <c r="AA165" s="1804">
        <v>1</v>
      </c>
      <c r="AB165" s="1190" t="s">
        <v>1129</v>
      </c>
      <c r="AC165" s="1180">
        <v>14506.15</v>
      </c>
      <c r="AD165" s="1190" t="str">
        <f>AB165</f>
        <v>  Прибыль направляемая на инвестиции</v>
      </c>
      <c r="AE165" s="1180">
        <v>0</v>
      </c>
      <c r="AF165" s="2536"/>
      <c r="AG165" s="2537"/>
      <c r="AH165" s="2537"/>
      <c r="AI165" s="2536"/>
      <c r="AJ165" s="2537"/>
      <c r="AK165" s="2537"/>
      <c r="AL165" s="1996"/>
      <c r="AM165" s="1833"/>
      <c r="AN165" s="1833"/>
      <c r="AO165" s="1833"/>
      <c r="AP165" s="1833"/>
      <c r="AQ165" s="1833"/>
      <c r="AR165" s="1833"/>
      <c r="AS165" s="1833"/>
      <c r="AT165" s="1833"/>
      <c r="AU165" s="1833"/>
      <c r="AV165" s="1833"/>
      <c r="AW165" s="1833"/>
      <c r="AX165" s="1833"/>
      <c r="AY165" s="1833"/>
      <c r="AZ165" s="1833"/>
      <c r="BA165" s="1833"/>
      <c r="BB165" s="1833"/>
      <c r="BC165" s="1833"/>
      <c r="BD165" s="1833"/>
      <c r="BE165" s="1833"/>
      <c r="BF165" s="1833"/>
      <c r="BG165" s="1646"/>
    </row>
    <row customHeight="1" ht="11.25">
      <c r="A166" s="1177" t="s">
        <v>1088</v>
      </c>
      <c r="B166" s="1177"/>
      <c r="C166" s="1177"/>
      <c r="D166" s="1171"/>
      <c r="E166" s="1181"/>
      <c r="F166" s="1840"/>
      <c r="G166" s="1840"/>
      <c r="H166" s="1840"/>
      <c r="I166" s="1840"/>
      <c r="J166" s="1840"/>
      <c r="K166" s="1840"/>
      <c r="L166" s="1840"/>
      <c r="M166" s="1840"/>
      <c r="N166" s="1840"/>
      <c r="O166" s="1840"/>
      <c r="P166" s="1840"/>
      <c r="Q166" s="1840"/>
      <c r="R166" s="1840"/>
      <c r="S166" s="1840"/>
      <c r="T166" s="1840"/>
      <c r="U166" s="1840"/>
      <c r="V166" s="1840"/>
      <c r="W166" s="1840"/>
      <c r="X166" s="1840"/>
      <c r="Y166" s="1840"/>
      <c r="Z166" s="694" t="s">
        <v>105</v>
      </c>
      <c r="AA166" s="1824" t="s">
        <v>104</v>
      </c>
      <c r="AB166" s="1190" t="s">
        <v>1159</v>
      </c>
      <c r="AC166" s="1180">
        <v>0</v>
      </c>
      <c r="AD166" s="1190" t="str">
        <f>AB166</f>
        <v>      Прочие амортизационные отчисления</v>
      </c>
      <c r="AE166" s="1180">
        <v>16140.50781</v>
      </c>
      <c r="AF166" s="2097"/>
      <c r="AG166" s="1769"/>
      <c r="AH166" s="1769"/>
      <c r="AI166" s="2097"/>
      <c r="AJ166" s="1769"/>
      <c r="AK166" s="1995"/>
      <c r="AL166" s="1996"/>
      <c r="AM166" s="1833"/>
      <c r="AN166" s="1833"/>
      <c r="AO166" s="1833"/>
      <c r="AP166" s="1833"/>
      <c r="AQ166" s="1833"/>
      <c r="AR166" s="1833"/>
      <c r="AS166" s="1833"/>
      <c r="AT166" s="1833"/>
      <c r="AU166" s="1833"/>
      <c r="AV166" s="1833"/>
      <c r="AW166" s="1833"/>
      <c r="AX166" s="1833"/>
      <c r="AY166" s="1833"/>
      <c r="AZ166" s="1833"/>
      <c r="BA166" s="1833"/>
      <c r="BB166" s="1833"/>
      <c r="BC166" s="1833"/>
      <c r="BD166" s="1833"/>
      <c r="BE166" s="1833"/>
      <c r="BF166" s="1833"/>
      <c r="BG166" s="1646"/>
    </row>
    <row customHeight="1" ht="11.25">
      <c r="A167" s="1177" t="s">
        <v>1088</v>
      </c>
      <c r="B167" s="1177"/>
      <c r="C167" s="1177"/>
      <c r="D167" s="1171"/>
      <c r="E167" s="1181"/>
      <c r="F167" s="1839"/>
      <c r="G167" s="1840"/>
      <c r="H167" s="2545" t="s">
        <v>1192</v>
      </c>
      <c r="I167" s="2546"/>
      <c r="J167" s="2911"/>
      <c r="K167" s="2547"/>
      <c r="L167" s="2137"/>
      <c r="M167" s="2138"/>
      <c r="N167" s="2538"/>
      <c r="O167" s="2539"/>
      <c r="P167" s="2542"/>
      <c r="Q167" s="2913"/>
      <c r="R167" s="2543"/>
      <c r="S167" s="2544"/>
      <c r="T167" s="2543"/>
      <c r="U167" s="2543"/>
      <c r="V167" s="2543"/>
      <c r="W167" s="2543"/>
      <c r="X167" s="2543"/>
      <c r="Y167" s="2543"/>
      <c r="Z167" s="1186"/>
      <c r="AA167" s="1187"/>
      <c r="AB167" s="1252" t="s">
        <v>1130</v>
      </c>
      <c r="AC167" s="1191"/>
      <c r="AD167" s="1191"/>
      <c r="AE167" s="1193"/>
      <c r="AF167" s="2536"/>
      <c r="AG167" s="2537"/>
      <c r="AH167" s="2537"/>
      <c r="AI167" s="2536"/>
      <c r="AJ167" s="2537"/>
      <c r="AK167" s="2537"/>
      <c r="AL167" s="1996"/>
      <c r="AM167" s="1833"/>
      <c r="AN167" s="1833"/>
      <c r="AO167" s="1833"/>
      <c r="AP167" s="1833"/>
      <c r="AQ167" s="1833"/>
      <c r="AR167" s="1833"/>
      <c r="AS167" s="1833"/>
      <c r="AT167" s="1833"/>
      <c r="AU167" s="1833"/>
      <c r="AV167" s="1833"/>
      <c r="AW167" s="1833"/>
      <c r="AX167" s="1833"/>
      <c r="AY167" s="1833"/>
      <c r="AZ167" s="1833"/>
      <c r="BA167" s="1833"/>
      <c r="BB167" s="1833"/>
      <c r="BC167" s="1833"/>
      <c r="BD167" s="1833"/>
      <c r="BE167" s="1833"/>
      <c r="BF167" s="1833"/>
      <c r="BG167" s="1646"/>
    </row>
    <row customHeight="1" ht="11.25">
      <c r="A168" s="1177" t="s">
        <v>1088</v>
      </c>
      <c r="B168" s="1177"/>
      <c r="C168" s="1177"/>
      <c r="D168" s="1171"/>
      <c r="E168" s="1181"/>
      <c r="F168" s="1839"/>
      <c r="G168" s="1840"/>
      <c r="H168" s="2545" t="s">
        <v>1192</v>
      </c>
      <c r="I168" s="2546"/>
      <c r="J168" s="2911"/>
      <c r="K168" s="2547"/>
      <c r="L168" s="2137"/>
      <c r="M168" s="2138"/>
      <c r="N168" s="1186"/>
      <c r="O168" s="1187"/>
      <c r="P168" s="1179" t="s">
        <v>1131</v>
      </c>
      <c r="Q168" s="1187"/>
      <c r="R168" s="1187"/>
      <c r="S168" s="1187"/>
      <c r="T168" s="1187"/>
      <c r="U168" s="1187"/>
      <c r="V168" s="1187"/>
      <c r="W168" s="1187"/>
      <c r="X168" s="1187"/>
      <c r="Y168" s="1187"/>
      <c r="Z168" s="1187"/>
      <c r="AA168" s="1187"/>
      <c r="AB168" s="1187"/>
      <c r="AC168" s="1187"/>
      <c r="AD168" s="1187"/>
      <c r="AE168" s="1194"/>
      <c r="AF168" s="2536"/>
      <c r="AG168" s="2537"/>
      <c r="AH168" s="2537"/>
      <c r="AI168" s="2536"/>
      <c r="AJ168" s="2537"/>
      <c r="AK168" s="2537"/>
      <c r="AL168" s="1996"/>
      <c r="AM168" s="1833"/>
      <c r="AN168" s="1833"/>
      <c r="AO168" s="1833"/>
      <c r="AP168" s="1833"/>
      <c r="AQ168" s="1833"/>
      <c r="AR168" s="1833"/>
      <c r="AS168" s="1833"/>
      <c r="AT168" s="1833"/>
      <c r="AU168" s="1833"/>
      <c r="AV168" s="1833"/>
      <c r="AW168" s="1833"/>
      <c r="AX168" s="1833"/>
      <c r="AY168" s="1833"/>
      <c r="AZ168" s="1833"/>
      <c r="BA168" s="1833"/>
      <c r="BB168" s="1833"/>
      <c r="BC168" s="1833"/>
      <c r="BD168" s="1833"/>
      <c r="BE168" s="1833"/>
      <c r="BF168" s="1833"/>
      <c r="BG168" s="1646"/>
    </row>
    <row customHeight="1" ht="11.25">
      <c r="A169" s="1177" t="s">
        <v>1088</v>
      </c>
      <c r="B169" s="1177" t="s">
        <v>22</v>
      </c>
      <c r="C169" s="1177"/>
      <c r="D169" s="1171"/>
      <c r="E169" s="1181"/>
      <c r="F169" s="1839"/>
      <c r="G169" s="694" t="s">
        <v>105</v>
      </c>
      <c r="H169" s="2545" t="s">
        <v>1197</v>
      </c>
      <c r="I169" s="2546" t="s">
        <v>1120</v>
      </c>
      <c r="J169" s="2911" t="s">
        <v>22</v>
      </c>
      <c r="K169" s="2547" t="s">
        <v>1198</v>
      </c>
      <c r="L169" s="2137" t="s">
        <v>19</v>
      </c>
      <c r="M169" s="2138"/>
      <c r="N169" s="1994"/>
      <c r="O169" s="1188" t="s">
        <v>390</v>
      </c>
      <c r="P169" s="1189"/>
      <c r="Q169" s="1189"/>
      <c r="R169" s="1189"/>
      <c r="S169" s="1189"/>
      <c r="T169" s="1189"/>
      <c r="U169" s="1189"/>
      <c r="V169" s="1189"/>
      <c r="W169" s="1189"/>
      <c r="X169" s="1189"/>
      <c r="Y169" s="1189"/>
      <c r="Z169" s="1189"/>
      <c r="AA169" s="1189"/>
      <c r="AB169" s="1189"/>
      <c r="AC169" s="1189"/>
      <c r="AD169" s="1189"/>
      <c r="AE169" s="1189"/>
      <c r="AF169" s="2536">
        <v>2027</v>
      </c>
      <c r="AG169" s="2537" t="s">
        <v>1122</v>
      </c>
      <c r="AH169" s="2537" t="s">
        <v>1164</v>
      </c>
      <c r="AI169" s="2916"/>
      <c r="AJ169" s="2537" t="s">
        <v>1154</v>
      </c>
      <c r="AK169" s="2537" t="s">
        <v>1154</v>
      </c>
      <c r="AL169" s="1996"/>
      <c r="AM169" s="1833"/>
      <c r="AN169" s="1833"/>
      <c r="AO169" s="1833"/>
      <c r="AP169" s="1833"/>
      <c r="AQ169" s="1833"/>
      <c r="AR169" s="1833"/>
      <c r="AS169" s="1833"/>
      <c r="AT169" s="1833"/>
      <c r="AU169" s="1833"/>
      <c r="AV169" s="1833"/>
      <c r="AW169" s="1833"/>
      <c r="AX169" s="1833"/>
      <c r="AY169" s="1833"/>
      <c r="AZ169" s="1833"/>
      <c r="BA169" s="1833"/>
      <c r="BB169" s="1833"/>
      <c r="BC169" s="1833"/>
      <c r="BD169" s="1833"/>
      <c r="BE169" s="1833"/>
      <c r="BF169" s="1833"/>
      <c r="BG169" s="1646"/>
    </row>
    <row customHeight="1" ht="11.25">
      <c r="A170" s="1177" t="s">
        <v>1088</v>
      </c>
      <c r="B170" s="1177"/>
      <c r="C170" s="1177"/>
      <c r="D170" s="1171"/>
      <c r="E170" s="1181"/>
      <c r="F170" s="1839"/>
      <c r="G170" s="1840"/>
      <c r="H170" s="2545" t="s">
        <v>1196</v>
      </c>
      <c r="I170" s="2546"/>
      <c r="J170" s="2911"/>
      <c r="K170" s="2547"/>
      <c r="L170" s="2137"/>
      <c r="M170" s="2138"/>
      <c r="N170" s="2538"/>
      <c r="O170" s="2539">
        <v>1</v>
      </c>
      <c r="P170" s="2540" t="s">
        <v>63</v>
      </c>
      <c r="Q170" s="2913" t="s">
        <v>614</v>
      </c>
      <c r="R170" s="2914" t="s">
        <v>1124</v>
      </c>
      <c r="S170" s="2914" t="s">
        <v>101</v>
      </c>
      <c r="T170" s="2914" t="s">
        <v>101</v>
      </c>
      <c r="U170" s="2914" t="s">
        <v>102</v>
      </c>
      <c r="V170" s="2914" t="s">
        <v>1125</v>
      </c>
      <c r="W170" s="2914" t="s">
        <v>1126</v>
      </c>
      <c r="X170" s="2914" t="s">
        <v>1127</v>
      </c>
      <c r="Y170" s="2914" t="s">
        <v>1128</v>
      </c>
      <c r="Z170" s="1186"/>
      <c r="AA170" s="1187"/>
      <c r="AB170" s="1187"/>
      <c r="AC170" s="1191"/>
      <c r="AD170" s="1191"/>
      <c r="AE170" s="1192"/>
      <c r="AF170" s="2536"/>
      <c r="AG170" s="2537"/>
      <c r="AH170" s="2537"/>
      <c r="AI170" s="2916"/>
      <c r="AJ170" s="2537"/>
      <c r="AK170" s="2537"/>
      <c r="AL170" s="1996"/>
      <c r="AM170" s="1833"/>
      <c r="AN170" s="1833"/>
      <c r="AO170" s="1833"/>
      <c r="AP170" s="1833"/>
      <c r="AQ170" s="1833"/>
      <c r="AR170" s="1833"/>
      <c r="AS170" s="1833"/>
      <c r="AT170" s="1833"/>
      <c r="AU170" s="1833"/>
      <c r="AV170" s="1833"/>
      <c r="AW170" s="1833"/>
      <c r="AX170" s="1833"/>
      <c r="AY170" s="1833"/>
      <c r="AZ170" s="1833"/>
      <c r="BA170" s="1833"/>
      <c r="BB170" s="1833"/>
      <c r="BC170" s="1833"/>
      <c r="BD170" s="1833"/>
      <c r="BE170" s="1833"/>
      <c r="BF170" s="1833"/>
      <c r="BG170" s="1646"/>
    </row>
    <row customHeight="1" ht="11.25">
      <c r="A171" s="1177" t="s">
        <v>1088</v>
      </c>
      <c r="B171" s="1177"/>
      <c r="C171" s="1177"/>
      <c r="D171" s="1171"/>
      <c r="E171" s="1181"/>
      <c r="F171" s="1839"/>
      <c r="G171" s="1840"/>
      <c r="H171" s="2545" t="s">
        <v>1196</v>
      </c>
      <c r="I171" s="2546"/>
      <c r="J171" s="2911"/>
      <c r="K171" s="2547"/>
      <c r="L171" s="2137"/>
      <c r="M171" s="2138"/>
      <c r="N171" s="2538"/>
      <c r="O171" s="2539"/>
      <c r="P171" s="2541"/>
      <c r="Q171" s="2913"/>
      <c r="R171" s="2543"/>
      <c r="S171" s="2544"/>
      <c r="T171" s="2543"/>
      <c r="U171" s="2543"/>
      <c r="V171" s="2543"/>
      <c r="W171" s="2543"/>
      <c r="X171" s="2543"/>
      <c r="Y171" s="2543"/>
      <c r="Z171" s="1838"/>
      <c r="AA171" s="1804">
        <v>1</v>
      </c>
      <c r="AB171" s="1190" t="s">
        <v>1159</v>
      </c>
      <c r="AC171" s="1180">
        <f>209626.56-AC172</f>
        <v>147951.807228916</v>
      </c>
      <c r="AD171" s="1190" t="str">
        <f>AB171</f>
        <v>      Прочие амортизационные отчисления</v>
      </c>
      <c r="AE171" s="1180">
        <v>191698.75473</v>
      </c>
      <c r="AF171" s="2536"/>
      <c r="AG171" s="2537"/>
      <c r="AH171" s="2537"/>
      <c r="AI171" s="2916"/>
      <c r="AJ171" s="2537"/>
      <c r="AK171" s="2537"/>
      <c r="AL171" s="1996"/>
      <c r="AM171" s="1833"/>
      <c r="AN171" s="1833"/>
      <c r="AO171" s="1833"/>
      <c r="AP171" s="1833"/>
      <c r="AQ171" s="1833"/>
      <c r="AR171" s="1833"/>
      <c r="AS171" s="1833"/>
      <c r="AT171" s="1833"/>
      <c r="AU171" s="1833"/>
      <c r="AV171" s="1833"/>
      <c r="AW171" s="1833"/>
      <c r="AX171" s="1833"/>
      <c r="AY171" s="1833"/>
      <c r="AZ171" s="1833"/>
      <c r="BA171" s="1833"/>
      <c r="BB171" s="1833"/>
      <c r="BC171" s="1833"/>
      <c r="BD171" s="1833"/>
      <c r="BE171" s="1833"/>
      <c r="BF171" s="1833"/>
      <c r="BG171" s="1646"/>
    </row>
    <row customHeight="1" ht="11.25">
      <c r="A172" s="1177" t="s">
        <v>1088</v>
      </c>
      <c r="B172" s="1177"/>
      <c r="C172" s="1177"/>
      <c r="D172" s="1171"/>
      <c r="E172" s="1181"/>
      <c r="F172" s="1840"/>
      <c r="G172" s="1840"/>
      <c r="H172" s="1840"/>
      <c r="I172" s="1840"/>
      <c r="J172" s="1840"/>
      <c r="K172" s="1840"/>
      <c r="L172" s="1840"/>
      <c r="M172" s="1840"/>
      <c r="N172" s="1840"/>
      <c r="O172" s="1840"/>
      <c r="P172" s="1840"/>
      <c r="Q172" s="1840"/>
      <c r="R172" s="1840"/>
      <c r="S172" s="1840"/>
      <c r="T172" s="1840"/>
      <c r="U172" s="1840"/>
      <c r="V172" s="1840"/>
      <c r="W172" s="1840"/>
      <c r="X172" s="1840"/>
      <c r="Y172" s="1840"/>
      <c r="Z172" s="694" t="s">
        <v>105</v>
      </c>
      <c r="AA172" s="1824" t="s">
        <v>104</v>
      </c>
      <c r="AB172" s="1190" t="s">
        <v>1129</v>
      </c>
      <c r="AC172" s="1180">
        <v>61674.7527710843</v>
      </c>
      <c r="AD172" s="1190" t="str">
        <f>AB172</f>
        <v>  Прибыль направляемая на инвестиции</v>
      </c>
      <c r="AE172" s="1180">
        <v>0</v>
      </c>
      <c r="AF172" s="2097"/>
      <c r="AG172" s="1769"/>
      <c r="AH172" s="1769"/>
      <c r="AI172" s="2917"/>
      <c r="AJ172" s="1769"/>
      <c r="AK172" s="1995"/>
      <c r="AL172" s="1996"/>
      <c r="AM172" s="1833"/>
      <c r="AN172" s="1833"/>
      <c r="AO172" s="1833"/>
      <c r="AP172" s="1833"/>
      <c r="AQ172" s="1833"/>
      <c r="AR172" s="1833"/>
      <c r="AS172" s="1833"/>
      <c r="AT172" s="1833"/>
      <c r="AU172" s="1833"/>
      <c r="AV172" s="1833"/>
      <c r="AW172" s="1833"/>
      <c r="AX172" s="1833"/>
      <c r="AY172" s="1833"/>
      <c r="AZ172" s="1833"/>
      <c r="BA172" s="1833"/>
      <c r="BB172" s="1833"/>
      <c r="BC172" s="1833"/>
      <c r="BD172" s="1833"/>
      <c r="BE172" s="1833"/>
      <c r="BF172" s="1833"/>
      <c r="BG172" s="1646"/>
    </row>
    <row customHeight="1" ht="11.25">
      <c r="A173" s="1177" t="s">
        <v>1088</v>
      </c>
      <c r="B173" s="1177"/>
      <c r="C173" s="1177"/>
      <c r="D173" s="1171"/>
      <c r="E173" s="1181"/>
      <c r="F173" s="1839"/>
      <c r="G173" s="1840"/>
      <c r="H173" s="2545" t="s">
        <v>1196</v>
      </c>
      <c r="I173" s="2546"/>
      <c r="J173" s="2911"/>
      <c r="K173" s="2547"/>
      <c r="L173" s="2137"/>
      <c r="M173" s="2138"/>
      <c r="N173" s="2538"/>
      <c r="O173" s="2539"/>
      <c r="P173" s="2542"/>
      <c r="Q173" s="2913"/>
      <c r="R173" s="2543"/>
      <c r="S173" s="2544"/>
      <c r="T173" s="2543"/>
      <c r="U173" s="2543"/>
      <c r="V173" s="2543"/>
      <c r="W173" s="2543"/>
      <c r="X173" s="2543"/>
      <c r="Y173" s="2543"/>
      <c r="Z173" s="1186"/>
      <c r="AA173" s="1187"/>
      <c r="AB173" s="1252" t="s">
        <v>1130</v>
      </c>
      <c r="AC173" s="1191"/>
      <c r="AD173" s="1191"/>
      <c r="AE173" s="1193"/>
      <c r="AF173" s="2536"/>
      <c r="AG173" s="2537"/>
      <c r="AH173" s="2537"/>
      <c r="AI173" s="2916"/>
      <c r="AJ173" s="2537"/>
      <c r="AK173" s="2537"/>
      <c r="AL173" s="1996"/>
      <c r="AM173" s="1833"/>
      <c r="AN173" s="1833"/>
      <c r="AO173" s="1833"/>
      <c r="AP173" s="1833"/>
      <c r="AQ173" s="1833"/>
      <c r="AR173" s="1833"/>
      <c r="AS173" s="1833"/>
      <c r="AT173" s="1833"/>
      <c r="AU173" s="1833"/>
      <c r="AV173" s="1833"/>
      <c r="AW173" s="1833"/>
      <c r="AX173" s="1833"/>
      <c r="AY173" s="1833"/>
      <c r="AZ173" s="1833"/>
      <c r="BA173" s="1833"/>
      <c r="BB173" s="1833"/>
      <c r="BC173" s="1833"/>
      <c r="BD173" s="1833"/>
      <c r="BE173" s="1833"/>
      <c r="BF173" s="1833"/>
      <c r="BG173" s="1646"/>
    </row>
    <row customHeight="1" ht="11.25">
      <c r="A174" s="1177" t="s">
        <v>1088</v>
      </c>
      <c r="B174" s="1177"/>
      <c r="C174" s="1177"/>
      <c r="D174" s="1171"/>
      <c r="E174" s="1181"/>
      <c r="F174" s="1839"/>
      <c r="G174" s="1840"/>
      <c r="H174" s="2545" t="s">
        <v>1196</v>
      </c>
      <c r="I174" s="2546"/>
      <c r="J174" s="2911"/>
      <c r="K174" s="2547"/>
      <c r="L174" s="2137"/>
      <c r="M174" s="2138"/>
      <c r="N174" s="1186"/>
      <c r="O174" s="1187"/>
      <c r="P174" s="1179" t="s">
        <v>1131</v>
      </c>
      <c r="Q174" s="1187"/>
      <c r="R174" s="1187"/>
      <c r="S174" s="1187"/>
      <c r="T174" s="1187"/>
      <c r="U174" s="1187"/>
      <c r="V174" s="1187"/>
      <c r="W174" s="1187"/>
      <c r="X174" s="1187"/>
      <c r="Y174" s="1187"/>
      <c r="Z174" s="1187"/>
      <c r="AA174" s="1187"/>
      <c r="AB174" s="1187"/>
      <c r="AC174" s="1187"/>
      <c r="AD174" s="1187"/>
      <c r="AE174" s="1194"/>
      <c r="AF174" s="2536"/>
      <c r="AG174" s="2537"/>
      <c r="AH174" s="2537"/>
      <c r="AI174" s="2916"/>
      <c r="AJ174" s="2537"/>
      <c r="AK174" s="2537"/>
      <c r="AL174" s="1996"/>
      <c r="AM174" s="1833"/>
      <c r="AN174" s="1833"/>
      <c r="AO174" s="1833"/>
      <c r="AP174" s="1833"/>
      <c r="AQ174" s="1833"/>
      <c r="AR174" s="1833"/>
      <c r="AS174" s="1833"/>
      <c r="AT174" s="1833"/>
      <c r="AU174" s="1833"/>
      <c r="AV174" s="1833"/>
      <c r="AW174" s="1833"/>
      <c r="AX174" s="1833"/>
      <c r="AY174" s="1833"/>
      <c r="AZ174" s="1833"/>
      <c r="BA174" s="1833"/>
      <c r="BB174" s="1833"/>
      <c r="BC174" s="1833"/>
      <c r="BD174" s="1833"/>
      <c r="BE174" s="1833"/>
      <c r="BF174" s="1833"/>
      <c r="BG174" s="1646"/>
    </row>
    <row customHeight="1" ht="11.25">
      <c r="A175" s="1177" t="s">
        <v>1088</v>
      </c>
      <c r="B175" s="1177" t="s">
        <v>22</v>
      </c>
      <c r="C175" s="1177"/>
      <c r="D175" s="1171"/>
      <c r="E175" s="1181"/>
      <c r="F175" s="1839"/>
      <c r="G175" s="694" t="s">
        <v>105</v>
      </c>
      <c r="H175" s="2545" t="s">
        <v>1199</v>
      </c>
      <c r="I175" s="2546" t="s">
        <v>1120</v>
      </c>
      <c r="J175" s="2911" t="s">
        <v>22</v>
      </c>
      <c r="K175" s="2547" t="s">
        <v>1200</v>
      </c>
      <c r="L175" s="2137" t="s">
        <v>19</v>
      </c>
      <c r="M175" s="2138"/>
      <c r="N175" s="1994"/>
      <c r="O175" s="1188" t="s">
        <v>390</v>
      </c>
      <c r="P175" s="1189"/>
      <c r="Q175" s="1189"/>
      <c r="R175" s="1189"/>
      <c r="S175" s="1189"/>
      <c r="T175" s="1189"/>
      <c r="U175" s="1189"/>
      <c r="V175" s="1189"/>
      <c r="W175" s="1189"/>
      <c r="X175" s="1189"/>
      <c r="Y175" s="1189"/>
      <c r="Z175" s="1189"/>
      <c r="AA175" s="1189"/>
      <c r="AB175" s="1189"/>
      <c r="AC175" s="1189"/>
      <c r="AD175" s="1189"/>
      <c r="AE175" s="1189"/>
      <c r="AF175" s="2536">
        <v>2026</v>
      </c>
      <c r="AG175" s="2537" t="s">
        <v>1122</v>
      </c>
      <c r="AH175" s="2537" t="s">
        <v>1169</v>
      </c>
      <c r="AI175" s="2916"/>
      <c r="AJ175" s="2537" t="s">
        <v>1154</v>
      </c>
      <c r="AK175" s="2537" t="s">
        <v>1154</v>
      </c>
      <c r="AL175" s="1996"/>
      <c r="AM175" s="1833"/>
      <c r="AN175" s="1833"/>
      <c r="AO175" s="1833"/>
      <c r="AP175" s="1833"/>
      <c r="AQ175" s="1833"/>
      <c r="AR175" s="1833"/>
      <c r="AS175" s="1833"/>
      <c r="AT175" s="1833"/>
      <c r="AU175" s="1833"/>
      <c r="AV175" s="1833"/>
      <c r="AW175" s="1833"/>
      <c r="AX175" s="1833"/>
      <c r="AY175" s="1833"/>
      <c r="AZ175" s="1833"/>
      <c r="BA175" s="1833"/>
      <c r="BB175" s="1833"/>
      <c r="BC175" s="1833"/>
      <c r="BD175" s="1833"/>
      <c r="BE175" s="1833"/>
      <c r="BF175" s="1833"/>
      <c r="BG175" s="1646"/>
    </row>
    <row customHeight="1" ht="11.25">
      <c r="A176" s="1177" t="s">
        <v>1088</v>
      </c>
      <c r="B176" s="1177"/>
      <c r="C176" s="1177"/>
      <c r="D176" s="1171"/>
      <c r="E176" s="1181"/>
      <c r="F176" s="1839"/>
      <c r="G176" s="1840"/>
      <c r="H176" s="2545" t="s">
        <v>1197</v>
      </c>
      <c r="I176" s="2546"/>
      <c r="J176" s="2911"/>
      <c r="K176" s="2547"/>
      <c r="L176" s="2137"/>
      <c r="M176" s="2138"/>
      <c r="N176" s="2538"/>
      <c r="O176" s="2539">
        <v>1</v>
      </c>
      <c r="P176" s="2540" t="s">
        <v>63</v>
      </c>
      <c r="Q176" s="2913" t="s">
        <v>614</v>
      </c>
      <c r="R176" s="2914" t="s">
        <v>1124</v>
      </c>
      <c r="S176" s="2914" t="s">
        <v>101</v>
      </c>
      <c r="T176" s="2914" t="s">
        <v>101</v>
      </c>
      <c r="U176" s="2914" t="s">
        <v>102</v>
      </c>
      <c r="V176" s="2914" t="s">
        <v>1125</v>
      </c>
      <c r="W176" s="2914" t="s">
        <v>1126</v>
      </c>
      <c r="X176" s="2914" t="s">
        <v>1127</v>
      </c>
      <c r="Y176" s="2914" t="s">
        <v>1128</v>
      </c>
      <c r="Z176" s="1186"/>
      <c r="AA176" s="1187"/>
      <c r="AB176" s="1187"/>
      <c r="AC176" s="1191"/>
      <c r="AD176" s="1191"/>
      <c r="AE176" s="1192"/>
      <c r="AF176" s="2536"/>
      <c r="AG176" s="2537"/>
      <c r="AH176" s="2537"/>
      <c r="AI176" s="2916"/>
      <c r="AJ176" s="2537"/>
      <c r="AK176" s="2537"/>
      <c r="AL176" s="1996"/>
      <c r="AM176" s="1833"/>
      <c r="AN176" s="1833"/>
      <c r="AO176" s="1833"/>
      <c r="AP176" s="1833"/>
      <c r="AQ176" s="1833"/>
      <c r="AR176" s="1833"/>
      <c r="AS176" s="1833"/>
      <c r="AT176" s="1833"/>
      <c r="AU176" s="1833"/>
      <c r="AV176" s="1833"/>
      <c r="AW176" s="1833"/>
      <c r="AX176" s="1833"/>
      <c r="AY176" s="1833"/>
      <c r="AZ176" s="1833"/>
      <c r="BA176" s="1833"/>
      <c r="BB176" s="1833"/>
      <c r="BC176" s="1833"/>
      <c r="BD176" s="1833"/>
      <c r="BE176" s="1833"/>
      <c r="BF176" s="1833"/>
      <c r="BG176" s="1646"/>
    </row>
    <row customHeight="1" ht="11.25">
      <c r="A177" s="1177" t="s">
        <v>1088</v>
      </c>
      <c r="B177" s="1177"/>
      <c r="C177" s="1177"/>
      <c r="D177" s="1171"/>
      <c r="E177" s="1181"/>
      <c r="F177" s="1839"/>
      <c r="G177" s="1840"/>
      <c r="H177" s="2545" t="s">
        <v>1197</v>
      </c>
      <c r="I177" s="2546"/>
      <c r="J177" s="2911"/>
      <c r="K177" s="2547"/>
      <c r="L177" s="2137"/>
      <c r="M177" s="2138"/>
      <c r="N177" s="2538"/>
      <c r="O177" s="2539"/>
      <c r="P177" s="2541"/>
      <c r="Q177" s="2913"/>
      <c r="R177" s="2543"/>
      <c r="S177" s="2544"/>
      <c r="T177" s="2543"/>
      <c r="U177" s="2543"/>
      <c r="V177" s="2543"/>
      <c r="W177" s="2543"/>
      <c r="X177" s="2543"/>
      <c r="Y177" s="2543"/>
      <c r="Z177" s="1838"/>
      <c r="AA177" s="1804">
        <v>1</v>
      </c>
      <c r="AB177" s="1190" t="s">
        <v>1159</v>
      </c>
      <c r="AC177" s="1180">
        <v>500</v>
      </c>
      <c r="AD177" s="1190" t="str">
        <f>AB177</f>
        <v>      Прочие амортизационные отчисления</v>
      </c>
      <c r="AE177" s="1180">
        <v>0</v>
      </c>
      <c r="AF177" s="2536"/>
      <c r="AG177" s="2537"/>
      <c r="AH177" s="2537"/>
      <c r="AI177" s="2916"/>
      <c r="AJ177" s="2537"/>
      <c r="AK177" s="2537"/>
      <c r="AL177" s="1996"/>
      <c r="AM177" s="1833"/>
      <c r="AN177" s="1833"/>
      <c r="AO177" s="1833"/>
      <c r="AP177" s="1833"/>
      <c r="AQ177" s="1833"/>
      <c r="AR177" s="1833"/>
      <c r="AS177" s="1833"/>
      <c r="AT177" s="1833"/>
      <c r="AU177" s="1833"/>
      <c r="AV177" s="1833"/>
      <c r="AW177" s="1833"/>
      <c r="AX177" s="1833"/>
      <c r="AY177" s="1833"/>
      <c r="AZ177" s="1833"/>
      <c r="BA177" s="1833"/>
      <c r="BB177" s="1833"/>
      <c r="BC177" s="1833"/>
      <c r="BD177" s="1833"/>
      <c r="BE177" s="1833"/>
      <c r="BF177" s="1833"/>
      <c r="BG177" s="1646"/>
    </row>
    <row customHeight="1" ht="11.25">
      <c r="A178" s="1177" t="s">
        <v>1088</v>
      </c>
      <c r="B178" s="1177"/>
      <c r="C178" s="1177"/>
      <c r="D178" s="1171"/>
      <c r="E178" s="1181"/>
      <c r="F178" s="1839"/>
      <c r="G178" s="1840"/>
      <c r="H178" s="2545" t="s">
        <v>1197</v>
      </c>
      <c r="I178" s="2546"/>
      <c r="J178" s="2911"/>
      <c r="K178" s="2547"/>
      <c r="L178" s="2137"/>
      <c r="M178" s="2138"/>
      <c r="N178" s="2538"/>
      <c r="O178" s="2539"/>
      <c r="P178" s="2542"/>
      <c r="Q178" s="2913"/>
      <c r="R178" s="2543"/>
      <c r="S178" s="2544"/>
      <c r="T178" s="2543"/>
      <c r="U178" s="2543"/>
      <c r="V178" s="2543"/>
      <c r="W178" s="2543"/>
      <c r="X178" s="2543"/>
      <c r="Y178" s="2543"/>
      <c r="Z178" s="1186"/>
      <c r="AA178" s="1187"/>
      <c r="AB178" s="1252" t="s">
        <v>1130</v>
      </c>
      <c r="AC178" s="1191"/>
      <c r="AD178" s="1191"/>
      <c r="AE178" s="1193"/>
      <c r="AF178" s="2536"/>
      <c r="AG178" s="2537"/>
      <c r="AH178" s="2537"/>
      <c r="AI178" s="2916"/>
      <c r="AJ178" s="2537"/>
      <c r="AK178" s="2537"/>
      <c r="AL178" s="1996"/>
      <c r="AM178" s="1833"/>
      <c r="AN178" s="1833"/>
      <c r="AO178" s="1833"/>
      <c r="AP178" s="1833"/>
      <c r="AQ178" s="1833"/>
      <c r="AR178" s="1833"/>
      <c r="AS178" s="1833"/>
      <c r="AT178" s="1833"/>
      <c r="AU178" s="1833"/>
      <c r="AV178" s="1833"/>
      <c r="AW178" s="1833"/>
      <c r="AX178" s="1833"/>
      <c r="AY178" s="1833"/>
      <c r="AZ178" s="1833"/>
      <c r="BA178" s="1833"/>
      <c r="BB178" s="1833"/>
      <c r="BC178" s="1833"/>
      <c r="BD178" s="1833"/>
      <c r="BE178" s="1833"/>
      <c r="BF178" s="1833"/>
      <c r="BG178" s="1646"/>
    </row>
    <row customHeight="1" ht="11.25">
      <c r="A179" s="1177" t="s">
        <v>1088</v>
      </c>
      <c r="B179" s="1177"/>
      <c r="C179" s="1177"/>
      <c r="D179" s="1171"/>
      <c r="E179" s="1181"/>
      <c r="F179" s="1839"/>
      <c r="G179" s="1840"/>
      <c r="H179" s="2545" t="s">
        <v>1197</v>
      </c>
      <c r="I179" s="2546"/>
      <c r="J179" s="2911"/>
      <c r="K179" s="2547"/>
      <c r="L179" s="2137"/>
      <c r="M179" s="2138"/>
      <c r="N179" s="1186"/>
      <c r="O179" s="1187"/>
      <c r="P179" s="1179" t="s">
        <v>1131</v>
      </c>
      <c r="Q179" s="1187"/>
      <c r="R179" s="1187"/>
      <c r="S179" s="1187"/>
      <c r="T179" s="1187"/>
      <c r="U179" s="1187"/>
      <c r="V179" s="1187"/>
      <c r="W179" s="1187"/>
      <c r="X179" s="1187"/>
      <c r="Y179" s="1187"/>
      <c r="Z179" s="1187"/>
      <c r="AA179" s="1187"/>
      <c r="AB179" s="1187"/>
      <c r="AC179" s="1187"/>
      <c r="AD179" s="1187"/>
      <c r="AE179" s="1194"/>
      <c r="AF179" s="2536"/>
      <c r="AG179" s="2537"/>
      <c r="AH179" s="2537"/>
      <c r="AI179" s="2916"/>
      <c r="AJ179" s="2537"/>
      <c r="AK179" s="2537"/>
      <c r="AL179" s="1996"/>
      <c r="AM179" s="1833"/>
      <c r="AN179" s="1833"/>
      <c r="AO179" s="1833"/>
      <c r="AP179" s="1833"/>
      <c r="AQ179" s="1833"/>
      <c r="AR179" s="1833"/>
      <c r="AS179" s="1833"/>
      <c r="AT179" s="1833"/>
      <c r="AU179" s="1833"/>
      <c r="AV179" s="1833"/>
      <c r="AW179" s="1833"/>
      <c r="AX179" s="1833"/>
      <c r="AY179" s="1833"/>
      <c r="AZ179" s="1833"/>
      <c r="BA179" s="1833"/>
      <c r="BB179" s="1833"/>
      <c r="BC179" s="1833"/>
      <c r="BD179" s="1833"/>
      <c r="BE179" s="1833"/>
      <c r="BF179" s="1833"/>
      <c r="BG179" s="1646"/>
    </row>
    <row customHeight="1" ht="11.25">
      <c r="A180" s="1177" t="s">
        <v>1088</v>
      </c>
      <c r="B180" s="1177" t="s">
        <v>22</v>
      </c>
      <c r="C180" s="1177"/>
      <c r="D180" s="1171"/>
      <c r="E180" s="1181"/>
      <c r="F180" s="1839"/>
      <c r="G180" s="694" t="s">
        <v>105</v>
      </c>
      <c r="H180" s="2545" t="s">
        <v>1201</v>
      </c>
      <c r="I180" s="2546" t="s">
        <v>1120</v>
      </c>
      <c r="J180" s="2911" t="s">
        <v>22</v>
      </c>
      <c r="K180" s="2547" t="s">
        <v>1202</v>
      </c>
      <c r="L180" s="2137" t="s">
        <v>19</v>
      </c>
      <c r="M180" s="2138"/>
      <c r="N180" s="1994"/>
      <c r="O180" s="1188" t="s">
        <v>390</v>
      </c>
      <c r="P180" s="1189"/>
      <c r="Q180" s="1189"/>
      <c r="R180" s="1189"/>
      <c r="S180" s="1189"/>
      <c r="T180" s="1189"/>
      <c r="U180" s="1189"/>
      <c r="V180" s="1189"/>
      <c r="W180" s="1189"/>
      <c r="X180" s="1189"/>
      <c r="Y180" s="1189"/>
      <c r="Z180" s="1189"/>
      <c r="AA180" s="1189"/>
      <c r="AB180" s="1189"/>
      <c r="AC180" s="1189"/>
      <c r="AD180" s="1189"/>
      <c r="AE180" s="1189"/>
      <c r="AF180" s="2536">
        <v>2025</v>
      </c>
      <c r="AG180" s="2537" t="s">
        <v>1122</v>
      </c>
      <c r="AH180" s="2537" t="s">
        <v>1138</v>
      </c>
      <c r="AI180" s="2536">
        <v>2025</v>
      </c>
      <c r="AJ180" s="2537" t="s">
        <v>1203</v>
      </c>
      <c r="AK180" s="2537" t="s">
        <v>1138</v>
      </c>
      <c r="AL180" s="1996"/>
      <c r="AM180" s="1833"/>
      <c r="AN180" s="1833"/>
      <c r="AO180" s="1833"/>
      <c r="AP180" s="1833"/>
      <c r="AQ180" s="1833"/>
      <c r="AR180" s="1833"/>
      <c r="AS180" s="1833"/>
      <c r="AT180" s="1833"/>
      <c r="AU180" s="1833"/>
      <c r="AV180" s="1833"/>
      <c r="AW180" s="1833"/>
      <c r="AX180" s="1833"/>
      <c r="AY180" s="1833"/>
      <c r="AZ180" s="1833"/>
      <c r="BA180" s="1833"/>
      <c r="BB180" s="1833"/>
      <c r="BC180" s="1833"/>
      <c r="BD180" s="1833"/>
      <c r="BE180" s="1833"/>
      <c r="BF180" s="1833"/>
      <c r="BG180" s="1646"/>
    </row>
    <row customHeight="1" ht="11.25">
      <c r="A181" s="1177" t="s">
        <v>1088</v>
      </c>
      <c r="B181" s="1177"/>
      <c r="C181" s="1177"/>
      <c r="D181" s="1171"/>
      <c r="E181" s="1181"/>
      <c r="F181" s="1839"/>
      <c r="G181" s="1840"/>
      <c r="H181" s="2545" t="s">
        <v>1199</v>
      </c>
      <c r="I181" s="2546"/>
      <c r="J181" s="2911"/>
      <c r="K181" s="2547"/>
      <c r="L181" s="2137"/>
      <c r="M181" s="2138"/>
      <c r="N181" s="2538"/>
      <c r="O181" s="2539">
        <v>1</v>
      </c>
      <c r="P181" s="2540" t="s">
        <v>63</v>
      </c>
      <c r="Q181" s="2913" t="s">
        <v>633</v>
      </c>
      <c r="R181" s="2914" t="s">
        <v>1124</v>
      </c>
      <c r="S181" s="2914" t="s">
        <v>101</v>
      </c>
      <c r="T181" s="2914" t="s">
        <v>101</v>
      </c>
      <c r="U181" s="2914" t="s">
        <v>102</v>
      </c>
      <c r="V181" s="2914" t="s">
        <v>1125</v>
      </c>
      <c r="W181" s="2914" t="s">
        <v>1126</v>
      </c>
      <c r="X181" s="2914" t="s">
        <v>1170</v>
      </c>
      <c r="Y181" s="2914" t="s">
        <v>1171</v>
      </c>
      <c r="Z181" s="1186"/>
      <c r="AA181" s="1187"/>
      <c r="AB181" s="1187"/>
      <c r="AC181" s="1191"/>
      <c r="AD181" s="1191"/>
      <c r="AE181" s="1192"/>
      <c r="AF181" s="2536"/>
      <c r="AG181" s="2537"/>
      <c r="AH181" s="2537"/>
      <c r="AI181" s="2536"/>
      <c r="AJ181" s="2537"/>
      <c r="AK181" s="2537"/>
      <c r="AL181" s="1996"/>
      <c r="AM181" s="1833"/>
      <c r="AN181" s="1833"/>
      <c r="AO181" s="1833"/>
      <c r="AP181" s="1833"/>
      <c r="AQ181" s="1833"/>
      <c r="AR181" s="1833"/>
      <c r="AS181" s="1833"/>
      <c r="AT181" s="1833"/>
      <c r="AU181" s="1833"/>
      <c r="AV181" s="1833"/>
      <c r="AW181" s="1833"/>
      <c r="AX181" s="1833"/>
      <c r="AY181" s="1833"/>
      <c r="AZ181" s="1833"/>
      <c r="BA181" s="1833"/>
      <c r="BB181" s="1833"/>
      <c r="BC181" s="1833"/>
      <c r="BD181" s="1833"/>
      <c r="BE181" s="1833"/>
      <c r="BF181" s="1833"/>
      <c r="BG181" s="1646"/>
    </row>
    <row customHeight="1" ht="11.25">
      <c r="A182" s="1177" t="s">
        <v>1088</v>
      </c>
      <c r="B182" s="1177"/>
      <c r="C182" s="1177"/>
      <c r="D182" s="1171"/>
      <c r="E182" s="1181"/>
      <c r="F182" s="1839"/>
      <c r="G182" s="1840"/>
      <c r="H182" s="2545" t="s">
        <v>1199</v>
      </c>
      <c r="I182" s="2546"/>
      <c r="J182" s="2911"/>
      <c r="K182" s="2547"/>
      <c r="L182" s="2137"/>
      <c r="M182" s="2138"/>
      <c r="N182" s="2538"/>
      <c r="O182" s="2539"/>
      <c r="P182" s="2541"/>
      <c r="Q182" s="2913"/>
      <c r="R182" s="2543"/>
      <c r="S182" s="2544"/>
      <c r="T182" s="2543"/>
      <c r="U182" s="2543"/>
      <c r="V182" s="2543"/>
      <c r="W182" s="2543"/>
      <c r="X182" s="2543"/>
      <c r="Y182" s="2543"/>
      <c r="Z182" s="1838"/>
      <c r="AA182" s="1804">
        <v>1</v>
      </c>
      <c r="AB182" s="1190" t="s">
        <v>1159</v>
      </c>
      <c r="AC182" s="1180">
        <v>89.799</v>
      </c>
      <c r="AD182" s="1190" t="str">
        <f>AB182</f>
        <v>      Прочие амортизационные отчисления</v>
      </c>
      <c r="AE182" s="1180">
        <v>110.06129</v>
      </c>
      <c r="AF182" s="2536"/>
      <c r="AG182" s="2537"/>
      <c r="AH182" s="2537"/>
      <c r="AI182" s="2536"/>
      <c r="AJ182" s="2537"/>
      <c r="AK182" s="2537"/>
      <c r="AL182" s="1996"/>
      <c r="AM182" s="1833"/>
      <c r="AN182" s="1833"/>
      <c r="AO182" s="1833"/>
      <c r="AP182" s="1833"/>
      <c r="AQ182" s="1833"/>
      <c r="AR182" s="1833"/>
      <c r="AS182" s="1833"/>
      <c r="AT182" s="1833"/>
      <c r="AU182" s="1833"/>
      <c r="AV182" s="1833"/>
      <c r="AW182" s="1833"/>
      <c r="AX182" s="1833"/>
      <c r="AY182" s="1833"/>
      <c r="AZ182" s="1833"/>
      <c r="BA182" s="1833"/>
      <c r="BB182" s="1833"/>
      <c r="BC182" s="1833"/>
      <c r="BD182" s="1833"/>
      <c r="BE182" s="1833"/>
      <c r="BF182" s="1833"/>
      <c r="BG182" s="1646"/>
    </row>
    <row customHeight="1" ht="11.25">
      <c r="A183" s="1177" t="s">
        <v>1088</v>
      </c>
      <c r="B183" s="1177"/>
      <c r="C183" s="1177"/>
      <c r="D183" s="1171"/>
      <c r="E183" s="1181"/>
      <c r="F183" s="1839"/>
      <c r="G183" s="1840"/>
      <c r="H183" s="2545" t="s">
        <v>1199</v>
      </c>
      <c r="I183" s="2546"/>
      <c r="J183" s="2911"/>
      <c r="K183" s="2547"/>
      <c r="L183" s="2137"/>
      <c r="M183" s="2138"/>
      <c r="N183" s="2538"/>
      <c r="O183" s="2539"/>
      <c r="P183" s="2542"/>
      <c r="Q183" s="2913"/>
      <c r="R183" s="2543"/>
      <c r="S183" s="2544"/>
      <c r="T183" s="2543"/>
      <c r="U183" s="2543"/>
      <c r="V183" s="2543"/>
      <c r="W183" s="2543"/>
      <c r="X183" s="2543"/>
      <c r="Y183" s="2543"/>
      <c r="Z183" s="1186"/>
      <c r="AA183" s="1187"/>
      <c r="AB183" s="1252" t="s">
        <v>1130</v>
      </c>
      <c r="AC183" s="1191"/>
      <c r="AD183" s="1191"/>
      <c r="AE183" s="1193"/>
      <c r="AF183" s="2536"/>
      <c r="AG183" s="2537"/>
      <c r="AH183" s="2537"/>
      <c r="AI183" s="2536"/>
      <c r="AJ183" s="2537"/>
      <c r="AK183" s="2537"/>
      <c r="AL183" s="1996"/>
      <c r="AM183" s="1833"/>
      <c r="AN183" s="1833"/>
      <c r="AO183" s="1833"/>
      <c r="AP183" s="1833"/>
      <c r="AQ183" s="1833"/>
      <c r="AR183" s="1833"/>
      <c r="AS183" s="1833"/>
      <c r="AT183" s="1833"/>
      <c r="AU183" s="1833"/>
      <c r="AV183" s="1833"/>
      <c r="AW183" s="1833"/>
      <c r="AX183" s="1833"/>
      <c r="AY183" s="1833"/>
      <c r="AZ183" s="1833"/>
      <c r="BA183" s="1833"/>
      <c r="BB183" s="1833"/>
      <c r="BC183" s="1833"/>
      <c r="BD183" s="1833"/>
      <c r="BE183" s="1833"/>
      <c r="BF183" s="1833"/>
      <c r="BG183" s="1646"/>
    </row>
    <row customHeight="1" ht="11.25">
      <c r="A184" s="1177" t="s">
        <v>1088</v>
      </c>
      <c r="B184" s="1177"/>
      <c r="C184" s="1177"/>
      <c r="D184" s="1171"/>
      <c r="E184" s="1181"/>
      <c r="F184" s="1839"/>
      <c r="G184" s="1840"/>
      <c r="H184" s="2545" t="s">
        <v>1199</v>
      </c>
      <c r="I184" s="2546"/>
      <c r="J184" s="2911"/>
      <c r="K184" s="2547"/>
      <c r="L184" s="2137"/>
      <c r="M184" s="2138"/>
      <c r="N184" s="1186"/>
      <c r="O184" s="1187"/>
      <c r="P184" s="1179" t="s">
        <v>1131</v>
      </c>
      <c r="Q184" s="1187"/>
      <c r="R184" s="1187"/>
      <c r="S184" s="1187"/>
      <c r="T184" s="1187"/>
      <c r="U184" s="1187"/>
      <c r="V184" s="1187"/>
      <c r="W184" s="1187"/>
      <c r="X184" s="1187"/>
      <c r="Y184" s="1187"/>
      <c r="Z184" s="1187"/>
      <c r="AA184" s="1187"/>
      <c r="AB184" s="1187"/>
      <c r="AC184" s="1187"/>
      <c r="AD184" s="1187"/>
      <c r="AE184" s="1194"/>
      <c r="AF184" s="2536"/>
      <c r="AG184" s="2537"/>
      <c r="AH184" s="2537"/>
      <c r="AI184" s="2536"/>
      <c r="AJ184" s="2537"/>
      <c r="AK184" s="2537"/>
      <c r="AL184" s="1996"/>
      <c r="AM184" s="1833"/>
      <c r="AN184" s="1833"/>
      <c r="AO184" s="1833"/>
      <c r="AP184" s="1833"/>
      <c r="AQ184" s="1833"/>
      <c r="AR184" s="1833"/>
      <c r="AS184" s="1833"/>
      <c r="AT184" s="1833"/>
      <c r="AU184" s="1833"/>
      <c r="AV184" s="1833"/>
      <c r="AW184" s="1833"/>
      <c r="AX184" s="1833"/>
      <c r="AY184" s="1833"/>
      <c r="AZ184" s="1833"/>
      <c r="BA184" s="1833"/>
      <c r="BB184" s="1833"/>
      <c r="BC184" s="1833"/>
      <c r="BD184" s="1833"/>
      <c r="BE184" s="1833"/>
      <c r="BF184" s="1833"/>
      <c r="BG184" s="1646"/>
    </row>
    <row customHeight="1" ht="11.25">
      <c r="A185" s="1177" t="s">
        <v>1088</v>
      </c>
      <c r="B185" s="1177" t="s">
        <v>22</v>
      </c>
      <c r="C185" s="1177"/>
      <c r="D185" s="1171"/>
      <c r="E185" s="1181"/>
      <c r="F185" s="1839"/>
      <c r="G185" s="694" t="s">
        <v>105</v>
      </c>
      <c r="H185" s="2545" t="s">
        <v>1204</v>
      </c>
      <c r="I185" s="2546" t="s">
        <v>1120</v>
      </c>
      <c r="J185" s="2911" t="s">
        <v>22</v>
      </c>
      <c r="K185" s="2547" t="s">
        <v>1205</v>
      </c>
      <c r="L185" s="2137" t="s">
        <v>19</v>
      </c>
      <c r="M185" s="2138"/>
      <c r="N185" s="1994"/>
      <c r="O185" s="1188" t="s">
        <v>390</v>
      </c>
      <c r="P185" s="1189"/>
      <c r="Q185" s="1189"/>
      <c r="R185" s="1189"/>
      <c r="S185" s="1189"/>
      <c r="T185" s="1189"/>
      <c r="U185" s="1189"/>
      <c r="V185" s="1189"/>
      <c r="W185" s="1189"/>
      <c r="X185" s="1189"/>
      <c r="Y185" s="1189"/>
      <c r="Z185" s="1189"/>
      <c r="AA185" s="1189"/>
      <c r="AB185" s="1189"/>
      <c r="AC185" s="1189"/>
      <c r="AD185" s="1189"/>
      <c r="AE185" s="1189"/>
      <c r="AF185" s="2536">
        <v>2025</v>
      </c>
      <c r="AG185" s="2537" t="s">
        <v>1122</v>
      </c>
      <c r="AH185" s="2537" t="s">
        <v>1138</v>
      </c>
      <c r="AI185" s="2536">
        <v>2025</v>
      </c>
      <c r="AJ185" s="2537" t="s">
        <v>1203</v>
      </c>
      <c r="AK185" s="2537" t="s">
        <v>1138</v>
      </c>
      <c r="AL185" s="1996"/>
      <c r="AM185" s="1833"/>
      <c r="AN185" s="1833"/>
      <c r="AO185" s="1833"/>
      <c r="AP185" s="1833"/>
      <c r="AQ185" s="1833"/>
      <c r="AR185" s="1833"/>
      <c r="AS185" s="1833"/>
      <c r="AT185" s="1833"/>
      <c r="AU185" s="1833"/>
      <c r="AV185" s="1833"/>
      <c r="AW185" s="1833"/>
      <c r="AX185" s="1833"/>
      <c r="AY185" s="1833"/>
      <c r="AZ185" s="1833"/>
      <c r="BA185" s="1833"/>
      <c r="BB185" s="1833"/>
      <c r="BC185" s="1833"/>
      <c r="BD185" s="1833"/>
      <c r="BE185" s="1833"/>
      <c r="BF185" s="1833"/>
      <c r="BG185" s="1646"/>
    </row>
    <row customHeight="1" ht="11.25">
      <c r="A186" s="1177" t="s">
        <v>1088</v>
      </c>
      <c r="B186" s="1177"/>
      <c r="C186" s="1177"/>
      <c r="D186" s="1171"/>
      <c r="E186" s="1181"/>
      <c r="F186" s="1839"/>
      <c r="G186" s="1840"/>
      <c r="H186" s="2545" t="s">
        <v>1201</v>
      </c>
      <c r="I186" s="2546"/>
      <c r="J186" s="2911"/>
      <c r="K186" s="2547"/>
      <c r="L186" s="2137"/>
      <c r="M186" s="2138"/>
      <c r="N186" s="2538"/>
      <c r="O186" s="2539">
        <v>1</v>
      </c>
      <c r="P186" s="2540" t="s">
        <v>63</v>
      </c>
      <c r="Q186" s="2913" t="s">
        <v>633</v>
      </c>
      <c r="R186" s="2914" t="s">
        <v>1124</v>
      </c>
      <c r="S186" s="2914" t="s">
        <v>101</v>
      </c>
      <c r="T186" s="2914" t="s">
        <v>101</v>
      </c>
      <c r="U186" s="2914" t="s">
        <v>102</v>
      </c>
      <c r="V186" s="2914" t="s">
        <v>1125</v>
      </c>
      <c r="W186" s="2914" t="s">
        <v>1126</v>
      </c>
      <c r="X186" s="2914" t="s">
        <v>1170</v>
      </c>
      <c r="Y186" s="2914" t="s">
        <v>1171</v>
      </c>
      <c r="Z186" s="1186"/>
      <c r="AA186" s="1187"/>
      <c r="AB186" s="1187"/>
      <c r="AC186" s="1191"/>
      <c r="AD186" s="1191"/>
      <c r="AE186" s="1192"/>
      <c r="AF186" s="2536"/>
      <c r="AG186" s="2537"/>
      <c r="AH186" s="2537"/>
      <c r="AI186" s="2536"/>
      <c r="AJ186" s="2537"/>
      <c r="AK186" s="2537"/>
      <c r="AL186" s="1996"/>
      <c r="AM186" s="1833"/>
      <c r="AN186" s="1833"/>
      <c r="AO186" s="1833"/>
      <c r="AP186" s="1833"/>
      <c r="AQ186" s="1833"/>
      <c r="AR186" s="1833"/>
      <c r="AS186" s="1833"/>
      <c r="AT186" s="1833"/>
      <c r="AU186" s="1833"/>
      <c r="AV186" s="1833"/>
      <c r="AW186" s="1833"/>
      <c r="AX186" s="1833"/>
      <c r="AY186" s="1833"/>
      <c r="AZ186" s="1833"/>
      <c r="BA186" s="1833"/>
      <c r="BB186" s="1833"/>
      <c r="BC186" s="1833"/>
      <c r="BD186" s="1833"/>
      <c r="BE186" s="1833"/>
      <c r="BF186" s="1833"/>
      <c r="BG186" s="1646"/>
    </row>
    <row customHeight="1" ht="11.25">
      <c r="A187" s="1177" t="s">
        <v>1088</v>
      </c>
      <c r="B187" s="1177"/>
      <c r="C187" s="1177"/>
      <c r="D187" s="1171"/>
      <c r="E187" s="1181"/>
      <c r="F187" s="1839"/>
      <c r="G187" s="1840"/>
      <c r="H187" s="2545" t="s">
        <v>1201</v>
      </c>
      <c r="I187" s="2546"/>
      <c r="J187" s="2911"/>
      <c r="K187" s="2547"/>
      <c r="L187" s="2137"/>
      <c r="M187" s="2138"/>
      <c r="N187" s="2538"/>
      <c r="O187" s="2539"/>
      <c r="P187" s="2541"/>
      <c r="Q187" s="2913"/>
      <c r="R187" s="2543"/>
      <c r="S187" s="2544"/>
      <c r="T187" s="2543"/>
      <c r="U187" s="2543"/>
      <c r="V187" s="2543"/>
      <c r="W187" s="2543"/>
      <c r="X187" s="2543"/>
      <c r="Y187" s="2543"/>
      <c r="Z187" s="1838"/>
      <c r="AA187" s="1804">
        <v>1</v>
      </c>
      <c r="AB187" s="1190" t="s">
        <v>1159</v>
      </c>
      <c r="AC187" s="1180">
        <v>338.726</v>
      </c>
      <c r="AD187" s="1190" t="str">
        <f>AB187</f>
        <v>      Прочие амортизационные отчисления</v>
      </c>
      <c r="AE187" s="1180">
        <v>317.21292</v>
      </c>
      <c r="AF187" s="2536"/>
      <c r="AG187" s="2537"/>
      <c r="AH187" s="2537"/>
      <c r="AI187" s="2536"/>
      <c r="AJ187" s="2537"/>
      <c r="AK187" s="2537"/>
      <c r="AL187" s="1996"/>
      <c r="AM187" s="1833"/>
      <c r="AN187" s="1833"/>
      <c r="AO187" s="1833"/>
      <c r="AP187" s="1833"/>
      <c r="AQ187" s="1833"/>
      <c r="AR187" s="1833"/>
      <c r="AS187" s="1833"/>
      <c r="AT187" s="1833"/>
      <c r="AU187" s="1833"/>
      <c r="AV187" s="1833"/>
      <c r="AW187" s="1833"/>
      <c r="AX187" s="1833"/>
      <c r="AY187" s="1833"/>
      <c r="AZ187" s="1833"/>
      <c r="BA187" s="1833"/>
      <c r="BB187" s="1833"/>
      <c r="BC187" s="1833"/>
      <c r="BD187" s="1833"/>
      <c r="BE187" s="1833"/>
      <c r="BF187" s="1833"/>
      <c r="BG187" s="1646"/>
    </row>
    <row customHeight="1" ht="11.25">
      <c r="A188" s="1177" t="s">
        <v>1088</v>
      </c>
      <c r="B188" s="1177"/>
      <c r="C188" s="1177"/>
      <c r="D188" s="1171"/>
      <c r="E188" s="1181"/>
      <c r="F188" s="1839"/>
      <c r="G188" s="1840"/>
      <c r="H188" s="2545" t="s">
        <v>1201</v>
      </c>
      <c r="I188" s="2546"/>
      <c r="J188" s="2911"/>
      <c r="K188" s="2547"/>
      <c r="L188" s="2137"/>
      <c r="M188" s="2138"/>
      <c r="N188" s="2538"/>
      <c r="O188" s="2539"/>
      <c r="P188" s="2542"/>
      <c r="Q188" s="2913"/>
      <c r="R188" s="2543"/>
      <c r="S188" s="2544"/>
      <c r="T188" s="2543"/>
      <c r="U188" s="2543"/>
      <c r="V188" s="2543"/>
      <c r="W188" s="2543"/>
      <c r="X188" s="2543"/>
      <c r="Y188" s="2543"/>
      <c r="Z188" s="1186"/>
      <c r="AA188" s="1187"/>
      <c r="AB188" s="1252" t="s">
        <v>1130</v>
      </c>
      <c r="AC188" s="1191"/>
      <c r="AD188" s="1191"/>
      <c r="AE188" s="1193"/>
      <c r="AF188" s="2536"/>
      <c r="AG188" s="2537"/>
      <c r="AH188" s="2537"/>
      <c r="AI188" s="2536"/>
      <c r="AJ188" s="2537"/>
      <c r="AK188" s="2537"/>
      <c r="AL188" s="1996"/>
      <c r="AM188" s="1833"/>
      <c r="AN188" s="1833"/>
      <c r="AO188" s="1833"/>
      <c r="AP188" s="1833"/>
      <c r="AQ188" s="1833"/>
      <c r="AR188" s="1833"/>
      <c r="AS188" s="1833"/>
      <c r="AT188" s="1833"/>
      <c r="AU188" s="1833"/>
      <c r="AV188" s="1833"/>
      <c r="AW188" s="1833"/>
      <c r="AX188" s="1833"/>
      <c r="AY188" s="1833"/>
      <c r="AZ188" s="1833"/>
      <c r="BA188" s="1833"/>
      <c r="BB188" s="1833"/>
      <c r="BC188" s="1833"/>
      <c r="BD188" s="1833"/>
      <c r="BE188" s="1833"/>
      <c r="BF188" s="1833"/>
      <c r="BG188" s="1646"/>
    </row>
    <row customHeight="1" ht="11.25">
      <c r="A189" s="1177" t="s">
        <v>1088</v>
      </c>
      <c r="B189" s="1177"/>
      <c r="C189" s="1177"/>
      <c r="D189" s="1171"/>
      <c r="E189" s="1181"/>
      <c r="F189" s="1839"/>
      <c r="G189" s="1840"/>
      <c r="H189" s="2545" t="s">
        <v>1201</v>
      </c>
      <c r="I189" s="2546"/>
      <c r="J189" s="2911"/>
      <c r="K189" s="2547"/>
      <c r="L189" s="2137"/>
      <c r="M189" s="2138"/>
      <c r="N189" s="1186"/>
      <c r="O189" s="1187"/>
      <c r="P189" s="1179" t="s">
        <v>1131</v>
      </c>
      <c r="Q189" s="1187"/>
      <c r="R189" s="1187"/>
      <c r="S189" s="1187"/>
      <c r="T189" s="1187"/>
      <c r="U189" s="1187"/>
      <c r="V189" s="1187"/>
      <c r="W189" s="1187"/>
      <c r="X189" s="1187"/>
      <c r="Y189" s="1187"/>
      <c r="Z189" s="1187"/>
      <c r="AA189" s="1187"/>
      <c r="AB189" s="1187"/>
      <c r="AC189" s="1187"/>
      <c r="AD189" s="1187"/>
      <c r="AE189" s="1194"/>
      <c r="AF189" s="2536"/>
      <c r="AG189" s="2537"/>
      <c r="AH189" s="2537"/>
      <c r="AI189" s="2536"/>
      <c r="AJ189" s="2537"/>
      <c r="AK189" s="2537"/>
      <c r="AL189" s="1996"/>
      <c r="AM189" s="1833"/>
      <c r="AN189" s="1833"/>
      <c r="AO189" s="1833"/>
      <c r="AP189" s="1833"/>
      <c r="AQ189" s="1833"/>
      <c r="AR189" s="1833"/>
      <c r="AS189" s="1833"/>
      <c r="AT189" s="1833"/>
      <c r="AU189" s="1833"/>
      <c r="AV189" s="1833"/>
      <c r="AW189" s="1833"/>
      <c r="AX189" s="1833"/>
      <c r="AY189" s="1833"/>
      <c r="AZ189" s="1833"/>
      <c r="BA189" s="1833"/>
      <c r="BB189" s="1833"/>
      <c r="BC189" s="1833"/>
      <c r="BD189" s="1833"/>
      <c r="BE189" s="1833"/>
      <c r="BF189" s="1833"/>
      <c r="BG189" s="1646"/>
    </row>
    <row customHeight="1" ht="11.25">
      <c r="A190" s="1177" t="s">
        <v>1088</v>
      </c>
      <c r="B190" s="1177" t="s">
        <v>22</v>
      </c>
      <c r="C190" s="1177"/>
      <c r="D190" s="1171"/>
      <c r="E190" s="1181"/>
      <c r="F190" s="1839"/>
      <c r="G190" s="694" t="s">
        <v>105</v>
      </c>
      <c r="H190" s="2545" t="s">
        <v>1206</v>
      </c>
      <c r="I190" s="2546" t="s">
        <v>1120</v>
      </c>
      <c r="J190" s="2911" t="s">
        <v>22</v>
      </c>
      <c r="K190" s="2547" t="s">
        <v>1207</v>
      </c>
      <c r="L190" s="2137" t="s">
        <v>19</v>
      </c>
      <c r="M190" s="2138"/>
      <c r="N190" s="1994"/>
      <c r="O190" s="1188" t="s">
        <v>390</v>
      </c>
      <c r="P190" s="1189"/>
      <c r="Q190" s="1189"/>
      <c r="R190" s="1189"/>
      <c r="S190" s="1189"/>
      <c r="T190" s="1189"/>
      <c r="U190" s="1189"/>
      <c r="V190" s="1189"/>
      <c r="W190" s="1189"/>
      <c r="X190" s="1189"/>
      <c r="Y190" s="1189"/>
      <c r="Z190" s="1189"/>
      <c r="AA190" s="1189"/>
      <c r="AB190" s="1189"/>
      <c r="AC190" s="1189"/>
      <c r="AD190" s="1189"/>
      <c r="AE190" s="1189"/>
      <c r="AF190" s="2536">
        <v>2026</v>
      </c>
      <c r="AG190" s="2537" t="s">
        <v>1122</v>
      </c>
      <c r="AH190" s="2537" t="s">
        <v>1169</v>
      </c>
      <c r="AI190" s="2916"/>
      <c r="AJ190" s="2537" t="s">
        <v>1154</v>
      </c>
      <c r="AK190" s="2537" t="s">
        <v>1154</v>
      </c>
      <c r="AL190" s="1996"/>
      <c r="AM190" s="1833"/>
      <c r="AN190" s="1833"/>
      <c r="AO190" s="1833"/>
      <c r="AP190" s="1833"/>
      <c r="AQ190" s="1833"/>
      <c r="AR190" s="1833"/>
      <c r="AS190" s="1833"/>
      <c r="AT190" s="1833"/>
      <c r="AU190" s="1833"/>
      <c r="AV190" s="1833"/>
      <c r="AW190" s="1833"/>
      <c r="AX190" s="1833"/>
      <c r="AY190" s="1833"/>
      <c r="AZ190" s="1833"/>
      <c r="BA190" s="1833"/>
      <c r="BB190" s="1833"/>
      <c r="BC190" s="1833"/>
      <c r="BD190" s="1833"/>
      <c r="BE190" s="1833"/>
      <c r="BF190" s="1833"/>
      <c r="BG190" s="1646"/>
    </row>
    <row customHeight="1" ht="11.25">
      <c r="A191" s="1177" t="s">
        <v>1088</v>
      </c>
      <c r="B191" s="1177"/>
      <c r="C191" s="1177"/>
      <c r="D191" s="1171"/>
      <c r="E191" s="1181"/>
      <c r="F191" s="1839"/>
      <c r="G191" s="1840"/>
      <c r="H191" s="2545" t="s">
        <v>1204</v>
      </c>
      <c r="I191" s="2546"/>
      <c r="J191" s="2911"/>
      <c r="K191" s="2547"/>
      <c r="L191" s="2137"/>
      <c r="M191" s="2138"/>
      <c r="N191" s="2538"/>
      <c r="O191" s="2539">
        <v>1</v>
      </c>
      <c r="P191" s="2540" t="s">
        <v>63</v>
      </c>
      <c r="Q191" s="2913" t="s">
        <v>633</v>
      </c>
      <c r="R191" s="2914" t="s">
        <v>1124</v>
      </c>
      <c r="S191" s="2914" t="s">
        <v>101</v>
      </c>
      <c r="T191" s="2914" t="s">
        <v>101</v>
      </c>
      <c r="U191" s="2914" t="s">
        <v>102</v>
      </c>
      <c r="V191" s="2914" t="s">
        <v>1125</v>
      </c>
      <c r="W191" s="2914" t="s">
        <v>1126</v>
      </c>
      <c r="X191" s="2914" t="s">
        <v>1170</v>
      </c>
      <c r="Y191" s="2914" t="s">
        <v>1171</v>
      </c>
      <c r="Z191" s="1186"/>
      <c r="AA191" s="1187"/>
      <c r="AB191" s="1187"/>
      <c r="AC191" s="1191"/>
      <c r="AD191" s="1191"/>
      <c r="AE191" s="1192"/>
      <c r="AF191" s="2536"/>
      <c r="AG191" s="2537"/>
      <c r="AH191" s="2537"/>
      <c r="AI191" s="2916"/>
      <c r="AJ191" s="2537"/>
      <c r="AK191" s="2537"/>
      <c r="AL191" s="1996"/>
      <c r="AM191" s="1833"/>
      <c r="AN191" s="1833"/>
      <c r="AO191" s="1833"/>
      <c r="AP191" s="1833"/>
      <c r="AQ191" s="1833"/>
      <c r="AR191" s="1833"/>
      <c r="AS191" s="1833"/>
      <c r="AT191" s="1833"/>
      <c r="AU191" s="1833"/>
      <c r="AV191" s="1833"/>
      <c r="AW191" s="1833"/>
      <c r="AX191" s="1833"/>
      <c r="AY191" s="1833"/>
      <c r="AZ191" s="1833"/>
      <c r="BA191" s="1833"/>
      <c r="BB191" s="1833"/>
      <c r="BC191" s="1833"/>
      <c r="BD191" s="1833"/>
      <c r="BE191" s="1833"/>
      <c r="BF191" s="1833"/>
      <c r="BG191" s="1646"/>
    </row>
    <row customHeight="1" ht="11.25">
      <c r="A192" s="1177" t="s">
        <v>1088</v>
      </c>
      <c r="B192" s="1177"/>
      <c r="C192" s="1177"/>
      <c r="D192" s="1171"/>
      <c r="E192" s="1181"/>
      <c r="F192" s="1839"/>
      <c r="G192" s="1840"/>
      <c r="H192" s="2545" t="s">
        <v>1204</v>
      </c>
      <c r="I192" s="2546"/>
      <c r="J192" s="2911"/>
      <c r="K192" s="2547"/>
      <c r="L192" s="2137"/>
      <c r="M192" s="2138"/>
      <c r="N192" s="2538"/>
      <c r="O192" s="2539"/>
      <c r="P192" s="2541"/>
      <c r="Q192" s="2913"/>
      <c r="R192" s="2543"/>
      <c r="S192" s="2544"/>
      <c r="T192" s="2543"/>
      <c r="U192" s="2543"/>
      <c r="V192" s="2543"/>
      <c r="W192" s="2543"/>
      <c r="X192" s="2543"/>
      <c r="Y192" s="2543"/>
      <c r="Z192" s="1838"/>
      <c r="AA192" s="1804">
        <v>1</v>
      </c>
      <c r="AB192" s="1190" t="s">
        <v>1159</v>
      </c>
      <c r="AC192" s="1180">
        <v>4701.222</v>
      </c>
      <c r="AD192" s="1190" t="str">
        <f>AB192</f>
        <v>      Прочие амортизационные отчисления</v>
      </c>
      <c r="AE192" s="1180">
        <v>1252.41068</v>
      </c>
      <c r="AF192" s="2536"/>
      <c r="AG192" s="2537"/>
      <c r="AH192" s="2537"/>
      <c r="AI192" s="2916"/>
      <c r="AJ192" s="2537"/>
      <c r="AK192" s="2537"/>
      <c r="AL192" s="1996"/>
      <c r="AM192" s="1833"/>
      <c r="AN192" s="1833"/>
      <c r="AO192" s="1833"/>
      <c r="AP192" s="1833"/>
      <c r="AQ192" s="1833"/>
      <c r="AR192" s="1833"/>
      <c r="AS192" s="1833"/>
      <c r="AT192" s="1833"/>
      <c r="AU192" s="1833"/>
      <c r="AV192" s="1833"/>
      <c r="AW192" s="1833"/>
      <c r="AX192" s="1833"/>
      <c r="AY192" s="1833"/>
      <c r="AZ192" s="1833"/>
      <c r="BA192" s="1833"/>
      <c r="BB192" s="1833"/>
      <c r="BC192" s="1833"/>
      <c r="BD192" s="1833"/>
      <c r="BE192" s="1833"/>
      <c r="BF192" s="1833"/>
      <c r="BG192" s="1646"/>
    </row>
    <row customHeight="1" ht="11.25">
      <c r="A193" s="1177" t="s">
        <v>1088</v>
      </c>
      <c r="B193" s="1177"/>
      <c r="C193" s="1177"/>
      <c r="D193" s="1171"/>
      <c r="E193" s="1181"/>
      <c r="F193" s="1839"/>
      <c r="G193" s="1840"/>
      <c r="H193" s="2545" t="s">
        <v>1204</v>
      </c>
      <c r="I193" s="2546"/>
      <c r="J193" s="2911"/>
      <c r="K193" s="2547"/>
      <c r="L193" s="2137"/>
      <c r="M193" s="2138"/>
      <c r="N193" s="2538"/>
      <c r="O193" s="2539"/>
      <c r="P193" s="2542"/>
      <c r="Q193" s="2913"/>
      <c r="R193" s="2543"/>
      <c r="S193" s="2544"/>
      <c r="T193" s="2543"/>
      <c r="U193" s="2543"/>
      <c r="V193" s="2543"/>
      <c r="W193" s="2543"/>
      <c r="X193" s="2543"/>
      <c r="Y193" s="2543"/>
      <c r="Z193" s="1186"/>
      <c r="AA193" s="1187"/>
      <c r="AB193" s="1252" t="s">
        <v>1130</v>
      </c>
      <c r="AC193" s="1191"/>
      <c r="AD193" s="1191"/>
      <c r="AE193" s="1193"/>
      <c r="AF193" s="2536"/>
      <c r="AG193" s="2537"/>
      <c r="AH193" s="2537"/>
      <c r="AI193" s="2916"/>
      <c r="AJ193" s="2537"/>
      <c r="AK193" s="2537"/>
      <c r="AL193" s="1996"/>
      <c r="AM193" s="1833"/>
      <c r="AN193" s="1833"/>
      <c r="AO193" s="1833"/>
      <c r="AP193" s="1833"/>
      <c r="AQ193" s="1833"/>
      <c r="AR193" s="1833"/>
      <c r="AS193" s="1833"/>
      <c r="AT193" s="1833"/>
      <c r="AU193" s="1833"/>
      <c r="AV193" s="1833"/>
      <c r="AW193" s="1833"/>
      <c r="AX193" s="1833"/>
      <c r="AY193" s="1833"/>
      <c r="AZ193" s="1833"/>
      <c r="BA193" s="1833"/>
      <c r="BB193" s="1833"/>
      <c r="BC193" s="1833"/>
      <c r="BD193" s="1833"/>
      <c r="BE193" s="1833"/>
      <c r="BF193" s="1833"/>
      <c r="BG193" s="1646"/>
    </row>
    <row customHeight="1" ht="11.25">
      <c r="A194" s="1177" t="s">
        <v>1088</v>
      </c>
      <c r="B194" s="1177"/>
      <c r="C194" s="1177"/>
      <c r="D194" s="1171"/>
      <c r="E194" s="1181"/>
      <c r="F194" s="1839"/>
      <c r="G194" s="1840"/>
      <c r="H194" s="2545" t="s">
        <v>1204</v>
      </c>
      <c r="I194" s="2546"/>
      <c r="J194" s="2911"/>
      <c r="K194" s="2547"/>
      <c r="L194" s="2137"/>
      <c r="M194" s="2138"/>
      <c r="N194" s="1186"/>
      <c r="O194" s="1187"/>
      <c r="P194" s="1179" t="s">
        <v>1131</v>
      </c>
      <c r="Q194" s="1187"/>
      <c r="R194" s="1187"/>
      <c r="S194" s="1187"/>
      <c r="T194" s="1187"/>
      <c r="U194" s="1187"/>
      <c r="V194" s="1187"/>
      <c r="W194" s="1187"/>
      <c r="X194" s="1187"/>
      <c r="Y194" s="1187"/>
      <c r="Z194" s="1187"/>
      <c r="AA194" s="1187"/>
      <c r="AB194" s="1187"/>
      <c r="AC194" s="1187"/>
      <c r="AD194" s="1187"/>
      <c r="AE194" s="1194"/>
      <c r="AF194" s="2536"/>
      <c r="AG194" s="2537"/>
      <c r="AH194" s="2537"/>
      <c r="AI194" s="2916"/>
      <c r="AJ194" s="2537"/>
      <c r="AK194" s="2537"/>
      <c r="AL194" s="1996"/>
      <c r="AM194" s="1833"/>
      <c r="AN194" s="1833"/>
      <c r="AO194" s="1833"/>
      <c r="AP194" s="1833"/>
      <c r="AQ194" s="1833"/>
      <c r="AR194" s="1833"/>
      <c r="AS194" s="1833"/>
      <c r="AT194" s="1833"/>
      <c r="AU194" s="1833"/>
      <c r="AV194" s="1833"/>
      <c r="AW194" s="1833"/>
      <c r="AX194" s="1833"/>
      <c r="AY194" s="1833"/>
      <c r="AZ194" s="1833"/>
      <c r="BA194" s="1833"/>
      <c r="BB194" s="1833"/>
      <c r="BC194" s="1833"/>
      <c r="BD194" s="1833"/>
      <c r="BE194" s="1833"/>
      <c r="BF194" s="1833"/>
      <c r="BG194" s="1646"/>
    </row>
    <row customHeight="1" ht="11.25">
      <c r="A195" s="1177" t="s">
        <v>1088</v>
      </c>
      <c r="B195" s="1177" t="s">
        <v>22</v>
      </c>
      <c r="C195" s="1177"/>
      <c r="D195" s="1171"/>
      <c r="E195" s="1181"/>
      <c r="F195" s="1839"/>
      <c r="G195" s="694" t="s">
        <v>105</v>
      </c>
      <c r="H195" s="2545" t="s">
        <v>1208</v>
      </c>
      <c r="I195" s="2546" t="s">
        <v>1209</v>
      </c>
      <c r="J195" s="2911" t="s">
        <v>22</v>
      </c>
      <c r="K195" s="2547" t="s">
        <v>1210</v>
      </c>
      <c r="L195" s="2137" t="s">
        <v>19</v>
      </c>
      <c r="M195" s="2138"/>
      <c r="N195" s="1994"/>
      <c r="O195" s="1188" t="s">
        <v>390</v>
      </c>
      <c r="P195" s="1189"/>
      <c r="Q195" s="1189"/>
      <c r="R195" s="1189"/>
      <c r="S195" s="1189"/>
      <c r="T195" s="1189"/>
      <c r="U195" s="1189"/>
      <c r="V195" s="1189"/>
      <c r="W195" s="1189"/>
      <c r="X195" s="1189"/>
      <c r="Y195" s="1189"/>
      <c r="Z195" s="1189"/>
      <c r="AA195" s="1189"/>
      <c r="AB195" s="1189"/>
      <c r="AC195" s="1189"/>
      <c r="AD195" s="1189"/>
      <c r="AE195" s="1189"/>
      <c r="AF195" s="2536">
        <v>2025</v>
      </c>
      <c r="AG195" s="2537" t="s">
        <v>1122</v>
      </c>
      <c r="AH195" s="2537" t="s">
        <v>1138</v>
      </c>
      <c r="AI195" s="2916"/>
      <c r="AJ195" s="2537" t="s">
        <v>1145</v>
      </c>
      <c r="AK195" s="2537" t="s">
        <v>1145</v>
      </c>
      <c r="AL195" s="1996"/>
      <c r="AM195" s="1833"/>
      <c r="AN195" s="1833"/>
      <c r="AO195" s="1833"/>
      <c r="AP195" s="1833"/>
      <c r="AQ195" s="1833"/>
      <c r="AR195" s="1833"/>
      <c r="AS195" s="1833"/>
      <c r="AT195" s="1833"/>
      <c r="AU195" s="1833"/>
      <c r="AV195" s="1833"/>
      <c r="AW195" s="1833"/>
      <c r="AX195" s="1833"/>
      <c r="AY195" s="1833"/>
      <c r="AZ195" s="1833"/>
      <c r="BA195" s="1833"/>
      <c r="BB195" s="1833"/>
      <c r="BC195" s="1833"/>
      <c r="BD195" s="1833"/>
      <c r="BE195" s="1833"/>
      <c r="BF195" s="1833"/>
      <c r="BG195" s="1646"/>
    </row>
    <row customHeight="1" ht="11.25">
      <c r="A196" s="1177" t="s">
        <v>1088</v>
      </c>
      <c r="B196" s="1177"/>
      <c r="C196" s="1177"/>
      <c r="D196" s="1171"/>
      <c r="E196" s="1181"/>
      <c r="F196" s="1839"/>
      <c r="G196" s="1840"/>
      <c r="H196" s="2545" t="s">
        <v>1206</v>
      </c>
      <c r="I196" s="2546"/>
      <c r="J196" s="2911"/>
      <c r="K196" s="2547"/>
      <c r="L196" s="2137"/>
      <c r="M196" s="2138"/>
      <c r="N196" s="2538"/>
      <c r="O196" s="2539">
        <v>1</v>
      </c>
      <c r="P196" s="2540" t="s">
        <v>63</v>
      </c>
      <c r="Q196" s="2913" t="s">
        <v>634</v>
      </c>
      <c r="R196" s="2914" t="s">
        <v>1124</v>
      </c>
      <c r="S196" s="2914" t="s">
        <v>108</v>
      </c>
      <c r="T196" s="2914" t="s">
        <v>108</v>
      </c>
      <c r="U196" s="2914" t="s">
        <v>109</v>
      </c>
      <c r="V196" s="2914" t="s">
        <v>1174</v>
      </c>
      <c r="W196" s="2914" t="s">
        <v>1175</v>
      </c>
      <c r="X196" s="2914" t="s">
        <v>1211</v>
      </c>
      <c r="Y196" s="2914" t="s">
        <v>92</v>
      </c>
      <c r="Z196" s="1186"/>
      <c r="AA196" s="1187"/>
      <c r="AB196" s="1187"/>
      <c r="AC196" s="1191"/>
      <c r="AD196" s="1191"/>
      <c r="AE196" s="1192"/>
      <c r="AF196" s="2536"/>
      <c r="AG196" s="2537"/>
      <c r="AH196" s="2537"/>
      <c r="AI196" s="2916"/>
      <c r="AJ196" s="2537"/>
      <c r="AK196" s="2537"/>
      <c r="AL196" s="1996"/>
      <c r="AM196" s="1833"/>
      <c r="AN196" s="1833"/>
      <c r="AO196" s="1833"/>
      <c r="AP196" s="1833"/>
      <c r="AQ196" s="1833"/>
      <c r="AR196" s="1833"/>
      <c r="AS196" s="1833"/>
      <c r="AT196" s="1833"/>
      <c r="AU196" s="1833"/>
      <c r="AV196" s="1833"/>
      <c r="AW196" s="1833"/>
      <c r="AX196" s="1833"/>
      <c r="AY196" s="1833"/>
      <c r="AZ196" s="1833"/>
      <c r="BA196" s="1833"/>
      <c r="BB196" s="1833"/>
      <c r="BC196" s="1833"/>
      <c r="BD196" s="1833"/>
      <c r="BE196" s="1833"/>
      <c r="BF196" s="1833"/>
      <c r="BG196" s="1646"/>
    </row>
    <row customHeight="1" ht="11.25">
      <c r="A197" s="1177" t="s">
        <v>1088</v>
      </c>
      <c r="B197" s="1177"/>
      <c r="C197" s="1177"/>
      <c r="D197" s="1171"/>
      <c r="E197" s="1181"/>
      <c r="F197" s="1839"/>
      <c r="G197" s="1840"/>
      <c r="H197" s="2545" t="s">
        <v>1206</v>
      </c>
      <c r="I197" s="2546"/>
      <c r="J197" s="2911"/>
      <c r="K197" s="2547"/>
      <c r="L197" s="2137"/>
      <c r="M197" s="2138"/>
      <c r="N197" s="2538"/>
      <c r="O197" s="2539"/>
      <c r="P197" s="2541"/>
      <c r="Q197" s="2913"/>
      <c r="R197" s="2543"/>
      <c r="S197" s="2544"/>
      <c r="T197" s="2543"/>
      <c r="U197" s="2543"/>
      <c r="V197" s="2543"/>
      <c r="W197" s="2543"/>
      <c r="X197" s="2543"/>
      <c r="Y197" s="2543"/>
      <c r="Z197" s="1838"/>
      <c r="AA197" s="1804">
        <v>1</v>
      </c>
      <c r="AB197" s="1190" t="s">
        <v>1159</v>
      </c>
      <c r="AC197" s="1180">
        <v>5426.56</v>
      </c>
      <c r="AD197" s="1190" t="str">
        <f>AB197</f>
        <v>      Прочие амортизационные отчисления</v>
      </c>
      <c r="AE197" s="1180">
        <v>8397.98177</v>
      </c>
      <c r="AF197" s="2536"/>
      <c r="AG197" s="2537"/>
      <c r="AH197" s="2537"/>
      <c r="AI197" s="2916"/>
      <c r="AJ197" s="2537"/>
      <c r="AK197" s="2537"/>
      <c r="AL197" s="1996"/>
      <c r="AM197" s="1833"/>
      <c r="AN197" s="1833"/>
      <c r="AO197" s="1833"/>
      <c r="AP197" s="1833"/>
      <c r="AQ197" s="1833"/>
      <c r="AR197" s="1833"/>
      <c r="AS197" s="1833"/>
      <c r="AT197" s="1833"/>
      <c r="AU197" s="1833"/>
      <c r="AV197" s="1833"/>
      <c r="AW197" s="1833"/>
      <c r="AX197" s="1833"/>
      <c r="AY197" s="1833"/>
      <c r="AZ197" s="1833"/>
      <c r="BA197" s="1833"/>
      <c r="BB197" s="1833"/>
      <c r="BC197" s="1833"/>
      <c r="BD197" s="1833"/>
      <c r="BE197" s="1833"/>
      <c r="BF197" s="1833"/>
      <c r="BG197" s="1646"/>
    </row>
    <row customHeight="1" ht="11.25">
      <c r="A198" s="1177" t="s">
        <v>1088</v>
      </c>
      <c r="B198" s="1177"/>
      <c r="C198" s="1177"/>
      <c r="D198" s="1171"/>
      <c r="E198" s="1181"/>
      <c r="F198" s="1839"/>
      <c r="G198" s="1840"/>
      <c r="H198" s="2545" t="s">
        <v>1206</v>
      </c>
      <c r="I198" s="2546"/>
      <c r="J198" s="2911"/>
      <c r="K198" s="2547"/>
      <c r="L198" s="2137"/>
      <c r="M198" s="2138"/>
      <c r="N198" s="2538"/>
      <c r="O198" s="2539"/>
      <c r="P198" s="2542"/>
      <c r="Q198" s="2913"/>
      <c r="R198" s="2543"/>
      <c r="S198" s="2544"/>
      <c r="T198" s="2543"/>
      <c r="U198" s="2543"/>
      <c r="V198" s="2543"/>
      <c r="W198" s="2543"/>
      <c r="X198" s="2543"/>
      <c r="Y198" s="2543"/>
      <c r="Z198" s="1186"/>
      <c r="AA198" s="1187"/>
      <c r="AB198" s="1252" t="s">
        <v>1130</v>
      </c>
      <c r="AC198" s="1191"/>
      <c r="AD198" s="1191"/>
      <c r="AE198" s="1193"/>
      <c r="AF198" s="2536"/>
      <c r="AG198" s="2537"/>
      <c r="AH198" s="2537"/>
      <c r="AI198" s="2916"/>
      <c r="AJ198" s="2537"/>
      <c r="AK198" s="2537"/>
      <c r="AL198" s="1996"/>
      <c r="AM198" s="1833"/>
      <c r="AN198" s="1833"/>
      <c r="AO198" s="1833"/>
      <c r="AP198" s="1833"/>
      <c r="AQ198" s="1833"/>
      <c r="AR198" s="1833"/>
      <c r="AS198" s="1833"/>
      <c r="AT198" s="1833"/>
      <c r="AU198" s="1833"/>
      <c r="AV198" s="1833"/>
      <c r="AW198" s="1833"/>
      <c r="AX198" s="1833"/>
      <c r="AY198" s="1833"/>
      <c r="AZ198" s="1833"/>
      <c r="BA198" s="1833"/>
      <c r="BB198" s="1833"/>
      <c r="BC198" s="1833"/>
      <c r="BD198" s="1833"/>
      <c r="BE198" s="1833"/>
      <c r="BF198" s="1833"/>
      <c r="BG198" s="1646"/>
    </row>
    <row customHeight="1" ht="11.25">
      <c r="A199" s="1177" t="s">
        <v>1088</v>
      </c>
      <c r="B199" s="1177"/>
      <c r="C199" s="1177"/>
      <c r="D199" s="1171"/>
      <c r="E199" s="1181"/>
      <c r="F199" s="1839"/>
      <c r="G199" s="1840"/>
      <c r="H199" s="2545" t="s">
        <v>1206</v>
      </c>
      <c r="I199" s="2546"/>
      <c r="J199" s="2911"/>
      <c r="K199" s="2547"/>
      <c r="L199" s="2137"/>
      <c r="M199" s="2138"/>
      <c r="N199" s="1186"/>
      <c r="O199" s="1187"/>
      <c r="P199" s="1179" t="s">
        <v>1131</v>
      </c>
      <c r="Q199" s="1187"/>
      <c r="R199" s="1187"/>
      <c r="S199" s="1187"/>
      <c r="T199" s="1187"/>
      <c r="U199" s="1187"/>
      <c r="V199" s="1187"/>
      <c r="W199" s="1187"/>
      <c r="X199" s="1187"/>
      <c r="Y199" s="1187"/>
      <c r="Z199" s="1187"/>
      <c r="AA199" s="1187"/>
      <c r="AB199" s="1187"/>
      <c r="AC199" s="1187"/>
      <c r="AD199" s="1187"/>
      <c r="AE199" s="1194"/>
      <c r="AF199" s="2536"/>
      <c r="AG199" s="2537"/>
      <c r="AH199" s="2537"/>
      <c r="AI199" s="2916"/>
      <c r="AJ199" s="2537"/>
      <c r="AK199" s="2537"/>
      <c r="AL199" s="1996"/>
      <c r="AM199" s="1833"/>
      <c r="AN199" s="1833"/>
      <c r="AO199" s="1833"/>
      <c r="AP199" s="1833"/>
      <c r="AQ199" s="1833"/>
      <c r="AR199" s="1833"/>
      <c r="AS199" s="1833"/>
      <c r="AT199" s="1833"/>
      <c r="AU199" s="1833"/>
      <c r="AV199" s="1833"/>
      <c r="AW199" s="1833"/>
      <c r="AX199" s="1833"/>
      <c r="AY199" s="1833"/>
      <c r="AZ199" s="1833"/>
      <c r="BA199" s="1833"/>
      <c r="BB199" s="1833"/>
      <c r="BC199" s="1833"/>
      <c r="BD199" s="1833"/>
      <c r="BE199" s="1833"/>
      <c r="BF199" s="1833"/>
      <c r="BG199" s="1646"/>
    </row>
    <row customHeight="1" ht="11.25">
      <c r="A200" s="1177" t="s">
        <v>1088</v>
      </c>
      <c r="B200" s="1177" t="s">
        <v>22</v>
      </c>
      <c r="C200" s="1177"/>
      <c r="D200" s="1171"/>
      <c r="E200" s="1181"/>
      <c r="F200" s="1839"/>
      <c r="G200" s="694" t="s">
        <v>105</v>
      </c>
      <c r="H200" s="2545" t="s">
        <v>1212</v>
      </c>
      <c r="I200" s="2546" t="s">
        <v>1209</v>
      </c>
      <c r="J200" s="2911" t="s">
        <v>22</v>
      </c>
      <c r="K200" s="2547" t="s">
        <v>1213</v>
      </c>
      <c r="L200" s="2137" t="s">
        <v>19</v>
      </c>
      <c r="M200" s="2138"/>
      <c r="N200" s="1994"/>
      <c r="O200" s="1188" t="s">
        <v>390</v>
      </c>
      <c r="P200" s="1189"/>
      <c r="Q200" s="1189"/>
      <c r="R200" s="1189"/>
      <c r="S200" s="1189"/>
      <c r="T200" s="1189"/>
      <c r="U200" s="1189"/>
      <c r="V200" s="1189"/>
      <c r="W200" s="1189"/>
      <c r="X200" s="1189"/>
      <c r="Y200" s="1189"/>
      <c r="Z200" s="1189"/>
      <c r="AA200" s="1189"/>
      <c r="AB200" s="1189"/>
      <c r="AC200" s="1189"/>
      <c r="AD200" s="1189"/>
      <c r="AE200" s="1189"/>
      <c r="AF200" s="2536">
        <v>2025</v>
      </c>
      <c r="AG200" s="2537" t="s">
        <v>1122</v>
      </c>
      <c r="AH200" s="2537" t="s">
        <v>1138</v>
      </c>
      <c r="AI200" s="2536">
        <v>2025</v>
      </c>
      <c r="AJ200" s="2537" t="s">
        <v>1122</v>
      </c>
      <c r="AK200" s="2537" t="s">
        <v>1138</v>
      </c>
      <c r="AL200" s="1996"/>
      <c r="AM200" s="1833"/>
      <c r="AN200" s="1833"/>
      <c r="AO200" s="1833"/>
      <c r="AP200" s="1833"/>
      <c r="AQ200" s="1833"/>
      <c r="AR200" s="1833"/>
      <c r="AS200" s="1833"/>
      <c r="AT200" s="1833"/>
      <c r="AU200" s="1833"/>
      <c r="AV200" s="1833"/>
      <c r="AW200" s="1833"/>
      <c r="AX200" s="1833"/>
      <c r="AY200" s="1833"/>
      <c r="AZ200" s="1833"/>
      <c r="BA200" s="1833"/>
      <c r="BB200" s="1833"/>
      <c r="BC200" s="1833"/>
      <c r="BD200" s="1833"/>
      <c r="BE200" s="1833"/>
      <c r="BF200" s="1833"/>
      <c r="BG200" s="1646"/>
    </row>
    <row customHeight="1" ht="11.25">
      <c r="A201" s="1177" t="s">
        <v>1088</v>
      </c>
      <c r="B201" s="1177"/>
      <c r="C201" s="1177"/>
      <c r="D201" s="1171"/>
      <c r="E201" s="1181"/>
      <c r="F201" s="1839"/>
      <c r="G201" s="1840"/>
      <c r="H201" s="2545" t="s">
        <v>1208</v>
      </c>
      <c r="I201" s="2546"/>
      <c r="J201" s="2911"/>
      <c r="K201" s="2547"/>
      <c r="L201" s="2137"/>
      <c r="M201" s="2138"/>
      <c r="N201" s="2538"/>
      <c r="O201" s="2539">
        <v>1</v>
      </c>
      <c r="P201" s="2540" t="s">
        <v>63</v>
      </c>
      <c r="Q201" s="2913" t="s">
        <v>637</v>
      </c>
      <c r="R201" s="2914" t="s">
        <v>1124</v>
      </c>
      <c r="S201" s="2914" t="s">
        <v>108</v>
      </c>
      <c r="T201" s="2914" t="s">
        <v>108</v>
      </c>
      <c r="U201" s="2914" t="s">
        <v>109</v>
      </c>
      <c r="V201" s="2914" t="s">
        <v>1174</v>
      </c>
      <c r="W201" s="2914" t="s">
        <v>1175</v>
      </c>
      <c r="X201" s="2914" t="s">
        <v>1214</v>
      </c>
      <c r="Y201" s="2914" t="s">
        <v>1204</v>
      </c>
      <c r="Z201" s="1186"/>
      <c r="AA201" s="1187"/>
      <c r="AB201" s="1187"/>
      <c r="AC201" s="1191"/>
      <c r="AD201" s="1191"/>
      <c r="AE201" s="1192"/>
      <c r="AF201" s="2536"/>
      <c r="AG201" s="2537"/>
      <c r="AH201" s="2537"/>
      <c r="AI201" s="2536"/>
      <c r="AJ201" s="2537"/>
      <c r="AK201" s="2537"/>
      <c r="AL201" s="1996"/>
      <c r="AM201" s="1833"/>
      <c r="AN201" s="1833"/>
      <c r="AO201" s="1833"/>
      <c r="AP201" s="1833"/>
      <c r="AQ201" s="1833"/>
      <c r="AR201" s="1833"/>
      <c r="AS201" s="1833"/>
      <c r="AT201" s="1833"/>
      <c r="AU201" s="1833"/>
      <c r="AV201" s="1833"/>
      <c r="AW201" s="1833"/>
      <c r="AX201" s="1833"/>
      <c r="AY201" s="1833"/>
      <c r="AZ201" s="1833"/>
      <c r="BA201" s="1833"/>
      <c r="BB201" s="1833"/>
      <c r="BC201" s="1833"/>
      <c r="BD201" s="1833"/>
      <c r="BE201" s="1833"/>
      <c r="BF201" s="1833"/>
      <c r="BG201" s="1646"/>
    </row>
    <row customHeight="1" ht="11.25">
      <c r="A202" s="1177" t="s">
        <v>1088</v>
      </c>
      <c r="B202" s="1177"/>
      <c r="C202" s="1177"/>
      <c r="D202" s="1171"/>
      <c r="E202" s="1181"/>
      <c r="F202" s="1839"/>
      <c r="G202" s="1840"/>
      <c r="H202" s="2545" t="s">
        <v>1208</v>
      </c>
      <c r="I202" s="2546"/>
      <c r="J202" s="2911"/>
      <c r="K202" s="2547"/>
      <c r="L202" s="2137"/>
      <c r="M202" s="2138"/>
      <c r="N202" s="2538"/>
      <c r="O202" s="2539"/>
      <c r="P202" s="2541"/>
      <c r="Q202" s="2913"/>
      <c r="R202" s="2543"/>
      <c r="S202" s="2544"/>
      <c r="T202" s="2543"/>
      <c r="U202" s="2543"/>
      <c r="V202" s="2543"/>
      <c r="W202" s="2543"/>
      <c r="X202" s="2543"/>
      <c r="Y202" s="2543"/>
      <c r="Z202" s="1838"/>
      <c r="AA202" s="1804">
        <v>1</v>
      </c>
      <c r="AB202" s="1190" t="s">
        <v>1159</v>
      </c>
      <c r="AC202" s="1180">
        <v>0</v>
      </c>
      <c r="AD202" s="1190" t="str">
        <f>AB202</f>
        <v>      Прочие амортизационные отчисления</v>
      </c>
      <c r="AE202" s="1180">
        <v>194.193</v>
      </c>
      <c r="AF202" s="2536"/>
      <c r="AG202" s="2537"/>
      <c r="AH202" s="2537"/>
      <c r="AI202" s="2536"/>
      <c r="AJ202" s="2537"/>
      <c r="AK202" s="2537"/>
      <c r="AL202" s="1996"/>
      <c r="AM202" s="1833"/>
      <c r="AN202" s="1833"/>
      <c r="AO202" s="1833"/>
      <c r="AP202" s="1833"/>
      <c r="AQ202" s="1833"/>
      <c r="AR202" s="1833"/>
      <c r="AS202" s="1833"/>
      <c r="AT202" s="1833"/>
      <c r="AU202" s="1833"/>
      <c r="AV202" s="1833"/>
      <c r="AW202" s="1833"/>
      <c r="AX202" s="1833"/>
      <c r="AY202" s="1833"/>
      <c r="AZ202" s="1833"/>
      <c r="BA202" s="1833"/>
      <c r="BB202" s="1833"/>
      <c r="BC202" s="1833"/>
      <c r="BD202" s="1833"/>
      <c r="BE202" s="1833"/>
      <c r="BF202" s="1833"/>
      <c r="BG202" s="1646"/>
    </row>
    <row customHeight="1" ht="11.25">
      <c r="A203" s="1177" t="s">
        <v>1088</v>
      </c>
      <c r="B203" s="1177"/>
      <c r="C203" s="1177"/>
      <c r="D203" s="1171"/>
      <c r="E203" s="1181"/>
      <c r="F203" s="1840"/>
      <c r="G203" s="1840"/>
      <c r="H203" s="1840"/>
      <c r="I203" s="1840"/>
      <c r="J203" s="1840"/>
      <c r="K203" s="1840"/>
      <c r="L203" s="1840"/>
      <c r="M203" s="1840"/>
      <c r="N203" s="1840"/>
      <c r="O203" s="1840"/>
      <c r="P203" s="1840"/>
      <c r="Q203" s="1840"/>
      <c r="R203" s="1840"/>
      <c r="S203" s="1840"/>
      <c r="T203" s="1840"/>
      <c r="U203" s="1840"/>
      <c r="V203" s="1840"/>
      <c r="W203" s="1840"/>
      <c r="X203" s="1840"/>
      <c r="Y203" s="1840"/>
      <c r="Z203" s="694" t="s">
        <v>105</v>
      </c>
      <c r="AA203" s="1824" t="s">
        <v>104</v>
      </c>
      <c r="AB203" s="1190" t="s">
        <v>1129</v>
      </c>
      <c r="AC203" s="1180">
        <v>4182.408</v>
      </c>
      <c r="AD203" s="1190" t="str">
        <f>AB203</f>
        <v>  Прибыль направляемая на инвестиции</v>
      </c>
      <c r="AE203" s="1180">
        <v>0</v>
      </c>
      <c r="AF203" s="2097"/>
      <c r="AG203" s="1769"/>
      <c r="AH203" s="1769"/>
      <c r="AI203" s="2097"/>
      <c r="AJ203" s="1769"/>
      <c r="AK203" s="1995"/>
      <c r="AL203" s="1996"/>
      <c r="AM203" s="1833"/>
      <c r="AN203" s="1833"/>
      <c r="AO203" s="1833"/>
      <c r="AP203" s="1833"/>
      <c r="AQ203" s="1833"/>
      <c r="AR203" s="1833"/>
      <c r="AS203" s="1833"/>
      <c r="AT203" s="1833"/>
      <c r="AU203" s="1833"/>
      <c r="AV203" s="1833"/>
      <c r="AW203" s="1833"/>
      <c r="AX203" s="1833"/>
      <c r="AY203" s="1833"/>
      <c r="AZ203" s="1833"/>
      <c r="BA203" s="1833"/>
      <c r="BB203" s="1833"/>
      <c r="BC203" s="1833"/>
      <c r="BD203" s="1833"/>
      <c r="BE203" s="1833"/>
      <c r="BF203" s="1833"/>
      <c r="BG203" s="1646"/>
    </row>
    <row customHeight="1" ht="11.25">
      <c r="A204" s="1177" t="s">
        <v>1088</v>
      </c>
      <c r="B204" s="1177"/>
      <c r="C204" s="1177"/>
      <c r="D204" s="1171"/>
      <c r="E204" s="1181"/>
      <c r="F204" s="1839"/>
      <c r="G204" s="1840"/>
      <c r="H204" s="2545" t="s">
        <v>1208</v>
      </c>
      <c r="I204" s="2546"/>
      <c r="J204" s="2911"/>
      <c r="K204" s="2547"/>
      <c r="L204" s="2137"/>
      <c r="M204" s="2138"/>
      <c r="N204" s="2538"/>
      <c r="O204" s="2539"/>
      <c r="P204" s="2542"/>
      <c r="Q204" s="2913"/>
      <c r="R204" s="2543"/>
      <c r="S204" s="2544"/>
      <c r="T204" s="2543"/>
      <c r="U204" s="2543"/>
      <c r="V204" s="2543"/>
      <c r="W204" s="2543"/>
      <c r="X204" s="2543"/>
      <c r="Y204" s="2543"/>
      <c r="Z204" s="1186"/>
      <c r="AA204" s="1187"/>
      <c r="AB204" s="1252" t="s">
        <v>1130</v>
      </c>
      <c r="AC204" s="1191"/>
      <c r="AD204" s="1191"/>
      <c r="AE204" s="1193"/>
      <c r="AF204" s="2536"/>
      <c r="AG204" s="2537"/>
      <c r="AH204" s="2537"/>
      <c r="AI204" s="2536"/>
      <c r="AJ204" s="2537"/>
      <c r="AK204" s="2537"/>
      <c r="AL204" s="1996"/>
      <c r="AM204" s="1833"/>
      <c r="AN204" s="1833"/>
      <c r="AO204" s="1833"/>
      <c r="AP204" s="1833"/>
      <c r="AQ204" s="1833"/>
      <c r="AR204" s="1833"/>
      <c r="AS204" s="1833"/>
      <c r="AT204" s="1833"/>
      <c r="AU204" s="1833"/>
      <c r="AV204" s="1833"/>
      <c r="AW204" s="1833"/>
      <c r="AX204" s="1833"/>
      <c r="AY204" s="1833"/>
      <c r="AZ204" s="1833"/>
      <c r="BA204" s="1833"/>
      <c r="BB204" s="1833"/>
      <c r="BC204" s="1833"/>
      <c r="BD204" s="1833"/>
      <c r="BE204" s="1833"/>
      <c r="BF204" s="1833"/>
      <c r="BG204" s="1646"/>
    </row>
    <row customHeight="1" ht="11.25">
      <c r="A205" s="1177" t="s">
        <v>1088</v>
      </c>
      <c r="B205" s="1177"/>
      <c r="C205" s="1177"/>
      <c r="D205" s="1171"/>
      <c r="E205" s="1181"/>
      <c r="F205" s="1839"/>
      <c r="G205" s="1840"/>
      <c r="H205" s="2545" t="s">
        <v>1208</v>
      </c>
      <c r="I205" s="2546"/>
      <c r="J205" s="2911"/>
      <c r="K205" s="2547"/>
      <c r="L205" s="2137"/>
      <c r="M205" s="2138"/>
      <c r="N205" s="1186"/>
      <c r="O205" s="1187"/>
      <c r="P205" s="1179" t="s">
        <v>1131</v>
      </c>
      <c r="Q205" s="1187"/>
      <c r="R205" s="1187"/>
      <c r="S205" s="1187"/>
      <c r="T205" s="1187"/>
      <c r="U205" s="1187"/>
      <c r="V205" s="1187"/>
      <c r="W205" s="1187"/>
      <c r="X205" s="1187"/>
      <c r="Y205" s="1187"/>
      <c r="Z205" s="1187"/>
      <c r="AA205" s="1187"/>
      <c r="AB205" s="1187"/>
      <c r="AC205" s="1187"/>
      <c r="AD205" s="1187"/>
      <c r="AE205" s="1194"/>
      <c r="AF205" s="2536"/>
      <c r="AG205" s="2537"/>
      <c r="AH205" s="2537"/>
      <c r="AI205" s="2536"/>
      <c r="AJ205" s="2537"/>
      <c r="AK205" s="2537"/>
      <c r="AL205" s="1996"/>
      <c r="AM205" s="1833"/>
      <c r="AN205" s="1833"/>
      <c r="AO205" s="1833"/>
      <c r="AP205" s="1833"/>
      <c r="AQ205" s="1833"/>
      <c r="AR205" s="1833"/>
      <c r="AS205" s="1833"/>
      <c r="AT205" s="1833"/>
      <c r="AU205" s="1833"/>
      <c r="AV205" s="1833"/>
      <c r="AW205" s="1833"/>
      <c r="AX205" s="1833"/>
      <c r="AY205" s="1833"/>
      <c r="AZ205" s="1833"/>
      <c r="BA205" s="1833"/>
      <c r="BB205" s="1833"/>
      <c r="BC205" s="1833"/>
      <c r="BD205" s="1833"/>
      <c r="BE205" s="1833"/>
      <c r="BF205" s="1833"/>
      <c r="BG205" s="1646"/>
    </row>
    <row customHeight="1" ht="11.25">
      <c r="A206" s="1177" t="s">
        <v>1088</v>
      </c>
      <c r="B206" s="1177" t="s">
        <v>22</v>
      </c>
      <c r="C206" s="1177"/>
      <c r="D206" s="1171"/>
      <c r="E206" s="1181"/>
      <c r="F206" s="1839"/>
      <c r="G206" s="694" t="s">
        <v>105</v>
      </c>
      <c r="H206" s="2545" t="s">
        <v>1215</v>
      </c>
      <c r="I206" s="2546" t="s">
        <v>1209</v>
      </c>
      <c r="J206" s="2911" t="s">
        <v>22</v>
      </c>
      <c r="K206" s="2547" t="s">
        <v>1216</v>
      </c>
      <c r="L206" s="2137" t="s">
        <v>19</v>
      </c>
      <c r="M206" s="2138"/>
      <c r="N206" s="1994"/>
      <c r="O206" s="1188" t="s">
        <v>390</v>
      </c>
      <c r="P206" s="1189"/>
      <c r="Q206" s="1189"/>
      <c r="R206" s="1189"/>
      <c r="S206" s="1189"/>
      <c r="T206" s="1189"/>
      <c r="U206" s="1189"/>
      <c r="V206" s="1189"/>
      <c r="W206" s="1189"/>
      <c r="X206" s="1189"/>
      <c r="Y206" s="1189"/>
      <c r="Z206" s="1189"/>
      <c r="AA206" s="1189"/>
      <c r="AB206" s="1189"/>
      <c r="AC206" s="1189"/>
      <c r="AD206" s="1189"/>
      <c r="AE206" s="1189"/>
      <c r="AF206" s="2536">
        <v>2025</v>
      </c>
      <c r="AG206" s="2537" t="s">
        <v>1122</v>
      </c>
      <c r="AH206" s="2537" t="s">
        <v>1138</v>
      </c>
      <c r="AI206" s="2916"/>
      <c r="AJ206" s="2537" t="s">
        <v>1145</v>
      </c>
      <c r="AK206" s="2537" t="s">
        <v>1145</v>
      </c>
      <c r="AL206" s="1996"/>
      <c r="AM206" s="1833"/>
      <c r="AN206" s="1833"/>
      <c r="AO206" s="1833"/>
      <c r="AP206" s="1833"/>
      <c r="AQ206" s="1833"/>
      <c r="AR206" s="1833"/>
      <c r="AS206" s="1833"/>
      <c r="AT206" s="1833"/>
      <c r="AU206" s="1833"/>
      <c r="AV206" s="1833"/>
      <c r="AW206" s="1833"/>
      <c r="AX206" s="1833"/>
      <c r="AY206" s="1833"/>
      <c r="AZ206" s="1833"/>
      <c r="BA206" s="1833"/>
      <c r="BB206" s="1833"/>
      <c r="BC206" s="1833"/>
      <c r="BD206" s="1833"/>
      <c r="BE206" s="1833"/>
      <c r="BF206" s="1833"/>
      <c r="BG206" s="1646"/>
    </row>
    <row customHeight="1" ht="11.25">
      <c r="A207" s="1177" t="s">
        <v>1088</v>
      </c>
      <c r="B207" s="1177"/>
      <c r="C207" s="1177"/>
      <c r="D207" s="1171"/>
      <c r="E207" s="1181"/>
      <c r="F207" s="1839"/>
      <c r="G207" s="1840"/>
      <c r="H207" s="2545" t="s">
        <v>1212</v>
      </c>
      <c r="I207" s="2546"/>
      <c r="J207" s="2911"/>
      <c r="K207" s="2547"/>
      <c r="L207" s="2137"/>
      <c r="M207" s="2138"/>
      <c r="N207" s="2538"/>
      <c r="O207" s="2539">
        <v>1</v>
      </c>
      <c r="P207" s="2540" t="s">
        <v>63</v>
      </c>
      <c r="Q207" s="2913" t="s">
        <v>634</v>
      </c>
      <c r="R207" s="2914" t="s">
        <v>1124</v>
      </c>
      <c r="S207" s="2914" t="s">
        <v>108</v>
      </c>
      <c r="T207" s="2914" t="s">
        <v>108</v>
      </c>
      <c r="U207" s="2914" t="s">
        <v>109</v>
      </c>
      <c r="V207" s="2914" t="s">
        <v>1174</v>
      </c>
      <c r="W207" s="2914" t="s">
        <v>1175</v>
      </c>
      <c r="X207" s="2914" t="s">
        <v>1211</v>
      </c>
      <c r="Y207" s="2914" t="s">
        <v>92</v>
      </c>
      <c r="Z207" s="1186"/>
      <c r="AA207" s="1187"/>
      <c r="AB207" s="1187"/>
      <c r="AC207" s="1191"/>
      <c r="AD207" s="1191"/>
      <c r="AE207" s="1192"/>
      <c r="AF207" s="2536"/>
      <c r="AG207" s="2537"/>
      <c r="AH207" s="2537"/>
      <c r="AI207" s="2916"/>
      <c r="AJ207" s="2537"/>
      <c r="AK207" s="2537"/>
      <c r="AL207" s="1996"/>
      <c r="AM207" s="1833"/>
      <c r="AN207" s="1833"/>
      <c r="AO207" s="1833"/>
      <c r="AP207" s="1833"/>
      <c r="AQ207" s="1833"/>
      <c r="AR207" s="1833"/>
      <c r="AS207" s="1833"/>
      <c r="AT207" s="1833"/>
      <c r="AU207" s="1833"/>
      <c r="AV207" s="1833"/>
      <c r="AW207" s="1833"/>
      <c r="AX207" s="1833"/>
      <c r="AY207" s="1833"/>
      <c r="AZ207" s="1833"/>
      <c r="BA207" s="1833"/>
      <c r="BB207" s="1833"/>
      <c r="BC207" s="1833"/>
      <c r="BD207" s="1833"/>
      <c r="BE207" s="1833"/>
      <c r="BF207" s="1833"/>
      <c r="BG207" s="1646"/>
    </row>
    <row customHeight="1" ht="11.25">
      <c r="A208" s="1177" t="s">
        <v>1088</v>
      </c>
      <c r="B208" s="1177"/>
      <c r="C208" s="1177"/>
      <c r="D208" s="1171"/>
      <c r="E208" s="1181"/>
      <c r="F208" s="1839"/>
      <c r="G208" s="1840"/>
      <c r="H208" s="2545" t="s">
        <v>1212</v>
      </c>
      <c r="I208" s="2546"/>
      <c r="J208" s="2911"/>
      <c r="K208" s="2547"/>
      <c r="L208" s="2137"/>
      <c r="M208" s="2138"/>
      <c r="N208" s="2538"/>
      <c r="O208" s="2539"/>
      <c r="P208" s="2541"/>
      <c r="Q208" s="2913"/>
      <c r="R208" s="2543"/>
      <c r="S208" s="2544"/>
      <c r="T208" s="2543"/>
      <c r="U208" s="2543"/>
      <c r="V208" s="2543"/>
      <c r="W208" s="2543"/>
      <c r="X208" s="2543"/>
      <c r="Y208" s="2543"/>
      <c r="Z208" s="1838"/>
      <c r="AA208" s="1804">
        <v>1</v>
      </c>
      <c r="AB208" s="1190" t="s">
        <v>1159</v>
      </c>
      <c r="AC208" s="1180">
        <v>7435.0682</v>
      </c>
      <c r="AD208" s="1190" t="str">
        <f>AB208</f>
        <v>      Прочие амортизационные отчисления</v>
      </c>
      <c r="AE208" s="1180">
        <v>0</v>
      </c>
      <c r="AF208" s="2536"/>
      <c r="AG208" s="2537"/>
      <c r="AH208" s="2537"/>
      <c r="AI208" s="2916"/>
      <c r="AJ208" s="2537"/>
      <c r="AK208" s="2537"/>
      <c r="AL208" s="1996"/>
      <c r="AM208" s="1833"/>
      <c r="AN208" s="1833"/>
      <c r="AO208" s="1833"/>
      <c r="AP208" s="1833"/>
      <c r="AQ208" s="1833"/>
      <c r="AR208" s="1833"/>
      <c r="AS208" s="1833"/>
      <c r="AT208" s="1833"/>
      <c r="AU208" s="1833"/>
      <c r="AV208" s="1833"/>
      <c r="AW208" s="1833"/>
      <c r="AX208" s="1833"/>
      <c r="AY208" s="1833"/>
      <c r="AZ208" s="1833"/>
      <c r="BA208" s="1833"/>
      <c r="BB208" s="1833"/>
      <c r="BC208" s="1833"/>
      <c r="BD208" s="1833"/>
      <c r="BE208" s="1833"/>
      <c r="BF208" s="1833"/>
      <c r="BG208" s="1646"/>
    </row>
    <row customHeight="1" ht="11.25">
      <c r="A209" s="1177" t="s">
        <v>1088</v>
      </c>
      <c r="B209" s="1177"/>
      <c r="C209" s="1177"/>
      <c r="D209" s="1171"/>
      <c r="E209" s="1181"/>
      <c r="F209" s="1839"/>
      <c r="G209" s="1840"/>
      <c r="H209" s="2545" t="s">
        <v>1212</v>
      </c>
      <c r="I209" s="2546"/>
      <c r="J209" s="2911"/>
      <c r="K209" s="2547"/>
      <c r="L209" s="2137"/>
      <c r="M209" s="2138"/>
      <c r="N209" s="2538"/>
      <c r="O209" s="2539"/>
      <c r="P209" s="2542"/>
      <c r="Q209" s="2913"/>
      <c r="R209" s="2543"/>
      <c r="S209" s="2544"/>
      <c r="T209" s="2543"/>
      <c r="U209" s="2543"/>
      <c r="V209" s="2543"/>
      <c r="W209" s="2543"/>
      <c r="X209" s="2543"/>
      <c r="Y209" s="2543"/>
      <c r="Z209" s="1186"/>
      <c r="AA209" s="1187"/>
      <c r="AB209" s="1252" t="s">
        <v>1130</v>
      </c>
      <c r="AC209" s="1191"/>
      <c r="AD209" s="1191"/>
      <c r="AE209" s="1193"/>
      <c r="AF209" s="2536"/>
      <c r="AG209" s="2537"/>
      <c r="AH209" s="2537"/>
      <c r="AI209" s="2916"/>
      <c r="AJ209" s="2537"/>
      <c r="AK209" s="2537"/>
      <c r="AL209" s="1996"/>
      <c r="AM209" s="1833"/>
      <c r="AN209" s="1833"/>
      <c r="AO209" s="1833"/>
      <c r="AP209" s="1833"/>
      <c r="AQ209" s="1833"/>
      <c r="AR209" s="1833"/>
      <c r="AS209" s="1833"/>
      <c r="AT209" s="1833"/>
      <c r="AU209" s="1833"/>
      <c r="AV209" s="1833"/>
      <c r="AW209" s="1833"/>
      <c r="AX209" s="1833"/>
      <c r="AY209" s="1833"/>
      <c r="AZ209" s="1833"/>
      <c r="BA209" s="1833"/>
      <c r="BB209" s="1833"/>
      <c r="BC209" s="1833"/>
      <c r="BD209" s="1833"/>
      <c r="BE209" s="1833"/>
      <c r="BF209" s="1833"/>
      <c r="BG209" s="1646"/>
    </row>
    <row customHeight="1" ht="11.25">
      <c r="A210" s="1177" t="s">
        <v>1088</v>
      </c>
      <c r="B210" s="1177"/>
      <c r="C210" s="1177"/>
      <c r="D210" s="1171"/>
      <c r="E210" s="1181"/>
      <c r="F210" s="1839"/>
      <c r="G210" s="1840"/>
      <c r="H210" s="2545" t="s">
        <v>1212</v>
      </c>
      <c r="I210" s="2546"/>
      <c r="J210" s="2911"/>
      <c r="K210" s="2547"/>
      <c r="L210" s="2137"/>
      <c r="M210" s="2138"/>
      <c r="N210" s="1186"/>
      <c r="O210" s="1187"/>
      <c r="P210" s="1179" t="s">
        <v>1131</v>
      </c>
      <c r="Q210" s="1187"/>
      <c r="R210" s="1187"/>
      <c r="S210" s="1187"/>
      <c r="T210" s="1187"/>
      <c r="U210" s="1187"/>
      <c r="V210" s="1187"/>
      <c r="W210" s="1187"/>
      <c r="X210" s="1187"/>
      <c r="Y210" s="1187"/>
      <c r="Z210" s="1187"/>
      <c r="AA210" s="1187"/>
      <c r="AB210" s="1187"/>
      <c r="AC210" s="1187"/>
      <c r="AD210" s="1187"/>
      <c r="AE210" s="1194"/>
      <c r="AF210" s="2536"/>
      <c r="AG210" s="2537"/>
      <c r="AH210" s="2537"/>
      <c r="AI210" s="2916"/>
      <c r="AJ210" s="2537"/>
      <c r="AK210" s="2537"/>
      <c r="AL210" s="1996"/>
      <c r="AM210" s="1833"/>
      <c r="AN210" s="1833"/>
      <c r="AO210" s="1833"/>
      <c r="AP210" s="1833"/>
      <c r="AQ210" s="1833"/>
      <c r="AR210" s="1833"/>
      <c r="AS210" s="1833"/>
      <c r="AT210" s="1833"/>
      <c r="AU210" s="1833"/>
      <c r="AV210" s="1833"/>
      <c r="AW210" s="1833"/>
      <c r="AX210" s="1833"/>
      <c r="AY210" s="1833"/>
      <c r="AZ210" s="1833"/>
      <c r="BA210" s="1833"/>
      <c r="BB210" s="1833"/>
      <c r="BC210" s="1833"/>
      <c r="BD210" s="1833"/>
      <c r="BE210" s="1833"/>
      <c r="BF210" s="1833"/>
      <c r="BG210" s="1646"/>
    </row>
    <row customHeight="1" ht="11.25">
      <c r="A211" s="1177" t="s">
        <v>1088</v>
      </c>
      <c r="B211" s="1177" t="s">
        <v>22</v>
      </c>
      <c r="C211" s="1177"/>
      <c r="D211" s="1171"/>
      <c r="E211" s="1181"/>
      <c r="F211" s="1839"/>
      <c r="G211" s="694" t="s">
        <v>105</v>
      </c>
      <c r="H211" s="2545" t="s">
        <v>1217</v>
      </c>
      <c r="I211" s="2546" t="s">
        <v>1209</v>
      </c>
      <c r="J211" s="2911" t="s">
        <v>22</v>
      </c>
      <c r="K211" s="2547" t="s">
        <v>1218</v>
      </c>
      <c r="L211" s="2137" t="s">
        <v>19</v>
      </c>
      <c r="M211" s="2138"/>
      <c r="N211" s="1994"/>
      <c r="O211" s="1188" t="s">
        <v>390</v>
      </c>
      <c r="P211" s="1189"/>
      <c r="Q211" s="1189"/>
      <c r="R211" s="1189"/>
      <c r="S211" s="1189"/>
      <c r="T211" s="1189"/>
      <c r="U211" s="1189"/>
      <c r="V211" s="1189"/>
      <c r="W211" s="1189"/>
      <c r="X211" s="1189"/>
      <c r="Y211" s="1189"/>
      <c r="Z211" s="1189"/>
      <c r="AA211" s="1189"/>
      <c r="AB211" s="1189"/>
      <c r="AC211" s="1189"/>
      <c r="AD211" s="1189"/>
      <c r="AE211" s="1189"/>
      <c r="AF211" s="2536">
        <v>2025</v>
      </c>
      <c r="AG211" s="2537" t="s">
        <v>1122</v>
      </c>
      <c r="AH211" s="2537" t="s">
        <v>1138</v>
      </c>
      <c r="AI211" s="2916"/>
      <c r="AJ211" s="2537" t="s">
        <v>1145</v>
      </c>
      <c r="AK211" s="2537" t="s">
        <v>1145</v>
      </c>
      <c r="AL211" s="1996"/>
      <c r="AM211" s="1833"/>
      <c r="AN211" s="1833"/>
      <c r="AO211" s="1833"/>
      <c r="AP211" s="1833"/>
      <c r="AQ211" s="1833"/>
      <c r="AR211" s="1833"/>
      <c r="AS211" s="1833"/>
      <c r="AT211" s="1833"/>
      <c r="AU211" s="1833"/>
      <c r="AV211" s="1833"/>
      <c r="AW211" s="1833"/>
      <c r="AX211" s="1833"/>
      <c r="AY211" s="1833"/>
      <c r="AZ211" s="1833"/>
      <c r="BA211" s="1833"/>
      <c r="BB211" s="1833"/>
      <c r="BC211" s="1833"/>
      <c r="BD211" s="1833"/>
      <c r="BE211" s="1833"/>
      <c r="BF211" s="1833"/>
      <c r="BG211" s="1646"/>
    </row>
    <row customHeight="1" ht="11.25">
      <c r="A212" s="1177" t="s">
        <v>1088</v>
      </c>
      <c r="B212" s="1177"/>
      <c r="C212" s="1177"/>
      <c r="D212" s="1171"/>
      <c r="E212" s="1181"/>
      <c r="F212" s="1839"/>
      <c r="G212" s="1840"/>
      <c r="H212" s="2545" t="s">
        <v>1215</v>
      </c>
      <c r="I212" s="2546"/>
      <c r="J212" s="2911"/>
      <c r="K212" s="2547"/>
      <c r="L212" s="2137"/>
      <c r="M212" s="2138"/>
      <c r="N212" s="2538"/>
      <c r="O212" s="2539">
        <v>1</v>
      </c>
      <c r="P212" s="2540" t="s">
        <v>63</v>
      </c>
      <c r="Q212" s="2913" t="s">
        <v>634</v>
      </c>
      <c r="R212" s="2914" t="s">
        <v>1124</v>
      </c>
      <c r="S212" s="2914" t="s">
        <v>108</v>
      </c>
      <c r="T212" s="2914" t="s">
        <v>108</v>
      </c>
      <c r="U212" s="2914" t="s">
        <v>109</v>
      </c>
      <c r="V212" s="2914" t="s">
        <v>1174</v>
      </c>
      <c r="W212" s="2914" t="s">
        <v>1175</v>
      </c>
      <c r="X212" s="2914" t="s">
        <v>1211</v>
      </c>
      <c r="Y212" s="2914" t="s">
        <v>92</v>
      </c>
      <c r="Z212" s="1186"/>
      <c r="AA212" s="1187"/>
      <c r="AB212" s="1187"/>
      <c r="AC212" s="1191"/>
      <c r="AD212" s="1191"/>
      <c r="AE212" s="1192"/>
      <c r="AF212" s="2536"/>
      <c r="AG212" s="2537"/>
      <c r="AH212" s="2537"/>
      <c r="AI212" s="2916"/>
      <c r="AJ212" s="2537"/>
      <c r="AK212" s="2537"/>
      <c r="AL212" s="1996"/>
      <c r="AM212" s="1833"/>
      <c r="AN212" s="1833"/>
      <c r="AO212" s="1833"/>
      <c r="AP212" s="1833"/>
      <c r="AQ212" s="1833"/>
      <c r="AR212" s="1833"/>
      <c r="AS212" s="1833"/>
      <c r="AT212" s="1833"/>
      <c r="AU212" s="1833"/>
      <c r="AV212" s="1833"/>
      <c r="AW212" s="1833"/>
      <c r="AX212" s="1833"/>
      <c r="AY212" s="1833"/>
      <c r="AZ212" s="1833"/>
      <c r="BA212" s="1833"/>
      <c r="BB212" s="1833"/>
      <c r="BC212" s="1833"/>
      <c r="BD212" s="1833"/>
      <c r="BE212" s="1833"/>
      <c r="BF212" s="1833"/>
      <c r="BG212" s="1646"/>
    </row>
    <row customHeight="1" ht="11.25">
      <c r="A213" s="1177" t="s">
        <v>1088</v>
      </c>
      <c r="B213" s="1177"/>
      <c r="C213" s="1177"/>
      <c r="D213" s="1171"/>
      <c r="E213" s="1181"/>
      <c r="F213" s="1839"/>
      <c r="G213" s="1840"/>
      <c r="H213" s="2545" t="s">
        <v>1215</v>
      </c>
      <c r="I213" s="2546"/>
      <c r="J213" s="2911"/>
      <c r="K213" s="2547"/>
      <c r="L213" s="2137"/>
      <c r="M213" s="2138"/>
      <c r="N213" s="2538"/>
      <c r="O213" s="2539"/>
      <c r="P213" s="2541"/>
      <c r="Q213" s="2913"/>
      <c r="R213" s="2543"/>
      <c r="S213" s="2544"/>
      <c r="T213" s="2543"/>
      <c r="U213" s="2543"/>
      <c r="V213" s="2543"/>
      <c r="W213" s="2543"/>
      <c r="X213" s="2543"/>
      <c r="Y213" s="2543"/>
      <c r="Z213" s="1838"/>
      <c r="AA213" s="1804">
        <v>1</v>
      </c>
      <c r="AB213" s="1190" t="s">
        <v>1159</v>
      </c>
      <c r="AC213" s="1180">
        <v>1240.69278</v>
      </c>
      <c r="AD213" s="1190" t="str">
        <f>AB213</f>
        <v>      Прочие амортизационные отчисления</v>
      </c>
      <c r="AE213" s="1180">
        <v>0</v>
      </c>
      <c r="AF213" s="2536"/>
      <c r="AG213" s="2537"/>
      <c r="AH213" s="2537"/>
      <c r="AI213" s="2916"/>
      <c r="AJ213" s="2537"/>
      <c r="AK213" s="2537"/>
      <c r="AL213" s="1996"/>
      <c r="AM213" s="1833"/>
      <c r="AN213" s="1833"/>
      <c r="AO213" s="1833"/>
      <c r="AP213" s="1833"/>
      <c r="AQ213" s="1833"/>
      <c r="AR213" s="1833"/>
      <c r="AS213" s="1833"/>
      <c r="AT213" s="1833"/>
      <c r="AU213" s="1833"/>
      <c r="AV213" s="1833"/>
      <c r="AW213" s="1833"/>
      <c r="AX213" s="1833"/>
      <c r="AY213" s="1833"/>
      <c r="AZ213" s="1833"/>
      <c r="BA213" s="1833"/>
      <c r="BB213" s="1833"/>
      <c r="BC213" s="1833"/>
      <c r="BD213" s="1833"/>
      <c r="BE213" s="1833"/>
      <c r="BF213" s="1833"/>
      <c r="BG213" s="1646"/>
    </row>
    <row customHeight="1" ht="11.25">
      <c r="A214" s="1177" t="s">
        <v>1088</v>
      </c>
      <c r="B214" s="1177"/>
      <c r="C214" s="1177"/>
      <c r="D214" s="1171"/>
      <c r="E214" s="1181"/>
      <c r="F214" s="1839"/>
      <c r="G214" s="1840"/>
      <c r="H214" s="2545" t="s">
        <v>1215</v>
      </c>
      <c r="I214" s="2546"/>
      <c r="J214" s="2911"/>
      <c r="K214" s="2547"/>
      <c r="L214" s="2137"/>
      <c r="M214" s="2138"/>
      <c r="N214" s="2538"/>
      <c r="O214" s="2539"/>
      <c r="P214" s="2542"/>
      <c r="Q214" s="2913"/>
      <c r="R214" s="2543"/>
      <c r="S214" s="2544"/>
      <c r="T214" s="2543"/>
      <c r="U214" s="2543"/>
      <c r="V214" s="2543"/>
      <c r="W214" s="2543"/>
      <c r="X214" s="2543"/>
      <c r="Y214" s="2543"/>
      <c r="Z214" s="1186"/>
      <c r="AA214" s="1187"/>
      <c r="AB214" s="1252" t="s">
        <v>1130</v>
      </c>
      <c r="AC214" s="1191"/>
      <c r="AD214" s="1191"/>
      <c r="AE214" s="1193"/>
      <c r="AF214" s="2536"/>
      <c r="AG214" s="2537"/>
      <c r="AH214" s="2537"/>
      <c r="AI214" s="2916"/>
      <c r="AJ214" s="2537"/>
      <c r="AK214" s="2537"/>
      <c r="AL214" s="1996"/>
      <c r="AM214" s="1833"/>
      <c r="AN214" s="1833"/>
      <c r="AO214" s="1833"/>
      <c r="AP214" s="1833"/>
      <c r="AQ214" s="1833"/>
      <c r="AR214" s="1833"/>
      <c r="AS214" s="1833"/>
      <c r="AT214" s="1833"/>
      <c r="AU214" s="1833"/>
      <c r="AV214" s="1833"/>
      <c r="AW214" s="1833"/>
      <c r="AX214" s="1833"/>
      <c r="AY214" s="1833"/>
      <c r="AZ214" s="1833"/>
      <c r="BA214" s="1833"/>
      <c r="BB214" s="1833"/>
      <c r="BC214" s="1833"/>
      <c r="BD214" s="1833"/>
      <c r="BE214" s="1833"/>
      <c r="BF214" s="1833"/>
      <c r="BG214" s="1646"/>
    </row>
    <row customHeight="1" ht="11.25">
      <c r="A215" s="1177" t="s">
        <v>1088</v>
      </c>
      <c r="B215" s="1177"/>
      <c r="C215" s="1177"/>
      <c r="D215" s="1171"/>
      <c r="E215" s="1181"/>
      <c r="F215" s="1839"/>
      <c r="G215" s="1840"/>
      <c r="H215" s="2545" t="s">
        <v>1215</v>
      </c>
      <c r="I215" s="2546"/>
      <c r="J215" s="2911"/>
      <c r="K215" s="2547"/>
      <c r="L215" s="2137"/>
      <c r="M215" s="2138"/>
      <c r="N215" s="1186"/>
      <c r="O215" s="1187"/>
      <c r="P215" s="1179" t="s">
        <v>1131</v>
      </c>
      <c r="Q215" s="1187"/>
      <c r="R215" s="1187"/>
      <c r="S215" s="1187"/>
      <c r="T215" s="1187"/>
      <c r="U215" s="1187"/>
      <c r="V215" s="1187"/>
      <c r="W215" s="1187"/>
      <c r="X215" s="1187"/>
      <c r="Y215" s="1187"/>
      <c r="Z215" s="1187"/>
      <c r="AA215" s="1187"/>
      <c r="AB215" s="1187"/>
      <c r="AC215" s="1187"/>
      <c r="AD215" s="1187"/>
      <c r="AE215" s="1194"/>
      <c r="AF215" s="2536"/>
      <c r="AG215" s="2537"/>
      <c r="AH215" s="2537"/>
      <c r="AI215" s="2916"/>
      <c r="AJ215" s="2537"/>
      <c r="AK215" s="2537"/>
      <c r="AL215" s="1996"/>
      <c r="AM215" s="1833"/>
      <c r="AN215" s="1833"/>
      <c r="AO215" s="1833"/>
      <c r="AP215" s="1833"/>
      <c r="AQ215" s="1833"/>
      <c r="AR215" s="1833"/>
      <c r="AS215" s="1833"/>
      <c r="AT215" s="1833"/>
      <c r="AU215" s="1833"/>
      <c r="AV215" s="1833"/>
      <c r="AW215" s="1833"/>
      <c r="AX215" s="1833"/>
      <c r="AY215" s="1833"/>
      <c r="AZ215" s="1833"/>
      <c r="BA215" s="1833"/>
      <c r="BB215" s="1833"/>
      <c r="BC215" s="1833"/>
      <c r="BD215" s="1833"/>
      <c r="BE215" s="1833"/>
      <c r="BF215" s="1833"/>
      <c r="BG215" s="1646"/>
    </row>
    <row customHeight="1" ht="11.25">
      <c r="A216" s="1177" t="s">
        <v>1088</v>
      </c>
      <c r="B216" s="1177" t="s">
        <v>22</v>
      </c>
      <c r="C216" s="1177"/>
      <c r="D216" s="1171"/>
      <c r="E216" s="1181"/>
      <c r="F216" s="1839"/>
      <c r="G216" s="694" t="s">
        <v>105</v>
      </c>
      <c r="H216" s="2545" t="s">
        <v>1219</v>
      </c>
      <c r="I216" s="2546" t="s">
        <v>1209</v>
      </c>
      <c r="J216" s="2911" t="s">
        <v>22</v>
      </c>
      <c r="K216" s="2547" t="s">
        <v>1220</v>
      </c>
      <c r="L216" s="2137" t="s">
        <v>19</v>
      </c>
      <c r="M216" s="2138"/>
      <c r="N216" s="1994"/>
      <c r="O216" s="1188" t="s">
        <v>390</v>
      </c>
      <c r="P216" s="1189"/>
      <c r="Q216" s="1189"/>
      <c r="R216" s="1189"/>
      <c r="S216" s="1189"/>
      <c r="T216" s="1189"/>
      <c r="U216" s="1189"/>
      <c r="V216" s="1189"/>
      <c r="W216" s="1189"/>
      <c r="X216" s="1189"/>
      <c r="Y216" s="1189"/>
      <c r="Z216" s="1189"/>
      <c r="AA216" s="1189"/>
      <c r="AB216" s="1189"/>
      <c r="AC216" s="1189"/>
      <c r="AD216" s="1189"/>
      <c r="AE216" s="1189"/>
      <c r="AF216" s="2536">
        <v>2025</v>
      </c>
      <c r="AG216" s="2537" t="s">
        <v>1122</v>
      </c>
      <c r="AH216" s="2537" t="s">
        <v>1138</v>
      </c>
      <c r="AI216" s="2536">
        <v>2025</v>
      </c>
      <c r="AJ216" s="2537" t="s">
        <v>1221</v>
      </c>
      <c r="AK216" s="2537" t="s">
        <v>1138</v>
      </c>
      <c r="AL216" s="1996"/>
      <c r="AM216" s="1833"/>
      <c r="AN216" s="1833"/>
      <c r="AO216" s="1833"/>
      <c r="AP216" s="1833"/>
      <c r="AQ216" s="1833"/>
      <c r="AR216" s="1833"/>
      <c r="AS216" s="1833"/>
      <c r="AT216" s="1833"/>
      <c r="AU216" s="1833"/>
      <c r="AV216" s="1833"/>
      <c r="AW216" s="1833"/>
      <c r="AX216" s="1833"/>
      <c r="AY216" s="1833"/>
      <c r="AZ216" s="1833"/>
      <c r="BA216" s="1833"/>
      <c r="BB216" s="1833"/>
      <c r="BC216" s="1833"/>
      <c r="BD216" s="1833"/>
      <c r="BE216" s="1833"/>
      <c r="BF216" s="1833"/>
      <c r="BG216" s="1646"/>
    </row>
    <row customHeight="1" ht="11.25">
      <c r="A217" s="1177" t="s">
        <v>1088</v>
      </c>
      <c r="B217" s="1177"/>
      <c r="C217" s="1177"/>
      <c r="D217" s="1171"/>
      <c r="E217" s="1181"/>
      <c r="F217" s="1839"/>
      <c r="G217" s="1840"/>
      <c r="H217" s="2545" t="s">
        <v>1217</v>
      </c>
      <c r="I217" s="2546"/>
      <c r="J217" s="2911"/>
      <c r="K217" s="2547"/>
      <c r="L217" s="2137"/>
      <c r="M217" s="2138"/>
      <c r="N217" s="2538"/>
      <c r="O217" s="2539">
        <v>1</v>
      </c>
      <c r="P217" s="2540" t="s">
        <v>63</v>
      </c>
      <c r="Q217" s="2913" t="s">
        <v>614</v>
      </c>
      <c r="R217" s="2914" t="s">
        <v>1124</v>
      </c>
      <c r="S217" s="2914" t="s">
        <v>101</v>
      </c>
      <c r="T217" s="2914" t="s">
        <v>101</v>
      </c>
      <c r="U217" s="2914" t="s">
        <v>102</v>
      </c>
      <c r="V217" s="2914" t="s">
        <v>1125</v>
      </c>
      <c r="W217" s="2914" t="s">
        <v>1126</v>
      </c>
      <c r="X217" s="2914" t="s">
        <v>1127</v>
      </c>
      <c r="Y217" s="2914" t="s">
        <v>1128</v>
      </c>
      <c r="Z217" s="1186"/>
      <c r="AA217" s="1187"/>
      <c r="AB217" s="1187"/>
      <c r="AC217" s="1191"/>
      <c r="AD217" s="1191"/>
      <c r="AE217" s="1192"/>
      <c r="AF217" s="2536"/>
      <c r="AG217" s="2537"/>
      <c r="AH217" s="2537"/>
      <c r="AI217" s="2536"/>
      <c r="AJ217" s="2537"/>
      <c r="AK217" s="2537"/>
      <c r="AL217" s="1996"/>
      <c r="AM217" s="1833"/>
      <c r="AN217" s="1833"/>
      <c r="AO217" s="1833"/>
      <c r="AP217" s="1833"/>
      <c r="AQ217" s="1833"/>
      <c r="AR217" s="1833"/>
      <c r="AS217" s="1833"/>
      <c r="AT217" s="1833"/>
      <c r="AU217" s="1833"/>
      <c r="AV217" s="1833"/>
      <c r="AW217" s="1833"/>
      <c r="AX217" s="1833"/>
      <c r="AY217" s="1833"/>
      <c r="AZ217" s="1833"/>
      <c r="BA217" s="1833"/>
      <c r="BB217" s="1833"/>
      <c r="BC217" s="1833"/>
      <c r="BD217" s="1833"/>
      <c r="BE217" s="1833"/>
      <c r="BF217" s="1833"/>
      <c r="BG217" s="1646"/>
    </row>
    <row customHeight="1" ht="11.25">
      <c r="A218" s="1177" t="s">
        <v>1088</v>
      </c>
      <c r="B218" s="1177"/>
      <c r="C218" s="1177"/>
      <c r="D218" s="1171"/>
      <c r="E218" s="1181"/>
      <c r="F218" s="1839"/>
      <c r="G218" s="1840"/>
      <c r="H218" s="2545" t="s">
        <v>1217</v>
      </c>
      <c r="I218" s="2546"/>
      <c r="J218" s="2911"/>
      <c r="K218" s="2547"/>
      <c r="L218" s="2137"/>
      <c r="M218" s="2138"/>
      <c r="N218" s="2538"/>
      <c r="O218" s="2539"/>
      <c r="P218" s="2541"/>
      <c r="Q218" s="2913"/>
      <c r="R218" s="2543"/>
      <c r="S218" s="2544"/>
      <c r="T218" s="2543"/>
      <c r="U218" s="2543"/>
      <c r="V218" s="2543"/>
      <c r="W218" s="2543"/>
      <c r="X218" s="2543"/>
      <c r="Y218" s="2543"/>
      <c r="Z218" s="1838"/>
      <c r="AA218" s="1804">
        <v>1</v>
      </c>
      <c r="AB218" s="1190" t="s">
        <v>1159</v>
      </c>
      <c r="AC218" s="1180">
        <v>0</v>
      </c>
      <c r="AD218" s="1190" t="str">
        <f>AB218</f>
        <v>      Прочие амортизационные отчисления</v>
      </c>
      <c r="AE218" s="1180">
        <v>28084.54528</v>
      </c>
      <c r="AF218" s="2536"/>
      <c r="AG218" s="2537"/>
      <c r="AH218" s="2537"/>
      <c r="AI218" s="2536"/>
      <c r="AJ218" s="2537"/>
      <c r="AK218" s="2537"/>
      <c r="AL218" s="1996"/>
      <c r="AM218" s="1833"/>
      <c r="AN218" s="1833"/>
      <c r="AO218" s="1833"/>
      <c r="AP218" s="1833"/>
      <c r="AQ218" s="1833"/>
      <c r="AR218" s="1833"/>
      <c r="AS218" s="1833"/>
      <c r="AT218" s="1833"/>
      <c r="AU218" s="1833"/>
      <c r="AV218" s="1833"/>
      <c r="AW218" s="1833"/>
      <c r="AX218" s="1833"/>
      <c r="AY218" s="1833"/>
      <c r="AZ218" s="1833"/>
      <c r="BA218" s="1833"/>
      <c r="BB218" s="1833"/>
      <c r="BC218" s="1833"/>
      <c r="BD218" s="1833"/>
      <c r="BE218" s="1833"/>
      <c r="BF218" s="1833"/>
      <c r="BG218" s="1646"/>
    </row>
    <row customHeight="1" ht="11.25">
      <c r="A219" s="1177" t="s">
        <v>1088</v>
      </c>
      <c r="B219" s="1177"/>
      <c r="C219" s="1177"/>
      <c r="D219" s="1171"/>
      <c r="E219" s="1181"/>
      <c r="F219" s="1840"/>
      <c r="G219" s="1840"/>
      <c r="H219" s="1840"/>
      <c r="I219" s="1840"/>
      <c r="J219" s="1840"/>
      <c r="K219" s="1840"/>
      <c r="L219" s="1840"/>
      <c r="M219" s="1840"/>
      <c r="N219" s="1840"/>
      <c r="O219" s="1840"/>
      <c r="P219" s="1840"/>
      <c r="Q219" s="1840"/>
      <c r="R219" s="1840"/>
      <c r="S219" s="1840"/>
      <c r="T219" s="1840"/>
      <c r="U219" s="1840"/>
      <c r="V219" s="1840"/>
      <c r="W219" s="1840"/>
      <c r="X219" s="1840"/>
      <c r="Y219" s="1840"/>
      <c r="Z219" s="694" t="s">
        <v>105</v>
      </c>
      <c r="AA219" s="1824" t="s">
        <v>104</v>
      </c>
      <c r="AB219" s="1190" t="s">
        <v>1129</v>
      </c>
      <c r="AC219" s="1180">
        <v>25788.09798</v>
      </c>
      <c r="AD219" s="1190" t="str">
        <f>AB219</f>
        <v>  Прибыль направляемая на инвестиции</v>
      </c>
      <c r="AE219" s="1180">
        <v>0</v>
      </c>
      <c r="AF219" s="2097"/>
      <c r="AG219" s="1769"/>
      <c r="AH219" s="1769"/>
      <c r="AI219" s="2097"/>
      <c r="AJ219" s="1769"/>
      <c r="AK219" s="1995"/>
      <c r="AL219" s="1996"/>
      <c r="AM219" s="1833"/>
      <c r="AN219" s="1833"/>
      <c r="AO219" s="1833"/>
      <c r="AP219" s="1833"/>
      <c r="AQ219" s="1833"/>
      <c r="AR219" s="1833"/>
      <c r="AS219" s="1833"/>
      <c r="AT219" s="1833"/>
      <c r="AU219" s="1833"/>
      <c r="AV219" s="1833"/>
      <c r="AW219" s="1833"/>
      <c r="AX219" s="1833"/>
      <c r="AY219" s="1833"/>
      <c r="AZ219" s="1833"/>
      <c r="BA219" s="1833"/>
      <c r="BB219" s="1833"/>
      <c r="BC219" s="1833"/>
      <c r="BD219" s="1833"/>
      <c r="BE219" s="1833"/>
      <c r="BF219" s="1833"/>
      <c r="BG219" s="1646"/>
    </row>
    <row customHeight="1" ht="11.25">
      <c r="A220" s="1177" t="s">
        <v>1088</v>
      </c>
      <c r="B220" s="1177"/>
      <c r="C220" s="1177"/>
      <c r="D220" s="1171"/>
      <c r="E220" s="1181"/>
      <c r="F220" s="1839"/>
      <c r="G220" s="1840"/>
      <c r="H220" s="2545" t="s">
        <v>1217</v>
      </c>
      <c r="I220" s="2546"/>
      <c r="J220" s="2911"/>
      <c r="K220" s="2547"/>
      <c r="L220" s="2137"/>
      <c r="M220" s="2138"/>
      <c r="N220" s="2538"/>
      <c r="O220" s="2539"/>
      <c r="P220" s="2542"/>
      <c r="Q220" s="2913"/>
      <c r="R220" s="2543"/>
      <c r="S220" s="2544"/>
      <c r="T220" s="2543"/>
      <c r="U220" s="2543"/>
      <c r="V220" s="2543"/>
      <c r="W220" s="2543"/>
      <c r="X220" s="2543"/>
      <c r="Y220" s="2543"/>
      <c r="Z220" s="1186"/>
      <c r="AA220" s="1187"/>
      <c r="AB220" s="1252" t="s">
        <v>1130</v>
      </c>
      <c r="AC220" s="1191"/>
      <c r="AD220" s="1191"/>
      <c r="AE220" s="1193"/>
      <c r="AF220" s="2536"/>
      <c r="AG220" s="2537"/>
      <c r="AH220" s="2537"/>
      <c r="AI220" s="2536"/>
      <c r="AJ220" s="2537"/>
      <c r="AK220" s="2537"/>
      <c r="AL220" s="1996"/>
      <c r="AM220" s="1833"/>
      <c r="AN220" s="1833"/>
      <c r="AO220" s="1833"/>
      <c r="AP220" s="1833"/>
      <c r="AQ220" s="1833"/>
      <c r="AR220" s="1833"/>
      <c r="AS220" s="1833"/>
      <c r="AT220" s="1833"/>
      <c r="AU220" s="1833"/>
      <c r="AV220" s="1833"/>
      <c r="AW220" s="1833"/>
      <c r="AX220" s="1833"/>
      <c r="AY220" s="1833"/>
      <c r="AZ220" s="1833"/>
      <c r="BA220" s="1833"/>
      <c r="BB220" s="1833"/>
      <c r="BC220" s="1833"/>
      <c r="BD220" s="1833"/>
      <c r="BE220" s="1833"/>
      <c r="BF220" s="1833"/>
      <c r="BG220" s="1646"/>
    </row>
    <row customHeight="1" ht="11.25">
      <c r="A221" s="1177" t="s">
        <v>1088</v>
      </c>
      <c r="B221" s="1177"/>
      <c r="C221" s="1177"/>
      <c r="D221" s="1171"/>
      <c r="E221" s="1181"/>
      <c r="F221" s="1839"/>
      <c r="G221" s="1840"/>
      <c r="H221" s="2545" t="s">
        <v>1217</v>
      </c>
      <c r="I221" s="2546"/>
      <c r="J221" s="2911"/>
      <c r="K221" s="2547"/>
      <c r="L221" s="2137"/>
      <c r="M221" s="2138"/>
      <c r="N221" s="1186"/>
      <c r="O221" s="1187"/>
      <c r="P221" s="1179" t="s">
        <v>1131</v>
      </c>
      <c r="Q221" s="1187"/>
      <c r="R221" s="1187"/>
      <c r="S221" s="1187"/>
      <c r="T221" s="1187"/>
      <c r="U221" s="1187"/>
      <c r="V221" s="1187"/>
      <c r="W221" s="1187"/>
      <c r="X221" s="1187"/>
      <c r="Y221" s="1187"/>
      <c r="Z221" s="1187"/>
      <c r="AA221" s="1187"/>
      <c r="AB221" s="1187"/>
      <c r="AC221" s="1187"/>
      <c r="AD221" s="1187"/>
      <c r="AE221" s="1194"/>
      <c r="AF221" s="2536"/>
      <c r="AG221" s="2537"/>
      <c r="AH221" s="2537"/>
      <c r="AI221" s="2536"/>
      <c r="AJ221" s="2537"/>
      <c r="AK221" s="2537"/>
      <c r="AL221" s="1996"/>
      <c r="AM221" s="1833"/>
      <c r="AN221" s="1833"/>
      <c r="AO221" s="1833"/>
      <c r="AP221" s="1833"/>
      <c r="AQ221" s="1833"/>
      <c r="AR221" s="1833"/>
      <c r="AS221" s="1833"/>
      <c r="AT221" s="1833"/>
      <c r="AU221" s="1833"/>
      <c r="AV221" s="1833"/>
      <c r="AW221" s="1833"/>
      <c r="AX221" s="1833"/>
      <c r="AY221" s="1833"/>
      <c r="AZ221" s="1833"/>
      <c r="BA221" s="1833"/>
      <c r="BB221" s="1833"/>
      <c r="BC221" s="1833"/>
      <c r="BD221" s="1833"/>
      <c r="BE221" s="1833"/>
      <c r="BF221" s="1833"/>
      <c r="BG221" s="1646"/>
    </row>
    <row customHeight="1" ht="12">
      <c r="A222" s="1177" t="s">
        <v>1088</v>
      </c>
      <c r="B222" s="1177"/>
      <c r="C222" s="1177"/>
      <c r="D222" s="1171"/>
      <c r="E222" s="1181"/>
      <c r="F222" s="2567"/>
      <c r="G222" s="1201"/>
      <c r="H222" s="1201"/>
      <c r="I222" s="2565" t="s">
        <v>1132</v>
      </c>
      <c r="J222" s="2565"/>
      <c r="K222" s="2565"/>
      <c r="L222" s="1184"/>
      <c r="M222" s="1184"/>
      <c r="N222" s="1185"/>
      <c r="O222" s="1185"/>
      <c r="P222" s="1185"/>
      <c r="Q222" s="1185"/>
      <c r="R222" s="1185"/>
      <c r="S222" s="1185"/>
      <c r="T222" s="1185"/>
      <c r="U222" s="1185"/>
      <c r="V222" s="1185"/>
      <c r="W222" s="1185"/>
      <c r="X222" s="1185"/>
      <c r="Y222" s="1185"/>
      <c r="Z222" s="1185"/>
      <c r="AA222" s="1185"/>
      <c r="AB222" s="1185"/>
      <c r="AC222" s="1185"/>
      <c r="AD222" s="1185"/>
      <c r="AE222" s="1185"/>
      <c r="AF222" s="1185"/>
      <c r="AG222" s="1184"/>
      <c r="AH222" s="1184"/>
      <c r="AI222" s="1185"/>
      <c r="AJ222" s="1184"/>
      <c r="AK222" s="1185"/>
      <c r="AL222" s="1996"/>
      <c r="AM222" s="1833"/>
      <c r="AN222" s="1833"/>
      <c r="AO222" s="1833"/>
      <c r="AP222" s="1833"/>
      <c r="AQ222" s="1833"/>
      <c r="AR222" s="1833"/>
      <c r="AS222" s="1833"/>
      <c r="AT222" s="1833"/>
      <c r="AU222" s="1833"/>
      <c r="AV222" s="1833"/>
      <c r="AW222" s="1833"/>
      <c r="AX222" s="1833"/>
      <c r="AY222" s="1833"/>
      <c r="AZ222" s="1833"/>
      <c r="BA222" s="1833"/>
      <c r="BB222" s="1833"/>
      <c r="BC222" s="1833"/>
      <c r="BD222" s="1833"/>
      <c r="BE222" s="1833"/>
      <c r="BF222" s="1833"/>
      <c r="BG222" s="1646"/>
    </row>
    <row customHeight="1" ht="0.75">
      <c r="A223" s="1177" t="s">
        <v>1088</v>
      </c>
      <c r="B223" s="1177"/>
      <c r="C223" s="1177"/>
      <c r="D223" s="1171"/>
      <c r="E223" s="1181"/>
      <c r="F223" s="2566">
        <v>2026</v>
      </c>
      <c r="G223" s="2545"/>
      <c r="H223" s="2570" t="s">
        <v>390</v>
      </c>
      <c r="I223" s="2571"/>
      <c r="J223" s="2572"/>
      <c r="K223" s="2572"/>
      <c r="L223" s="2564"/>
      <c r="M223" s="2298"/>
      <c r="N223" s="2044"/>
      <c r="O223" s="2043"/>
      <c r="P223" s="2044"/>
      <c r="Q223" s="2044"/>
      <c r="R223" s="2044"/>
      <c r="S223" s="2044"/>
      <c r="T223" s="2044"/>
      <c r="U223" s="2044"/>
      <c r="V223" s="2044"/>
      <c r="W223" s="2044"/>
      <c r="X223" s="2044"/>
      <c r="Y223" s="2044"/>
      <c r="Z223" s="2044"/>
      <c r="AA223" s="2044"/>
      <c r="AB223" s="2044"/>
      <c r="AC223" s="2044"/>
      <c r="AD223" s="2044"/>
      <c r="AE223" s="2044"/>
      <c r="AF223" s="2568"/>
      <c r="AG223" s="2564"/>
      <c r="AH223" s="2564"/>
      <c r="AI223" s="2568"/>
      <c r="AJ223" s="2564"/>
      <c r="AK223" s="2564"/>
      <c r="AL223" s="1996"/>
      <c r="AM223" s="1833"/>
      <c r="AN223" s="1833"/>
      <c r="AO223" s="1833"/>
      <c r="AP223" s="1833"/>
      <c r="AQ223" s="1833"/>
      <c r="AR223" s="1833"/>
      <c r="AS223" s="1833"/>
      <c r="AT223" s="1833"/>
      <c r="AU223" s="1833"/>
      <c r="AV223" s="1833"/>
      <c r="AW223" s="1833"/>
      <c r="AX223" s="1833"/>
      <c r="AY223" s="1833"/>
      <c r="AZ223" s="1833"/>
      <c r="BA223" s="1833"/>
      <c r="BB223" s="1833"/>
      <c r="BC223" s="1833"/>
      <c r="BD223" s="1833"/>
      <c r="BE223" s="1833"/>
      <c r="BF223" s="1833"/>
      <c r="BG223" s="1646"/>
    </row>
    <row customHeight="1" ht="0.75">
      <c r="A224" s="1177" t="s">
        <v>1088</v>
      </c>
      <c r="B224" s="1177"/>
      <c r="C224" s="1177"/>
      <c r="D224" s="1171"/>
      <c r="E224" s="1181"/>
      <c r="F224" s="2566"/>
      <c r="G224" s="2545"/>
      <c r="H224" s="2570"/>
      <c r="I224" s="2571"/>
      <c r="J224" s="2572"/>
      <c r="K224" s="2572"/>
      <c r="L224" s="2564"/>
      <c r="M224" s="2298"/>
      <c r="N224" s="2573"/>
      <c r="O224" s="2574"/>
      <c r="P224" s="2618"/>
      <c r="Q224" s="2569"/>
      <c r="R224" s="2569"/>
      <c r="S224" s="2569"/>
      <c r="T224" s="2569"/>
      <c r="U224" s="2569"/>
      <c r="V224" s="2569"/>
      <c r="W224" s="2569"/>
      <c r="X224" s="2569"/>
      <c r="Y224" s="2569"/>
      <c r="Z224" s="2045"/>
      <c r="AA224" s="2046"/>
      <c r="AB224" s="2046"/>
      <c r="AC224" s="2047"/>
      <c r="AD224" s="2047"/>
      <c r="AE224" s="2048"/>
      <c r="AF224" s="2568"/>
      <c r="AG224" s="2564"/>
      <c r="AH224" s="2564"/>
      <c r="AI224" s="2568"/>
      <c r="AJ224" s="2564"/>
      <c r="AK224" s="2564"/>
      <c r="AL224" s="1996"/>
      <c r="AM224" s="1833"/>
      <c r="AN224" s="1833"/>
      <c r="AO224" s="1833"/>
      <c r="AP224" s="1833"/>
      <c r="AQ224" s="1833"/>
      <c r="AR224" s="1833"/>
      <c r="AS224" s="1833"/>
      <c r="AT224" s="1833"/>
      <c r="AU224" s="1833"/>
      <c r="AV224" s="1833"/>
      <c r="AW224" s="1833"/>
      <c r="AX224" s="1833"/>
      <c r="AY224" s="1833"/>
      <c r="AZ224" s="1833"/>
      <c r="BA224" s="1833"/>
      <c r="BB224" s="1833"/>
      <c r="BC224" s="1833"/>
      <c r="BD224" s="1833"/>
      <c r="BE224" s="1833"/>
      <c r="BF224" s="1833"/>
      <c r="BG224" s="1646"/>
    </row>
    <row customHeight="1" ht="0.75">
      <c r="A225" s="1177" t="s">
        <v>1088</v>
      </c>
      <c r="B225" s="1177"/>
      <c r="C225" s="1177"/>
      <c r="D225" s="1171"/>
      <c r="E225" s="1181"/>
      <c r="F225" s="2566"/>
      <c r="G225" s="2545"/>
      <c r="H225" s="2570"/>
      <c r="I225" s="2571"/>
      <c r="J225" s="2572"/>
      <c r="K225" s="2572"/>
      <c r="L225" s="2564"/>
      <c r="M225" s="2298"/>
      <c r="N225" s="2573"/>
      <c r="O225" s="2574"/>
      <c r="P225" s="2619"/>
      <c r="Q225" s="2569"/>
      <c r="R225" s="2569"/>
      <c r="S225" s="2569"/>
      <c r="T225" s="2569"/>
      <c r="U225" s="2569"/>
      <c r="V225" s="2569"/>
      <c r="W225" s="2569"/>
      <c r="X225" s="2569"/>
      <c r="Y225" s="2569"/>
      <c r="Z225" s="2049"/>
      <c r="AA225" s="2050"/>
      <c r="AB225" s="2051"/>
      <c r="AC225" s="2052"/>
      <c r="AD225" s="2051"/>
      <c r="AE225" s="2052"/>
      <c r="AF225" s="2568"/>
      <c r="AG225" s="2564"/>
      <c r="AH225" s="2564"/>
      <c r="AI225" s="2568"/>
      <c r="AJ225" s="2564"/>
      <c r="AK225" s="2564"/>
      <c r="AL225" s="1996"/>
      <c r="AM225" s="1833"/>
      <c r="AN225" s="1833"/>
      <c r="AO225" s="1833"/>
      <c r="AP225" s="1833"/>
      <c r="AQ225" s="1833"/>
      <c r="AR225" s="1833"/>
      <c r="AS225" s="1833"/>
      <c r="AT225" s="1833"/>
      <c r="AU225" s="1833"/>
      <c r="AV225" s="1833"/>
      <c r="AW225" s="1833"/>
      <c r="AX225" s="1833"/>
      <c r="AY225" s="1833"/>
      <c r="AZ225" s="1833"/>
      <c r="BA225" s="1833"/>
      <c r="BB225" s="1833"/>
      <c r="BC225" s="1833"/>
      <c r="BD225" s="1833"/>
      <c r="BE225" s="1833"/>
      <c r="BF225" s="1833"/>
      <c r="BG225" s="1646"/>
    </row>
    <row customHeight="1" ht="0.75">
      <c r="A226" s="1177" t="s">
        <v>1088</v>
      </c>
      <c r="B226" s="1177"/>
      <c r="C226" s="1177"/>
      <c r="D226" s="1171"/>
      <c r="E226" s="1181"/>
      <c r="F226" s="2566"/>
      <c r="G226" s="2545"/>
      <c r="H226" s="2570"/>
      <c r="I226" s="2571"/>
      <c r="J226" s="2572"/>
      <c r="K226" s="2572"/>
      <c r="L226" s="2564"/>
      <c r="M226" s="2298"/>
      <c r="N226" s="2573"/>
      <c r="O226" s="2574"/>
      <c r="P226" s="2620"/>
      <c r="Q226" s="2569"/>
      <c r="R226" s="2569"/>
      <c r="S226" s="2569"/>
      <c r="T226" s="2569"/>
      <c r="U226" s="2569"/>
      <c r="V226" s="2569"/>
      <c r="W226" s="2569"/>
      <c r="X226" s="2569"/>
      <c r="Y226" s="2569"/>
      <c r="Z226" s="2045"/>
      <c r="AA226" s="2046"/>
      <c r="AB226" s="2053"/>
      <c r="AC226" s="2047"/>
      <c r="AD226" s="2047"/>
      <c r="AE226" s="2054"/>
      <c r="AF226" s="2568"/>
      <c r="AG226" s="2564"/>
      <c r="AH226" s="2564"/>
      <c r="AI226" s="2568"/>
      <c r="AJ226" s="2564"/>
      <c r="AK226" s="2564"/>
      <c r="AL226" s="1996"/>
      <c r="AM226" s="1833"/>
      <c r="AN226" s="1833"/>
      <c r="AO226" s="1833"/>
      <c r="AP226" s="1833"/>
      <c r="AQ226" s="1833"/>
      <c r="AR226" s="1833"/>
      <c r="AS226" s="1833"/>
      <c r="AT226" s="1833"/>
      <c r="AU226" s="1833"/>
      <c r="AV226" s="1833"/>
      <c r="AW226" s="1833"/>
      <c r="AX226" s="1833"/>
      <c r="AY226" s="1833"/>
      <c r="AZ226" s="1833"/>
      <c r="BA226" s="1833"/>
      <c r="BB226" s="1833"/>
      <c r="BC226" s="1833"/>
      <c r="BD226" s="1833"/>
      <c r="BE226" s="1833"/>
      <c r="BF226" s="1833"/>
      <c r="BG226" s="1646"/>
    </row>
    <row customHeight="1" ht="0.75">
      <c r="A227" s="1177" t="s">
        <v>1088</v>
      </c>
      <c r="B227" s="1177"/>
      <c r="C227" s="1177"/>
      <c r="D227" s="1171"/>
      <c r="E227" s="1181"/>
      <c r="F227" s="2566"/>
      <c r="G227" s="2545"/>
      <c r="H227" s="2570"/>
      <c r="I227" s="2571"/>
      <c r="J227" s="2572"/>
      <c r="K227" s="2572"/>
      <c r="L227" s="2564"/>
      <c r="M227" s="2298"/>
      <c r="N227" s="2046"/>
      <c r="O227" s="2046"/>
      <c r="P227" s="2053"/>
      <c r="Q227" s="2046"/>
      <c r="R227" s="2046"/>
      <c r="S227" s="2046"/>
      <c r="T227" s="2046"/>
      <c r="U227" s="2046"/>
      <c r="V227" s="2046"/>
      <c r="W227" s="2046"/>
      <c r="X227" s="2046"/>
      <c r="Y227" s="2046"/>
      <c r="Z227" s="2046"/>
      <c r="AA227" s="2046"/>
      <c r="AB227" s="2046"/>
      <c r="AC227" s="2046"/>
      <c r="AD227" s="2046"/>
      <c r="AE227" s="2055"/>
      <c r="AF227" s="2568"/>
      <c r="AG227" s="2564"/>
      <c r="AH227" s="2564"/>
      <c r="AI227" s="2568"/>
      <c r="AJ227" s="2564"/>
      <c r="AK227" s="2564"/>
      <c r="AL227" s="1996"/>
      <c r="AM227" s="1833"/>
      <c r="AN227" s="1833"/>
      <c r="AO227" s="1833"/>
      <c r="AP227" s="1833"/>
      <c r="AQ227" s="1833"/>
      <c r="AR227" s="1833"/>
      <c r="AS227" s="1833"/>
      <c r="AT227" s="1833"/>
      <c r="AU227" s="1833"/>
      <c r="AV227" s="1833"/>
      <c r="AW227" s="1833"/>
      <c r="AX227" s="1833"/>
      <c r="AY227" s="1833"/>
      <c r="AZ227" s="1833"/>
      <c r="BA227" s="1833"/>
      <c r="BB227" s="1833"/>
      <c r="BC227" s="1833"/>
      <c r="BD227" s="1833"/>
      <c r="BE227" s="1833"/>
      <c r="BF227" s="1833"/>
      <c r="BG227" s="1646"/>
    </row>
    <row customHeight="1" ht="11.25">
      <c r="A228" s="1177" t="s">
        <v>1088</v>
      </c>
      <c r="B228" s="1177" t="s">
        <v>1133</v>
      </c>
      <c r="C228" s="1177"/>
      <c r="D228" s="1171"/>
      <c r="E228" s="1181"/>
      <c r="F228" s="1839"/>
      <c r="G228" s="694" t="s">
        <v>105</v>
      </c>
      <c r="H228" s="2545" t="s">
        <v>120</v>
      </c>
      <c r="I228" s="2546" t="s">
        <v>1134</v>
      </c>
      <c r="J228" s="2515" t="s">
        <v>1135</v>
      </c>
      <c r="K228" s="2547" t="s">
        <v>1222</v>
      </c>
      <c r="L228" s="2137" t="s">
        <v>19</v>
      </c>
      <c r="M228" s="2138"/>
      <c r="N228" s="1994"/>
      <c r="O228" s="1188" t="s">
        <v>390</v>
      </c>
      <c r="P228" s="1189"/>
      <c r="Q228" s="1189"/>
      <c r="R228" s="1189"/>
      <c r="S228" s="1189"/>
      <c r="T228" s="1189"/>
      <c r="U228" s="1189"/>
      <c r="V228" s="1189"/>
      <c r="W228" s="1189"/>
      <c r="X228" s="1189"/>
      <c r="Y228" s="1189"/>
      <c r="Z228" s="1189"/>
      <c r="AA228" s="1189"/>
      <c r="AB228" s="1189"/>
      <c r="AC228" s="1189"/>
      <c r="AD228" s="1189"/>
      <c r="AE228" s="1189"/>
      <c r="AF228" s="2536">
        <v>2026</v>
      </c>
      <c r="AG228" s="2537" t="s">
        <v>1122</v>
      </c>
      <c r="AH228" s="2537" t="s">
        <v>1169</v>
      </c>
      <c r="AI228" s="2908"/>
      <c r="AJ228" s="2537" t="s">
        <v>1154</v>
      </c>
      <c r="AK228" s="2537" t="s">
        <v>1154</v>
      </c>
      <c r="AL228" s="1996"/>
      <c r="AM228" s="1833"/>
      <c r="AN228" s="1833"/>
      <c r="AO228" s="1833"/>
      <c r="AP228" s="1833"/>
      <c r="AQ228" s="1833"/>
      <c r="AR228" s="1833"/>
      <c r="AS228" s="1833"/>
      <c r="AT228" s="1833"/>
      <c r="AU228" s="1833"/>
      <c r="AV228" s="1833"/>
      <c r="AW228" s="1833"/>
      <c r="AX228" s="1833"/>
      <c r="AY228" s="1833"/>
      <c r="AZ228" s="1833"/>
      <c r="BA228" s="1833"/>
      <c r="BB228" s="1833"/>
      <c r="BC228" s="1833"/>
      <c r="BD228" s="1833"/>
      <c r="BE228" s="1833"/>
      <c r="BF228" s="1833"/>
      <c r="BG228" s="1646"/>
    </row>
    <row customHeight="1" ht="11.25">
      <c r="A229" s="1177" t="s">
        <v>1088</v>
      </c>
      <c r="B229" s="1177"/>
      <c r="C229" s="1177"/>
      <c r="D229" s="1171"/>
      <c r="E229" s="1181"/>
      <c r="F229" s="1839"/>
      <c r="G229" s="1840"/>
      <c r="H229" s="2545" t="s">
        <v>390</v>
      </c>
      <c r="I229" s="2546"/>
      <c r="J229" s="2515"/>
      <c r="K229" s="2547"/>
      <c r="L229" s="2137"/>
      <c r="M229" s="2138"/>
      <c r="N229" s="2538"/>
      <c r="O229" s="2539">
        <v>1</v>
      </c>
      <c r="P229" s="2540" t="s">
        <v>19</v>
      </c>
      <c r="Q229" s="2903" t="s">
        <v>22</v>
      </c>
      <c r="R229" s="2903" t="s">
        <v>22</v>
      </c>
      <c r="S229" s="2903" t="s">
        <v>22</v>
      </c>
      <c r="T229" s="2903" t="s">
        <v>22</v>
      </c>
      <c r="U229" s="2903" t="s">
        <v>22</v>
      </c>
      <c r="V229" s="2903" t="s">
        <v>22</v>
      </c>
      <c r="W229" s="2903" t="s">
        <v>22</v>
      </c>
      <c r="X229" s="2903" t="s">
        <v>22</v>
      </c>
      <c r="Y229" s="2903" t="s">
        <v>22</v>
      </c>
      <c r="Z229" s="1186"/>
      <c r="AA229" s="1187"/>
      <c r="AB229" s="1187"/>
      <c r="AC229" s="1191"/>
      <c r="AD229" s="1191"/>
      <c r="AE229" s="1192"/>
      <c r="AF229" s="2536"/>
      <c r="AG229" s="2537"/>
      <c r="AH229" s="2537"/>
      <c r="AI229" s="2908"/>
      <c r="AJ229" s="2537"/>
      <c r="AK229" s="2537"/>
      <c r="AL229" s="1996"/>
      <c r="AM229" s="1833"/>
      <c r="AN229" s="1833"/>
      <c r="AO229" s="1833"/>
      <c r="AP229" s="1833"/>
      <c r="AQ229" s="1833"/>
      <c r="AR229" s="1833"/>
      <c r="AS229" s="1833"/>
      <c r="AT229" s="1833"/>
      <c r="AU229" s="1833"/>
      <c r="AV229" s="1833"/>
      <c r="AW229" s="1833"/>
      <c r="AX229" s="1833"/>
      <c r="AY229" s="1833"/>
      <c r="AZ229" s="1833"/>
      <c r="BA229" s="1833"/>
      <c r="BB229" s="1833"/>
      <c r="BC229" s="1833"/>
      <c r="BD229" s="1833"/>
      <c r="BE229" s="1833"/>
      <c r="BF229" s="1833"/>
      <c r="BG229" s="1646"/>
    </row>
    <row customHeight="1" ht="11.25">
      <c r="A230" s="1177" t="s">
        <v>1088</v>
      </c>
      <c r="B230" s="1177"/>
      <c r="C230" s="1177"/>
      <c r="D230" s="1171"/>
      <c r="E230" s="1181"/>
      <c r="F230" s="1839"/>
      <c r="G230" s="1840"/>
      <c r="H230" s="2545" t="s">
        <v>390</v>
      </c>
      <c r="I230" s="2546"/>
      <c r="J230" s="2515"/>
      <c r="K230" s="2547"/>
      <c r="L230" s="2137"/>
      <c r="M230" s="2138"/>
      <c r="N230" s="2538"/>
      <c r="O230" s="2539"/>
      <c r="P230" s="2541"/>
      <c r="Q230" s="2904"/>
      <c r="R230" s="2543"/>
      <c r="S230" s="2544"/>
      <c r="T230" s="2543"/>
      <c r="U230" s="2543"/>
      <c r="V230" s="2543"/>
      <c r="W230" s="2543"/>
      <c r="X230" s="2543"/>
      <c r="Y230" s="2543"/>
      <c r="Z230" s="1838"/>
      <c r="AA230" s="1804">
        <v>1</v>
      </c>
      <c r="AB230" s="1190" t="s">
        <v>1139</v>
      </c>
      <c r="AC230" s="1180">
        <v>1378.66</v>
      </c>
      <c r="AD230" s="1190" t="str">
        <f>AB230</f>
        <v>  За счет платы за технологическое присоединение</v>
      </c>
      <c r="AE230" s="1180">
        <v>0</v>
      </c>
      <c r="AF230" s="2536"/>
      <c r="AG230" s="2537"/>
      <c r="AH230" s="2537"/>
      <c r="AI230" s="2908"/>
      <c r="AJ230" s="2537"/>
      <c r="AK230" s="2537"/>
      <c r="AL230" s="1996"/>
      <c r="AM230" s="1833"/>
      <c r="AN230" s="1833"/>
      <c r="AO230" s="1833"/>
      <c r="AP230" s="1833"/>
      <c r="AQ230" s="1833"/>
      <c r="AR230" s="1833"/>
      <c r="AS230" s="1833"/>
      <c r="AT230" s="1833"/>
      <c r="AU230" s="1833"/>
      <c r="AV230" s="1833"/>
      <c r="AW230" s="1833"/>
      <c r="AX230" s="1833"/>
      <c r="AY230" s="1833"/>
      <c r="AZ230" s="1833"/>
      <c r="BA230" s="1833"/>
      <c r="BB230" s="1833"/>
      <c r="BC230" s="1833"/>
      <c r="BD230" s="1833"/>
      <c r="BE230" s="1833"/>
      <c r="BF230" s="1833"/>
      <c r="BG230" s="1646"/>
    </row>
    <row customHeight="1" ht="11.25">
      <c r="A231" s="1177" t="s">
        <v>1088</v>
      </c>
      <c r="B231" s="1177"/>
      <c r="C231" s="1177"/>
      <c r="D231" s="1171"/>
      <c r="E231" s="1181"/>
      <c r="F231" s="1839"/>
      <c r="G231" s="1840"/>
      <c r="H231" s="2545" t="s">
        <v>390</v>
      </c>
      <c r="I231" s="2546"/>
      <c r="J231" s="2515"/>
      <c r="K231" s="2547"/>
      <c r="L231" s="2137"/>
      <c r="M231" s="2138"/>
      <c r="N231" s="2538"/>
      <c r="O231" s="2539"/>
      <c r="P231" s="2542"/>
      <c r="Q231" s="2904"/>
      <c r="R231" s="2543"/>
      <c r="S231" s="2544"/>
      <c r="T231" s="2543"/>
      <c r="U231" s="2543"/>
      <c r="V231" s="2543"/>
      <c r="W231" s="2543"/>
      <c r="X231" s="2543"/>
      <c r="Y231" s="2543"/>
      <c r="Z231" s="1186"/>
      <c r="AA231" s="1187"/>
      <c r="AB231" s="1252" t="s">
        <v>1130</v>
      </c>
      <c r="AC231" s="1191"/>
      <c r="AD231" s="1191"/>
      <c r="AE231" s="1193"/>
      <c r="AF231" s="2536"/>
      <c r="AG231" s="2537"/>
      <c r="AH231" s="2537"/>
      <c r="AI231" s="2908"/>
      <c r="AJ231" s="2537"/>
      <c r="AK231" s="2537"/>
      <c r="AL231" s="1996"/>
      <c r="AM231" s="1833"/>
      <c r="AN231" s="1833"/>
      <c r="AO231" s="1833"/>
      <c r="AP231" s="1833"/>
      <c r="AQ231" s="1833"/>
      <c r="AR231" s="1833"/>
      <c r="AS231" s="1833"/>
      <c r="AT231" s="1833"/>
      <c r="AU231" s="1833"/>
      <c r="AV231" s="1833"/>
      <c r="AW231" s="1833"/>
      <c r="AX231" s="1833"/>
      <c r="AY231" s="1833"/>
      <c r="AZ231" s="1833"/>
      <c r="BA231" s="1833"/>
      <c r="BB231" s="1833"/>
      <c r="BC231" s="1833"/>
      <c r="BD231" s="1833"/>
      <c r="BE231" s="1833"/>
      <c r="BF231" s="1833"/>
      <c r="BG231" s="1646"/>
    </row>
    <row customHeight="1" ht="11.25">
      <c r="A232" s="1177" t="s">
        <v>1088</v>
      </c>
      <c r="B232" s="1177"/>
      <c r="C232" s="1177"/>
      <c r="D232" s="1171"/>
      <c r="E232" s="1181"/>
      <c r="F232" s="1839"/>
      <c r="G232" s="1840"/>
      <c r="H232" s="2545" t="s">
        <v>390</v>
      </c>
      <c r="I232" s="2546"/>
      <c r="J232" s="2515"/>
      <c r="K232" s="2547"/>
      <c r="L232" s="2137"/>
      <c r="M232" s="2138"/>
      <c r="N232" s="1186"/>
      <c r="O232" s="1187"/>
      <c r="P232" s="1179" t="s">
        <v>1131</v>
      </c>
      <c r="Q232" s="1187"/>
      <c r="R232" s="1187"/>
      <c r="S232" s="1187"/>
      <c r="T232" s="1187"/>
      <c r="U232" s="1187"/>
      <c r="V232" s="1187"/>
      <c r="W232" s="1187"/>
      <c r="X232" s="1187"/>
      <c r="Y232" s="1187"/>
      <c r="Z232" s="1187"/>
      <c r="AA232" s="1187"/>
      <c r="AB232" s="1187"/>
      <c r="AC232" s="1187"/>
      <c r="AD232" s="1187"/>
      <c r="AE232" s="1194"/>
      <c r="AF232" s="2536"/>
      <c r="AG232" s="2537"/>
      <c r="AH232" s="2537"/>
      <c r="AI232" s="2908"/>
      <c r="AJ232" s="2537"/>
      <c r="AK232" s="2537"/>
      <c r="AL232" s="1996"/>
      <c r="AM232" s="1833"/>
      <c r="AN232" s="1833"/>
      <c r="AO232" s="1833"/>
      <c r="AP232" s="1833"/>
      <c r="AQ232" s="1833"/>
      <c r="AR232" s="1833"/>
      <c r="AS232" s="1833"/>
      <c r="AT232" s="1833"/>
      <c r="AU232" s="1833"/>
      <c r="AV232" s="1833"/>
      <c r="AW232" s="1833"/>
      <c r="AX232" s="1833"/>
      <c r="AY232" s="1833"/>
      <c r="AZ232" s="1833"/>
      <c r="BA232" s="1833"/>
      <c r="BB232" s="1833"/>
      <c r="BC232" s="1833"/>
      <c r="BD232" s="1833"/>
      <c r="BE232" s="1833"/>
      <c r="BF232" s="1833"/>
      <c r="BG232" s="1646"/>
    </row>
    <row customHeight="1" ht="11.25">
      <c r="A233" s="1177" t="s">
        <v>1088</v>
      </c>
      <c r="B233" s="1177" t="s">
        <v>1133</v>
      </c>
      <c r="C233" s="1177"/>
      <c r="D233" s="1171"/>
      <c r="E233" s="1181"/>
      <c r="F233" s="1839"/>
      <c r="G233" s="694" t="s">
        <v>105</v>
      </c>
      <c r="H233" s="2545" t="s">
        <v>104</v>
      </c>
      <c r="I233" s="2546" t="s">
        <v>1134</v>
      </c>
      <c r="J233" s="2515" t="s">
        <v>1135</v>
      </c>
      <c r="K233" s="2547" t="s">
        <v>1223</v>
      </c>
      <c r="L233" s="2137" t="s">
        <v>19</v>
      </c>
      <c r="M233" s="2138"/>
      <c r="N233" s="1994"/>
      <c r="O233" s="1188" t="s">
        <v>390</v>
      </c>
      <c r="P233" s="1189"/>
      <c r="Q233" s="1189"/>
      <c r="R233" s="1189"/>
      <c r="S233" s="1189"/>
      <c r="T233" s="1189"/>
      <c r="U233" s="1189"/>
      <c r="V233" s="1189"/>
      <c r="W233" s="1189"/>
      <c r="X233" s="1189"/>
      <c r="Y233" s="1189"/>
      <c r="Z233" s="1189"/>
      <c r="AA233" s="1189"/>
      <c r="AB233" s="1189"/>
      <c r="AC233" s="1189"/>
      <c r="AD233" s="1189"/>
      <c r="AE233" s="1189"/>
      <c r="AF233" s="2536">
        <v>2026</v>
      </c>
      <c r="AG233" s="2537" t="s">
        <v>1122</v>
      </c>
      <c r="AH233" s="2537" t="s">
        <v>1169</v>
      </c>
      <c r="AI233" s="2908"/>
      <c r="AJ233" s="2537" t="s">
        <v>1154</v>
      </c>
      <c r="AK233" s="2537" t="s">
        <v>1154</v>
      </c>
      <c r="AL233" s="1996"/>
      <c r="AM233" s="1833"/>
      <c r="AN233" s="1833"/>
      <c r="AO233" s="1833"/>
      <c r="AP233" s="1833"/>
      <c r="AQ233" s="1833"/>
      <c r="AR233" s="1833"/>
      <c r="AS233" s="1833"/>
      <c r="AT233" s="1833"/>
      <c r="AU233" s="1833"/>
      <c r="AV233" s="1833"/>
      <c r="AW233" s="1833"/>
      <c r="AX233" s="1833"/>
      <c r="AY233" s="1833"/>
      <c r="AZ233" s="1833"/>
      <c r="BA233" s="1833"/>
      <c r="BB233" s="1833"/>
      <c r="BC233" s="1833"/>
      <c r="BD233" s="1833"/>
      <c r="BE233" s="1833"/>
      <c r="BF233" s="1833"/>
      <c r="BG233" s="1646"/>
    </row>
    <row customHeight="1" ht="11.25">
      <c r="A234" s="1177" t="s">
        <v>1088</v>
      </c>
      <c r="B234" s="1177"/>
      <c r="C234" s="1177"/>
      <c r="D234" s="1171"/>
      <c r="E234" s="1181"/>
      <c r="F234" s="1839"/>
      <c r="G234" s="1840"/>
      <c r="H234" s="2545" t="s">
        <v>120</v>
      </c>
      <c r="I234" s="2546"/>
      <c r="J234" s="2515"/>
      <c r="K234" s="2547"/>
      <c r="L234" s="2137"/>
      <c r="M234" s="2138"/>
      <c r="N234" s="2538"/>
      <c r="O234" s="2539">
        <v>1</v>
      </c>
      <c r="P234" s="2540" t="s">
        <v>19</v>
      </c>
      <c r="Q234" s="2543" t="s">
        <v>22</v>
      </c>
      <c r="R234" s="2543" t="s">
        <v>22</v>
      </c>
      <c r="S234" s="2543" t="s">
        <v>22</v>
      </c>
      <c r="T234" s="2543" t="s">
        <v>22</v>
      </c>
      <c r="U234" s="2543" t="s">
        <v>22</v>
      </c>
      <c r="V234" s="2543" t="s">
        <v>22</v>
      </c>
      <c r="W234" s="2543" t="s">
        <v>22</v>
      </c>
      <c r="X234" s="2543" t="s">
        <v>22</v>
      </c>
      <c r="Y234" s="2543"/>
      <c r="Z234" s="1186"/>
      <c r="AA234" s="1187"/>
      <c r="AB234" s="1187"/>
      <c r="AC234" s="1191"/>
      <c r="AD234" s="1191"/>
      <c r="AE234" s="1192"/>
      <c r="AF234" s="2536"/>
      <c r="AG234" s="2537"/>
      <c r="AH234" s="2537"/>
      <c r="AI234" s="2908"/>
      <c r="AJ234" s="2537"/>
      <c r="AK234" s="2537"/>
      <c r="AL234" s="1996"/>
      <c r="AM234" s="1833"/>
      <c r="AN234" s="1833"/>
      <c r="AO234" s="1833"/>
      <c r="AP234" s="1833"/>
      <c r="AQ234" s="1833"/>
      <c r="AR234" s="1833"/>
      <c r="AS234" s="1833"/>
      <c r="AT234" s="1833"/>
      <c r="AU234" s="1833"/>
      <c r="AV234" s="1833"/>
      <c r="AW234" s="1833"/>
      <c r="AX234" s="1833"/>
      <c r="AY234" s="1833"/>
      <c r="AZ234" s="1833"/>
      <c r="BA234" s="1833"/>
      <c r="BB234" s="1833"/>
      <c r="BC234" s="1833"/>
      <c r="BD234" s="1833"/>
      <c r="BE234" s="1833"/>
      <c r="BF234" s="1833"/>
      <c r="BG234" s="1646"/>
    </row>
    <row customHeight="1" ht="11.25">
      <c r="A235" s="1177" t="s">
        <v>1088</v>
      </c>
      <c r="B235" s="1177"/>
      <c r="C235" s="1177"/>
      <c r="D235" s="1171"/>
      <c r="E235" s="1181"/>
      <c r="F235" s="1839"/>
      <c r="G235" s="1840"/>
      <c r="H235" s="2545" t="s">
        <v>120</v>
      </c>
      <c r="I235" s="2546"/>
      <c r="J235" s="2515"/>
      <c r="K235" s="2547"/>
      <c r="L235" s="2137"/>
      <c r="M235" s="2138"/>
      <c r="N235" s="2538"/>
      <c r="O235" s="2539"/>
      <c r="P235" s="2541"/>
      <c r="Q235" s="2543"/>
      <c r="R235" s="2543"/>
      <c r="S235" s="2544"/>
      <c r="T235" s="2543"/>
      <c r="U235" s="2543"/>
      <c r="V235" s="2543"/>
      <c r="W235" s="2543"/>
      <c r="X235" s="2543"/>
      <c r="Y235" s="2543"/>
      <c r="Z235" s="1838"/>
      <c r="AA235" s="1804">
        <v>1</v>
      </c>
      <c r="AB235" s="1190" t="s">
        <v>1139</v>
      </c>
      <c r="AC235" s="1180">
        <v>317</v>
      </c>
      <c r="AD235" s="1190" t="str">
        <f>AB235</f>
        <v>  За счет платы за технологическое присоединение</v>
      </c>
      <c r="AE235" s="1180">
        <v>0</v>
      </c>
      <c r="AF235" s="2536"/>
      <c r="AG235" s="2537"/>
      <c r="AH235" s="2537"/>
      <c r="AI235" s="2908"/>
      <c r="AJ235" s="2537"/>
      <c r="AK235" s="2537"/>
      <c r="AL235" s="1996"/>
      <c r="AM235" s="1833"/>
      <c r="AN235" s="1833"/>
      <c r="AO235" s="1833"/>
      <c r="AP235" s="1833"/>
      <c r="AQ235" s="1833"/>
      <c r="AR235" s="1833"/>
      <c r="AS235" s="1833"/>
      <c r="AT235" s="1833"/>
      <c r="AU235" s="1833"/>
      <c r="AV235" s="1833"/>
      <c r="AW235" s="1833"/>
      <c r="AX235" s="1833"/>
      <c r="AY235" s="1833"/>
      <c r="AZ235" s="1833"/>
      <c r="BA235" s="1833"/>
      <c r="BB235" s="1833"/>
      <c r="BC235" s="1833"/>
      <c r="BD235" s="1833"/>
      <c r="BE235" s="1833"/>
      <c r="BF235" s="1833"/>
      <c r="BG235" s="1646"/>
    </row>
    <row customHeight="1" ht="11.25">
      <c r="A236" s="1177" t="s">
        <v>1088</v>
      </c>
      <c r="B236" s="1177"/>
      <c r="C236" s="1177"/>
      <c r="D236" s="1171"/>
      <c r="E236" s="1181"/>
      <c r="F236" s="1839"/>
      <c r="G236" s="1840"/>
      <c r="H236" s="2545" t="s">
        <v>120</v>
      </c>
      <c r="I236" s="2546"/>
      <c r="J236" s="2515"/>
      <c r="K236" s="2547"/>
      <c r="L236" s="2137"/>
      <c r="M236" s="2138"/>
      <c r="N236" s="2538"/>
      <c r="O236" s="2539"/>
      <c r="P236" s="2542"/>
      <c r="Q236" s="2543"/>
      <c r="R236" s="2543"/>
      <c r="S236" s="2544"/>
      <c r="T236" s="2543"/>
      <c r="U236" s="2543"/>
      <c r="V236" s="2543"/>
      <c r="W236" s="2543"/>
      <c r="X236" s="2543"/>
      <c r="Y236" s="2543"/>
      <c r="Z236" s="1186"/>
      <c r="AA236" s="1187"/>
      <c r="AB236" s="1252" t="s">
        <v>1130</v>
      </c>
      <c r="AC236" s="1191"/>
      <c r="AD236" s="1191"/>
      <c r="AE236" s="1193"/>
      <c r="AF236" s="2536"/>
      <c r="AG236" s="2537"/>
      <c r="AH236" s="2537"/>
      <c r="AI236" s="2908"/>
      <c r="AJ236" s="2537"/>
      <c r="AK236" s="2537"/>
      <c r="AL236" s="1996"/>
      <c r="AM236" s="1833"/>
      <c r="AN236" s="1833"/>
      <c r="AO236" s="1833"/>
      <c r="AP236" s="1833"/>
      <c r="AQ236" s="1833"/>
      <c r="AR236" s="1833"/>
      <c r="AS236" s="1833"/>
      <c r="AT236" s="1833"/>
      <c r="AU236" s="1833"/>
      <c r="AV236" s="1833"/>
      <c r="AW236" s="1833"/>
      <c r="AX236" s="1833"/>
      <c r="AY236" s="1833"/>
      <c r="AZ236" s="1833"/>
      <c r="BA236" s="1833"/>
      <c r="BB236" s="1833"/>
      <c r="BC236" s="1833"/>
      <c r="BD236" s="1833"/>
      <c r="BE236" s="1833"/>
      <c r="BF236" s="1833"/>
      <c r="BG236" s="1646"/>
    </row>
    <row customHeight="1" ht="11.25">
      <c r="A237" s="1177" t="s">
        <v>1088</v>
      </c>
      <c r="B237" s="1177"/>
      <c r="C237" s="1177"/>
      <c r="D237" s="1171"/>
      <c r="E237" s="1181"/>
      <c r="F237" s="1839"/>
      <c r="G237" s="1840"/>
      <c r="H237" s="2545" t="s">
        <v>120</v>
      </c>
      <c r="I237" s="2546"/>
      <c r="J237" s="2515"/>
      <c r="K237" s="2547"/>
      <c r="L237" s="2137"/>
      <c r="M237" s="2138"/>
      <c r="N237" s="1186"/>
      <c r="O237" s="1187"/>
      <c r="P237" s="1179" t="s">
        <v>1131</v>
      </c>
      <c r="Q237" s="1187"/>
      <c r="R237" s="1187"/>
      <c r="S237" s="1187"/>
      <c r="T237" s="1187"/>
      <c r="U237" s="1187"/>
      <c r="V237" s="1187"/>
      <c r="W237" s="1187"/>
      <c r="X237" s="1187"/>
      <c r="Y237" s="1187"/>
      <c r="Z237" s="1187"/>
      <c r="AA237" s="1187"/>
      <c r="AB237" s="1187"/>
      <c r="AC237" s="1187"/>
      <c r="AD237" s="1187"/>
      <c r="AE237" s="1194"/>
      <c r="AF237" s="2536"/>
      <c r="AG237" s="2537"/>
      <c r="AH237" s="2537"/>
      <c r="AI237" s="2908"/>
      <c r="AJ237" s="2537"/>
      <c r="AK237" s="2537"/>
      <c r="AL237" s="1996"/>
      <c r="AM237" s="1833"/>
      <c r="AN237" s="1833"/>
      <c r="AO237" s="1833"/>
      <c r="AP237" s="1833"/>
      <c r="AQ237" s="1833"/>
      <c r="AR237" s="1833"/>
      <c r="AS237" s="1833"/>
      <c r="AT237" s="1833"/>
      <c r="AU237" s="1833"/>
      <c r="AV237" s="1833"/>
      <c r="AW237" s="1833"/>
      <c r="AX237" s="1833"/>
      <c r="AY237" s="1833"/>
      <c r="AZ237" s="1833"/>
      <c r="BA237" s="1833"/>
      <c r="BB237" s="1833"/>
      <c r="BC237" s="1833"/>
      <c r="BD237" s="1833"/>
      <c r="BE237" s="1833"/>
      <c r="BF237" s="1833"/>
      <c r="BG237" s="1646"/>
    </row>
    <row customHeight="1" ht="11.25">
      <c r="A238" s="1177" t="s">
        <v>1088</v>
      </c>
      <c r="B238" s="1177" t="s">
        <v>1133</v>
      </c>
      <c r="C238" s="1177"/>
      <c r="D238" s="1171"/>
      <c r="E238" s="1181"/>
      <c r="F238" s="1839"/>
      <c r="G238" s="694" t="s">
        <v>105</v>
      </c>
      <c r="H238" s="2545" t="s">
        <v>91</v>
      </c>
      <c r="I238" s="2546" t="s">
        <v>1134</v>
      </c>
      <c r="J238" s="2515" t="s">
        <v>1135</v>
      </c>
      <c r="K238" s="2547" t="s">
        <v>1224</v>
      </c>
      <c r="L238" s="2137" t="s">
        <v>19</v>
      </c>
      <c r="M238" s="2138"/>
      <c r="N238" s="1994"/>
      <c r="O238" s="1188" t="s">
        <v>390</v>
      </c>
      <c r="P238" s="1189"/>
      <c r="Q238" s="1189"/>
      <c r="R238" s="1189"/>
      <c r="S238" s="1189"/>
      <c r="T238" s="1189"/>
      <c r="U238" s="1189"/>
      <c r="V238" s="1189"/>
      <c r="W238" s="1189"/>
      <c r="X238" s="1189"/>
      <c r="Y238" s="1189"/>
      <c r="Z238" s="1189"/>
      <c r="AA238" s="1189"/>
      <c r="AB238" s="1189"/>
      <c r="AC238" s="1189"/>
      <c r="AD238" s="1189"/>
      <c r="AE238" s="1189"/>
      <c r="AF238" s="2536">
        <v>2026</v>
      </c>
      <c r="AG238" s="2537" t="s">
        <v>1122</v>
      </c>
      <c r="AH238" s="2537" t="s">
        <v>1169</v>
      </c>
      <c r="AI238" s="2908"/>
      <c r="AJ238" s="2537" t="s">
        <v>1154</v>
      </c>
      <c r="AK238" s="2537" t="s">
        <v>1154</v>
      </c>
      <c r="AL238" s="1996"/>
      <c r="AM238" s="1833"/>
      <c r="AN238" s="1833"/>
      <c r="AO238" s="1833"/>
      <c r="AP238" s="1833"/>
      <c r="AQ238" s="1833"/>
      <c r="AR238" s="1833"/>
      <c r="AS238" s="1833"/>
      <c r="AT238" s="1833"/>
      <c r="AU238" s="1833"/>
      <c r="AV238" s="1833"/>
      <c r="AW238" s="1833"/>
      <c r="AX238" s="1833"/>
      <c r="AY238" s="1833"/>
      <c r="AZ238" s="1833"/>
      <c r="BA238" s="1833"/>
      <c r="BB238" s="1833"/>
      <c r="BC238" s="1833"/>
      <c r="BD238" s="1833"/>
      <c r="BE238" s="1833"/>
      <c r="BF238" s="1833"/>
      <c r="BG238" s="1646"/>
    </row>
    <row customHeight="1" ht="11.25">
      <c r="A239" s="1177" t="s">
        <v>1088</v>
      </c>
      <c r="B239" s="1177"/>
      <c r="C239" s="1177"/>
      <c r="D239" s="1171"/>
      <c r="E239" s="1181"/>
      <c r="F239" s="1839"/>
      <c r="G239" s="1840"/>
      <c r="H239" s="2545" t="s">
        <v>104</v>
      </c>
      <c r="I239" s="2546"/>
      <c r="J239" s="2515"/>
      <c r="K239" s="2547"/>
      <c r="L239" s="2137"/>
      <c r="M239" s="2138"/>
      <c r="N239" s="2538"/>
      <c r="O239" s="2539">
        <v>1</v>
      </c>
      <c r="P239" s="2540" t="s">
        <v>19</v>
      </c>
      <c r="Q239" s="2543" t="s">
        <v>22</v>
      </c>
      <c r="R239" s="2543" t="s">
        <v>22</v>
      </c>
      <c r="S239" s="2543" t="s">
        <v>22</v>
      </c>
      <c r="T239" s="2543" t="s">
        <v>22</v>
      </c>
      <c r="U239" s="2543" t="s">
        <v>22</v>
      </c>
      <c r="V239" s="2543" t="s">
        <v>22</v>
      </c>
      <c r="W239" s="2543" t="s">
        <v>22</v>
      </c>
      <c r="X239" s="2543" t="s">
        <v>22</v>
      </c>
      <c r="Y239" s="2543"/>
      <c r="Z239" s="1186"/>
      <c r="AA239" s="1187"/>
      <c r="AB239" s="1187"/>
      <c r="AC239" s="1191"/>
      <c r="AD239" s="1191"/>
      <c r="AE239" s="1192"/>
      <c r="AF239" s="2536"/>
      <c r="AG239" s="2537"/>
      <c r="AH239" s="2537"/>
      <c r="AI239" s="2908"/>
      <c r="AJ239" s="2537"/>
      <c r="AK239" s="2537"/>
      <c r="AL239" s="1996"/>
      <c r="AM239" s="1833"/>
      <c r="AN239" s="1833"/>
      <c r="AO239" s="1833"/>
      <c r="AP239" s="1833"/>
      <c r="AQ239" s="1833"/>
      <c r="AR239" s="1833"/>
      <c r="AS239" s="1833"/>
      <c r="AT239" s="1833"/>
      <c r="AU239" s="1833"/>
      <c r="AV239" s="1833"/>
      <c r="AW239" s="1833"/>
      <c r="AX239" s="1833"/>
      <c r="AY239" s="1833"/>
      <c r="AZ239" s="1833"/>
      <c r="BA239" s="1833"/>
      <c r="BB239" s="1833"/>
      <c r="BC239" s="1833"/>
      <c r="BD239" s="1833"/>
      <c r="BE239" s="1833"/>
      <c r="BF239" s="1833"/>
      <c r="BG239" s="1646"/>
    </row>
    <row customHeight="1" ht="11.25">
      <c r="A240" s="1177" t="s">
        <v>1088</v>
      </c>
      <c r="B240" s="1177"/>
      <c r="C240" s="1177"/>
      <c r="D240" s="1171"/>
      <c r="E240" s="1181"/>
      <c r="F240" s="1839"/>
      <c r="G240" s="1840"/>
      <c r="H240" s="2545" t="s">
        <v>104</v>
      </c>
      <c r="I240" s="2546"/>
      <c r="J240" s="2515"/>
      <c r="K240" s="2547"/>
      <c r="L240" s="2137"/>
      <c r="M240" s="2138"/>
      <c r="N240" s="2538"/>
      <c r="O240" s="2539"/>
      <c r="P240" s="2541"/>
      <c r="Q240" s="2543"/>
      <c r="R240" s="2543"/>
      <c r="S240" s="2544"/>
      <c r="T240" s="2543"/>
      <c r="U240" s="2543"/>
      <c r="V240" s="2543"/>
      <c r="W240" s="2543"/>
      <c r="X240" s="2543"/>
      <c r="Y240" s="2543"/>
      <c r="Z240" s="1838"/>
      <c r="AA240" s="1804">
        <v>1</v>
      </c>
      <c r="AB240" s="1190" t="s">
        <v>1139</v>
      </c>
      <c r="AC240" s="1180">
        <v>1117.85</v>
      </c>
      <c r="AD240" s="1190" t="str">
        <f>AB240</f>
        <v>  За счет платы за технологическое присоединение</v>
      </c>
      <c r="AE240" s="1180">
        <v>0</v>
      </c>
      <c r="AF240" s="2536"/>
      <c r="AG240" s="2537"/>
      <c r="AH240" s="2537"/>
      <c r="AI240" s="2908"/>
      <c r="AJ240" s="2537"/>
      <c r="AK240" s="2537"/>
      <c r="AL240" s="1996"/>
      <c r="AM240" s="1833"/>
      <c r="AN240" s="1833"/>
      <c r="AO240" s="1833"/>
      <c r="AP240" s="1833"/>
      <c r="AQ240" s="1833"/>
      <c r="AR240" s="1833"/>
      <c r="AS240" s="1833"/>
      <c r="AT240" s="1833"/>
      <c r="AU240" s="1833"/>
      <c r="AV240" s="1833"/>
      <c r="AW240" s="1833"/>
      <c r="AX240" s="1833"/>
      <c r="AY240" s="1833"/>
      <c r="AZ240" s="1833"/>
      <c r="BA240" s="1833"/>
      <c r="BB240" s="1833"/>
      <c r="BC240" s="1833"/>
      <c r="BD240" s="1833"/>
      <c r="BE240" s="1833"/>
      <c r="BF240" s="1833"/>
      <c r="BG240" s="1646"/>
    </row>
    <row customHeight="1" ht="11.25">
      <c r="A241" s="1177" t="s">
        <v>1088</v>
      </c>
      <c r="B241" s="1177"/>
      <c r="C241" s="1177"/>
      <c r="D241" s="1171"/>
      <c r="E241" s="1181"/>
      <c r="F241" s="1839"/>
      <c r="G241" s="1840"/>
      <c r="H241" s="2545" t="s">
        <v>104</v>
      </c>
      <c r="I241" s="2546"/>
      <c r="J241" s="2515"/>
      <c r="K241" s="2547"/>
      <c r="L241" s="2137"/>
      <c r="M241" s="2138"/>
      <c r="N241" s="2538"/>
      <c r="O241" s="2539"/>
      <c r="P241" s="2542"/>
      <c r="Q241" s="2543"/>
      <c r="R241" s="2543"/>
      <c r="S241" s="2544"/>
      <c r="T241" s="2543"/>
      <c r="U241" s="2543"/>
      <c r="V241" s="2543"/>
      <c r="W241" s="2543"/>
      <c r="X241" s="2543"/>
      <c r="Y241" s="2543"/>
      <c r="Z241" s="1186"/>
      <c r="AA241" s="1187"/>
      <c r="AB241" s="1252" t="s">
        <v>1130</v>
      </c>
      <c r="AC241" s="1191"/>
      <c r="AD241" s="1191"/>
      <c r="AE241" s="1193"/>
      <c r="AF241" s="2536"/>
      <c r="AG241" s="2537"/>
      <c r="AH241" s="2537"/>
      <c r="AI241" s="2908"/>
      <c r="AJ241" s="2537"/>
      <c r="AK241" s="2537"/>
      <c r="AL241" s="1996"/>
      <c r="AM241" s="1833"/>
      <c r="AN241" s="1833"/>
      <c r="AO241" s="1833"/>
      <c r="AP241" s="1833"/>
      <c r="AQ241" s="1833"/>
      <c r="AR241" s="1833"/>
      <c r="AS241" s="1833"/>
      <c r="AT241" s="1833"/>
      <c r="AU241" s="1833"/>
      <c r="AV241" s="1833"/>
      <c r="AW241" s="1833"/>
      <c r="AX241" s="1833"/>
      <c r="AY241" s="1833"/>
      <c r="AZ241" s="1833"/>
      <c r="BA241" s="1833"/>
      <c r="BB241" s="1833"/>
      <c r="BC241" s="1833"/>
      <c r="BD241" s="1833"/>
      <c r="BE241" s="1833"/>
      <c r="BF241" s="1833"/>
      <c r="BG241" s="1646"/>
    </row>
    <row customHeight="1" ht="11.25">
      <c r="A242" s="1177" t="s">
        <v>1088</v>
      </c>
      <c r="B242" s="1177"/>
      <c r="C242" s="1177"/>
      <c r="D242" s="1171"/>
      <c r="E242" s="1181"/>
      <c r="F242" s="1839"/>
      <c r="G242" s="1840"/>
      <c r="H242" s="2545" t="s">
        <v>104</v>
      </c>
      <c r="I242" s="2546"/>
      <c r="J242" s="2515"/>
      <c r="K242" s="2547"/>
      <c r="L242" s="2137"/>
      <c r="M242" s="2138"/>
      <c r="N242" s="1186"/>
      <c r="O242" s="1187"/>
      <c r="P242" s="1179" t="s">
        <v>1131</v>
      </c>
      <c r="Q242" s="1187"/>
      <c r="R242" s="1187"/>
      <c r="S242" s="1187"/>
      <c r="T242" s="1187"/>
      <c r="U242" s="1187"/>
      <c r="V242" s="1187"/>
      <c r="W242" s="1187"/>
      <c r="X242" s="1187"/>
      <c r="Y242" s="1187"/>
      <c r="Z242" s="1187"/>
      <c r="AA242" s="1187"/>
      <c r="AB242" s="1187"/>
      <c r="AC242" s="1187"/>
      <c r="AD242" s="1187"/>
      <c r="AE242" s="1194"/>
      <c r="AF242" s="2536"/>
      <c r="AG242" s="2537"/>
      <c r="AH242" s="2537"/>
      <c r="AI242" s="2908"/>
      <c r="AJ242" s="2537"/>
      <c r="AK242" s="2537"/>
      <c r="AL242" s="1996"/>
      <c r="AM242" s="1833"/>
      <c r="AN242" s="1833"/>
      <c r="AO242" s="1833"/>
      <c r="AP242" s="1833"/>
      <c r="AQ242" s="1833"/>
      <c r="AR242" s="1833"/>
      <c r="AS242" s="1833"/>
      <c r="AT242" s="1833"/>
      <c r="AU242" s="1833"/>
      <c r="AV242" s="1833"/>
      <c r="AW242" s="1833"/>
      <c r="AX242" s="1833"/>
      <c r="AY242" s="1833"/>
      <c r="AZ242" s="1833"/>
      <c r="BA242" s="1833"/>
      <c r="BB242" s="1833"/>
      <c r="BC242" s="1833"/>
      <c r="BD242" s="1833"/>
      <c r="BE242" s="1833"/>
      <c r="BF242" s="1833"/>
      <c r="BG242" s="1646"/>
    </row>
    <row customHeight="1" ht="11.25">
      <c r="A243" s="1177" t="s">
        <v>1088</v>
      </c>
      <c r="B243" s="1177" t="s">
        <v>1133</v>
      </c>
      <c r="C243" s="1177"/>
      <c r="D243" s="1171"/>
      <c r="E243" s="1181"/>
      <c r="F243" s="1839"/>
      <c r="G243" s="694" t="s">
        <v>105</v>
      </c>
      <c r="H243" s="2545" t="s">
        <v>92</v>
      </c>
      <c r="I243" s="2546" t="s">
        <v>1134</v>
      </c>
      <c r="J243" s="2515" t="s">
        <v>1135</v>
      </c>
      <c r="K243" s="2547" t="s">
        <v>1225</v>
      </c>
      <c r="L243" s="2137" t="s">
        <v>19</v>
      </c>
      <c r="M243" s="2138"/>
      <c r="N243" s="1994"/>
      <c r="O243" s="1188" t="s">
        <v>390</v>
      </c>
      <c r="P243" s="1189"/>
      <c r="Q243" s="1189"/>
      <c r="R243" s="1189"/>
      <c r="S243" s="1189"/>
      <c r="T243" s="1189"/>
      <c r="U243" s="1189"/>
      <c r="V243" s="1189"/>
      <c r="W243" s="1189"/>
      <c r="X243" s="1189"/>
      <c r="Y243" s="1189"/>
      <c r="Z243" s="1189"/>
      <c r="AA243" s="1189"/>
      <c r="AB243" s="1189"/>
      <c r="AC243" s="1189"/>
      <c r="AD243" s="1189"/>
      <c r="AE243" s="1189"/>
      <c r="AF243" s="2536">
        <v>2026</v>
      </c>
      <c r="AG243" s="2537" t="s">
        <v>1122</v>
      </c>
      <c r="AH243" s="2537" t="s">
        <v>1169</v>
      </c>
      <c r="AI243" s="2908"/>
      <c r="AJ243" s="2537" t="s">
        <v>1154</v>
      </c>
      <c r="AK243" s="2537" t="s">
        <v>1154</v>
      </c>
      <c r="AL243" s="1996"/>
      <c r="AM243" s="1833"/>
      <c r="AN243" s="1833"/>
      <c r="AO243" s="1833"/>
      <c r="AP243" s="1833"/>
      <c r="AQ243" s="1833"/>
      <c r="AR243" s="1833"/>
      <c r="AS243" s="1833"/>
      <c r="AT243" s="1833"/>
      <c r="AU243" s="1833"/>
      <c r="AV243" s="1833"/>
      <c r="AW243" s="1833"/>
      <c r="AX243" s="1833"/>
      <c r="AY243" s="1833"/>
      <c r="AZ243" s="1833"/>
      <c r="BA243" s="1833"/>
      <c r="BB243" s="1833"/>
      <c r="BC243" s="1833"/>
      <c r="BD243" s="1833"/>
      <c r="BE243" s="1833"/>
      <c r="BF243" s="1833"/>
      <c r="BG243" s="1646"/>
    </row>
    <row customHeight="1" ht="11.25">
      <c r="A244" s="1177" t="s">
        <v>1088</v>
      </c>
      <c r="B244" s="1177"/>
      <c r="C244" s="1177"/>
      <c r="D244" s="1171"/>
      <c r="E244" s="1181"/>
      <c r="F244" s="1839"/>
      <c r="G244" s="1840"/>
      <c r="H244" s="2545" t="s">
        <v>91</v>
      </c>
      <c r="I244" s="2546"/>
      <c r="J244" s="2515"/>
      <c r="K244" s="2547"/>
      <c r="L244" s="2137"/>
      <c r="M244" s="2138"/>
      <c r="N244" s="2538"/>
      <c r="O244" s="2539">
        <v>1</v>
      </c>
      <c r="P244" s="2540" t="s">
        <v>19</v>
      </c>
      <c r="Q244" s="2543" t="s">
        <v>22</v>
      </c>
      <c r="R244" s="2543" t="s">
        <v>22</v>
      </c>
      <c r="S244" s="2543" t="s">
        <v>22</v>
      </c>
      <c r="T244" s="2543" t="s">
        <v>22</v>
      </c>
      <c r="U244" s="2543" t="s">
        <v>22</v>
      </c>
      <c r="V244" s="2543" t="s">
        <v>22</v>
      </c>
      <c r="W244" s="2543" t="s">
        <v>22</v>
      </c>
      <c r="X244" s="2543" t="s">
        <v>22</v>
      </c>
      <c r="Y244" s="2543"/>
      <c r="Z244" s="1186"/>
      <c r="AA244" s="1187"/>
      <c r="AB244" s="1187"/>
      <c r="AC244" s="1191"/>
      <c r="AD244" s="1191"/>
      <c r="AE244" s="1192"/>
      <c r="AF244" s="2536"/>
      <c r="AG244" s="2537"/>
      <c r="AH244" s="2537"/>
      <c r="AI244" s="2908"/>
      <c r="AJ244" s="2537"/>
      <c r="AK244" s="2537"/>
      <c r="AL244" s="1996"/>
      <c r="AM244" s="1833"/>
      <c r="AN244" s="1833"/>
      <c r="AO244" s="1833"/>
      <c r="AP244" s="1833"/>
      <c r="AQ244" s="1833"/>
      <c r="AR244" s="1833"/>
      <c r="AS244" s="1833"/>
      <c r="AT244" s="1833"/>
      <c r="AU244" s="1833"/>
      <c r="AV244" s="1833"/>
      <c r="AW244" s="1833"/>
      <c r="AX244" s="1833"/>
      <c r="AY244" s="1833"/>
      <c r="AZ244" s="1833"/>
      <c r="BA244" s="1833"/>
      <c r="BB244" s="1833"/>
      <c r="BC244" s="1833"/>
      <c r="BD244" s="1833"/>
      <c r="BE244" s="1833"/>
      <c r="BF244" s="1833"/>
      <c r="BG244" s="1646"/>
    </row>
    <row customHeight="1" ht="11.25">
      <c r="A245" s="1177" t="s">
        <v>1088</v>
      </c>
      <c r="B245" s="1177"/>
      <c r="C245" s="1177"/>
      <c r="D245" s="1171"/>
      <c r="E245" s="1181"/>
      <c r="F245" s="1839"/>
      <c r="G245" s="1840"/>
      <c r="H245" s="2545" t="s">
        <v>91</v>
      </c>
      <c r="I245" s="2546"/>
      <c r="J245" s="2515"/>
      <c r="K245" s="2547"/>
      <c r="L245" s="2137"/>
      <c r="M245" s="2138"/>
      <c r="N245" s="2538"/>
      <c r="O245" s="2539"/>
      <c r="P245" s="2541"/>
      <c r="Q245" s="2543"/>
      <c r="R245" s="2543"/>
      <c r="S245" s="2544"/>
      <c r="T245" s="2543"/>
      <c r="U245" s="2543"/>
      <c r="V245" s="2543"/>
      <c r="W245" s="2543"/>
      <c r="X245" s="2543"/>
      <c r="Y245" s="2543"/>
      <c r="Z245" s="1838"/>
      <c r="AA245" s="1804">
        <v>1</v>
      </c>
      <c r="AB245" s="1190" t="s">
        <v>1139</v>
      </c>
      <c r="AC245" s="1180">
        <v>13571.78</v>
      </c>
      <c r="AD245" s="1190" t="str">
        <f>AB245</f>
        <v>  За счет платы за технологическое присоединение</v>
      </c>
      <c r="AE245" s="1180">
        <v>0</v>
      </c>
      <c r="AF245" s="2536"/>
      <c r="AG245" s="2537"/>
      <c r="AH245" s="2537"/>
      <c r="AI245" s="2908"/>
      <c r="AJ245" s="2537"/>
      <c r="AK245" s="2537"/>
      <c r="AL245" s="1996"/>
      <c r="AM245" s="1833"/>
      <c r="AN245" s="1833"/>
      <c r="AO245" s="1833"/>
      <c r="AP245" s="1833"/>
      <c r="AQ245" s="1833"/>
      <c r="AR245" s="1833"/>
      <c r="AS245" s="1833"/>
      <c r="AT245" s="1833"/>
      <c r="AU245" s="1833"/>
      <c r="AV245" s="1833"/>
      <c r="AW245" s="1833"/>
      <c r="AX245" s="1833"/>
      <c r="AY245" s="1833"/>
      <c r="AZ245" s="1833"/>
      <c r="BA245" s="1833"/>
      <c r="BB245" s="1833"/>
      <c r="BC245" s="1833"/>
      <c r="BD245" s="1833"/>
      <c r="BE245" s="1833"/>
      <c r="BF245" s="1833"/>
      <c r="BG245" s="1646"/>
    </row>
    <row customHeight="1" ht="11.25">
      <c r="A246" s="1177" t="s">
        <v>1088</v>
      </c>
      <c r="B246" s="1177"/>
      <c r="C246" s="1177"/>
      <c r="D246" s="1171"/>
      <c r="E246" s="1181"/>
      <c r="F246" s="1839"/>
      <c r="G246" s="1840"/>
      <c r="H246" s="2545" t="s">
        <v>91</v>
      </c>
      <c r="I246" s="2546"/>
      <c r="J246" s="2515"/>
      <c r="K246" s="2547"/>
      <c r="L246" s="2137"/>
      <c r="M246" s="2138"/>
      <c r="N246" s="2538"/>
      <c r="O246" s="2539"/>
      <c r="P246" s="2542"/>
      <c r="Q246" s="2543"/>
      <c r="R246" s="2543"/>
      <c r="S246" s="2544"/>
      <c r="T246" s="2543"/>
      <c r="U246" s="2543"/>
      <c r="V246" s="2543"/>
      <c r="W246" s="2543"/>
      <c r="X246" s="2543"/>
      <c r="Y246" s="2543"/>
      <c r="Z246" s="1186"/>
      <c r="AA246" s="1187"/>
      <c r="AB246" s="1252" t="s">
        <v>1130</v>
      </c>
      <c r="AC246" s="1191"/>
      <c r="AD246" s="1191"/>
      <c r="AE246" s="1193"/>
      <c r="AF246" s="2536"/>
      <c r="AG246" s="2537"/>
      <c r="AH246" s="2537"/>
      <c r="AI246" s="2908"/>
      <c r="AJ246" s="2537"/>
      <c r="AK246" s="2537"/>
      <c r="AL246" s="1996"/>
      <c r="AM246" s="1833"/>
      <c r="AN246" s="1833"/>
      <c r="AO246" s="1833"/>
      <c r="AP246" s="1833"/>
      <c r="AQ246" s="1833"/>
      <c r="AR246" s="1833"/>
      <c r="AS246" s="1833"/>
      <c r="AT246" s="1833"/>
      <c r="AU246" s="1833"/>
      <c r="AV246" s="1833"/>
      <c r="AW246" s="1833"/>
      <c r="AX246" s="1833"/>
      <c r="AY246" s="1833"/>
      <c r="AZ246" s="1833"/>
      <c r="BA246" s="1833"/>
      <c r="BB246" s="1833"/>
      <c r="BC246" s="1833"/>
      <c r="BD246" s="1833"/>
      <c r="BE246" s="1833"/>
      <c r="BF246" s="1833"/>
      <c r="BG246" s="1646"/>
    </row>
    <row customHeight="1" ht="11.25">
      <c r="A247" s="1177" t="s">
        <v>1088</v>
      </c>
      <c r="B247" s="1177"/>
      <c r="C247" s="1177"/>
      <c r="D247" s="1171"/>
      <c r="E247" s="1181"/>
      <c r="F247" s="1839"/>
      <c r="G247" s="1840"/>
      <c r="H247" s="2545" t="s">
        <v>91</v>
      </c>
      <c r="I247" s="2546"/>
      <c r="J247" s="2515"/>
      <c r="K247" s="2547"/>
      <c r="L247" s="2137"/>
      <c r="M247" s="2138"/>
      <c r="N247" s="1186"/>
      <c r="O247" s="1187"/>
      <c r="P247" s="1179" t="s">
        <v>1131</v>
      </c>
      <c r="Q247" s="1187"/>
      <c r="R247" s="1187"/>
      <c r="S247" s="1187"/>
      <c r="T247" s="1187"/>
      <c r="U247" s="1187"/>
      <c r="V247" s="1187"/>
      <c r="W247" s="1187"/>
      <c r="X247" s="1187"/>
      <c r="Y247" s="1187"/>
      <c r="Z247" s="1187"/>
      <c r="AA247" s="1187"/>
      <c r="AB247" s="1187"/>
      <c r="AC247" s="1187"/>
      <c r="AD247" s="1187"/>
      <c r="AE247" s="1194"/>
      <c r="AF247" s="2536"/>
      <c r="AG247" s="2537"/>
      <c r="AH247" s="2537"/>
      <c r="AI247" s="2908"/>
      <c r="AJ247" s="2537"/>
      <c r="AK247" s="2537"/>
      <c r="AL247" s="1996"/>
      <c r="AM247" s="1833"/>
      <c r="AN247" s="1833"/>
      <c r="AO247" s="1833"/>
      <c r="AP247" s="1833"/>
      <c r="AQ247" s="1833"/>
      <c r="AR247" s="1833"/>
      <c r="AS247" s="1833"/>
      <c r="AT247" s="1833"/>
      <c r="AU247" s="1833"/>
      <c r="AV247" s="1833"/>
      <c r="AW247" s="1833"/>
      <c r="AX247" s="1833"/>
      <c r="AY247" s="1833"/>
      <c r="AZ247" s="1833"/>
      <c r="BA247" s="1833"/>
      <c r="BB247" s="1833"/>
      <c r="BC247" s="1833"/>
      <c r="BD247" s="1833"/>
      <c r="BE247" s="1833"/>
      <c r="BF247" s="1833"/>
      <c r="BG247" s="1646"/>
    </row>
    <row customHeight="1" ht="11.25">
      <c r="A248" s="1177" t="s">
        <v>1088</v>
      </c>
      <c r="B248" s="1177" t="s">
        <v>1133</v>
      </c>
      <c r="C248" s="1177"/>
      <c r="D248" s="1171"/>
      <c r="E248" s="1181"/>
      <c r="F248" s="1839"/>
      <c r="G248" s="694" t="s">
        <v>105</v>
      </c>
      <c r="H248" s="2545" t="s">
        <v>121</v>
      </c>
      <c r="I248" s="2546" t="s">
        <v>1134</v>
      </c>
      <c r="J248" s="2515" t="s">
        <v>1135</v>
      </c>
      <c r="K248" s="2547" t="s">
        <v>1226</v>
      </c>
      <c r="L248" s="2137" t="s">
        <v>19</v>
      </c>
      <c r="M248" s="2138"/>
      <c r="N248" s="1994"/>
      <c r="O248" s="1188" t="s">
        <v>390</v>
      </c>
      <c r="P248" s="1189"/>
      <c r="Q248" s="1189"/>
      <c r="R248" s="1189"/>
      <c r="S248" s="1189"/>
      <c r="T248" s="1189"/>
      <c r="U248" s="1189"/>
      <c r="V248" s="1189"/>
      <c r="W248" s="1189"/>
      <c r="X248" s="1189"/>
      <c r="Y248" s="1189"/>
      <c r="Z248" s="1189"/>
      <c r="AA248" s="1189"/>
      <c r="AB248" s="1189"/>
      <c r="AC248" s="1189"/>
      <c r="AD248" s="1189"/>
      <c r="AE248" s="1189"/>
      <c r="AF248" s="2536">
        <v>2026</v>
      </c>
      <c r="AG248" s="2537" t="s">
        <v>1122</v>
      </c>
      <c r="AH248" s="2537" t="s">
        <v>1169</v>
      </c>
      <c r="AI248" s="2908"/>
      <c r="AJ248" s="2537" t="s">
        <v>1154</v>
      </c>
      <c r="AK248" s="2537" t="s">
        <v>1154</v>
      </c>
      <c r="AL248" s="1996"/>
      <c r="AM248" s="1833"/>
      <c r="AN248" s="1833"/>
      <c r="AO248" s="1833"/>
      <c r="AP248" s="1833"/>
      <c r="AQ248" s="1833"/>
      <c r="AR248" s="1833"/>
      <c r="AS248" s="1833"/>
      <c r="AT248" s="1833"/>
      <c r="AU248" s="1833"/>
      <c r="AV248" s="1833"/>
      <c r="AW248" s="1833"/>
      <c r="AX248" s="1833"/>
      <c r="AY248" s="1833"/>
      <c r="AZ248" s="1833"/>
      <c r="BA248" s="1833"/>
      <c r="BB248" s="1833"/>
      <c r="BC248" s="1833"/>
      <c r="BD248" s="1833"/>
      <c r="BE248" s="1833"/>
      <c r="BF248" s="1833"/>
      <c r="BG248" s="1646"/>
    </row>
    <row customHeight="1" ht="11.25">
      <c r="A249" s="1177" t="s">
        <v>1088</v>
      </c>
      <c r="B249" s="1177"/>
      <c r="C249" s="1177"/>
      <c r="D249" s="1171"/>
      <c r="E249" s="1181"/>
      <c r="F249" s="1839"/>
      <c r="G249" s="1840"/>
      <c r="H249" s="2545" t="s">
        <v>92</v>
      </c>
      <c r="I249" s="2546"/>
      <c r="J249" s="2515"/>
      <c r="K249" s="2547"/>
      <c r="L249" s="2137"/>
      <c r="M249" s="2138"/>
      <c r="N249" s="2538"/>
      <c r="O249" s="2539">
        <v>1</v>
      </c>
      <c r="P249" s="2540" t="s">
        <v>19</v>
      </c>
      <c r="Q249" s="2543" t="s">
        <v>22</v>
      </c>
      <c r="R249" s="2543" t="s">
        <v>22</v>
      </c>
      <c r="S249" s="2543" t="s">
        <v>22</v>
      </c>
      <c r="T249" s="2543" t="s">
        <v>22</v>
      </c>
      <c r="U249" s="2543" t="s">
        <v>22</v>
      </c>
      <c r="V249" s="2543" t="s">
        <v>22</v>
      </c>
      <c r="W249" s="2543" t="s">
        <v>22</v>
      </c>
      <c r="X249" s="2543" t="s">
        <v>22</v>
      </c>
      <c r="Y249" s="2543"/>
      <c r="Z249" s="1186"/>
      <c r="AA249" s="1187"/>
      <c r="AB249" s="1187"/>
      <c r="AC249" s="1191"/>
      <c r="AD249" s="1191"/>
      <c r="AE249" s="1192"/>
      <c r="AF249" s="2536"/>
      <c r="AG249" s="2537"/>
      <c r="AH249" s="2537"/>
      <c r="AI249" s="2908"/>
      <c r="AJ249" s="2537"/>
      <c r="AK249" s="2537"/>
      <c r="AL249" s="1996"/>
      <c r="AM249" s="1833"/>
      <c r="AN249" s="1833"/>
      <c r="AO249" s="1833"/>
      <c r="AP249" s="1833"/>
      <c r="AQ249" s="1833"/>
      <c r="AR249" s="1833"/>
      <c r="AS249" s="1833"/>
      <c r="AT249" s="1833"/>
      <c r="AU249" s="1833"/>
      <c r="AV249" s="1833"/>
      <c r="AW249" s="1833"/>
      <c r="AX249" s="1833"/>
      <c r="AY249" s="1833"/>
      <c r="AZ249" s="1833"/>
      <c r="BA249" s="1833"/>
      <c r="BB249" s="1833"/>
      <c r="BC249" s="1833"/>
      <c r="BD249" s="1833"/>
      <c r="BE249" s="1833"/>
      <c r="BF249" s="1833"/>
      <c r="BG249" s="1646"/>
    </row>
    <row customHeight="1" ht="11.25">
      <c r="A250" s="1177" t="s">
        <v>1088</v>
      </c>
      <c r="B250" s="1177"/>
      <c r="C250" s="1177"/>
      <c r="D250" s="1171"/>
      <c r="E250" s="1181"/>
      <c r="F250" s="1839"/>
      <c r="G250" s="1840"/>
      <c r="H250" s="2545" t="s">
        <v>92</v>
      </c>
      <c r="I250" s="2546"/>
      <c r="J250" s="2515"/>
      <c r="K250" s="2547"/>
      <c r="L250" s="2137"/>
      <c r="M250" s="2138"/>
      <c r="N250" s="2538"/>
      <c r="O250" s="2539"/>
      <c r="P250" s="2541"/>
      <c r="Q250" s="2543"/>
      <c r="R250" s="2543"/>
      <c r="S250" s="2544"/>
      <c r="T250" s="2543"/>
      <c r="U250" s="2543"/>
      <c r="V250" s="2543"/>
      <c r="W250" s="2543"/>
      <c r="X250" s="2543"/>
      <c r="Y250" s="2543"/>
      <c r="Z250" s="1838"/>
      <c r="AA250" s="1804">
        <v>1</v>
      </c>
      <c r="AB250" s="1190" t="s">
        <v>1139</v>
      </c>
      <c r="AC250" s="1180">
        <v>884.12</v>
      </c>
      <c r="AD250" s="1190" t="str">
        <f>AB250</f>
        <v>  За счет платы за технологическое присоединение</v>
      </c>
      <c r="AE250" s="1180">
        <v>0</v>
      </c>
      <c r="AF250" s="2536"/>
      <c r="AG250" s="2537"/>
      <c r="AH250" s="2537"/>
      <c r="AI250" s="2908"/>
      <c r="AJ250" s="2537"/>
      <c r="AK250" s="2537"/>
      <c r="AL250" s="1996"/>
      <c r="AM250" s="1833"/>
      <c r="AN250" s="1833"/>
      <c r="AO250" s="1833"/>
      <c r="AP250" s="1833"/>
      <c r="AQ250" s="1833"/>
      <c r="AR250" s="1833"/>
      <c r="AS250" s="1833"/>
      <c r="AT250" s="1833"/>
      <c r="AU250" s="1833"/>
      <c r="AV250" s="1833"/>
      <c r="AW250" s="1833"/>
      <c r="AX250" s="1833"/>
      <c r="AY250" s="1833"/>
      <c r="AZ250" s="1833"/>
      <c r="BA250" s="1833"/>
      <c r="BB250" s="1833"/>
      <c r="BC250" s="1833"/>
      <c r="BD250" s="1833"/>
      <c r="BE250" s="1833"/>
      <c r="BF250" s="1833"/>
      <c r="BG250" s="1646"/>
    </row>
    <row customHeight="1" ht="11.25">
      <c r="A251" s="1177" t="s">
        <v>1088</v>
      </c>
      <c r="B251" s="1177"/>
      <c r="C251" s="1177"/>
      <c r="D251" s="1171"/>
      <c r="E251" s="1181"/>
      <c r="F251" s="1839"/>
      <c r="G251" s="1840"/>
      <c r="H251" s="2545" t="s">
        <v>92</v>
      </c>
      <c r="I251" s="2546"/>
      <c r="J251" s="2515"/>
      <c r="K251" s="2547"/>
      <c r="L251" s="2137"/>
      <c r="M251" s="2138"/>
      <c r="N251" s="2538"/>
      <c r="O251" s="2539"/>
      <c r="P251" s="2542"/>
      <c r="Q251" s="2543"/>
      <c r="R251" s="2543"/>
      <c r="S251" s="2544"/>
      <c r="T251" s="2543"/>
      <c r="U251" s="2543"/>
      <c r="V251" s="2543"/>
      <c r="W251" s="2543"/>
      <c r="X251" s="2543"/>
      <c r="Y251" s="2543"/>
      <c r="Z251" s="1186"/>
      <c r="AA251" s="1187"/>
      <c r="AB251" s="1252" t="s">
        <v>1130</v>
      </c>
      <c r="AC251" s="1191"/>
      <c r="AD251" s="1191"/>
      <c r="AE251" s="1193"/>
      <c r="AF251" s="2536"/>
      <c r="AG251" s="2537"/>
      <c r="AH251" s="2537"/>
      <c r="AI251" s="2908"/>
      <c r="AJ251" s="2537"/>
      <c r="AK251" s="2537"/>
      <c r="AL251" s="1996"/>
      <c r="AM251" s="1833"/>
      <c r="AN251" s="1833"/>
      <c r="AO251" s="1833"/>
      <c r="AP251" s="1833"/>
      <c r="AQ251" s="1833"/>
      <c r="AR251" s="1833"/>
      <c r="AS251" s="1833"/>
      <c r="AT251" s="1833"/>
      <c r="AU251" s="1833"/>
      <c r="AV251" s="1833"/>
      <c r="AW251" s="1833"/>
      <c r="AX251" s="1833"/>
      <c r="AY251" s="1833"/>
      <c r="AZ251" s="1833"/>
      <c r="BA251" s="1833"/>
      <c r="BB251" s="1833"/>
      <c r="BC251" s="1833"/>
      <c r="BD251" s="1833"/>
      <c r="BE251" s="1833"/>
      <c r="BF251" s="1833"/>
      <c r="BG251" s="1646"/>
    </row>
    <row customHeight="1" ht="11.25">
      <c r="A252" s="1177" t="s">
        <v>1088</v>
      </c>
      <c r="B252" s="1177"/>
      <c r="C252" s="1177"/>
      <c r="D252" s="1171"/>
      <c r="E252" s="1181"/>
      <c r="F252" s="1839"/>
      <c r="G252" s="1840"/>
      <c r="H252" s="2545" t="s">
        <v>92</v>
      </c>
      <c r="I252" s="2546"/>
      <c r="J252" s="2515"/>
      <c r="K252" s="2547"/>
      <c r="L252" s="2137"/>
      <c r="M252" s="2138"/>
      <c r="N252" s="1186"/>
      <c r="O252" s="1187"/>
      <c r="P252" s="1179" t="s">
        <v>1131</v>
      </c>
      <c r="Q252" s="1187"/>
      <c r="R252" s="1187"/>
      <c r="S252" s="1187"/>
      <c r="T252" s="1187"/>
      <c r="U252" s="1187"/>
      <c r="V252" s="1187"/>
      <c r="W252" s="1187"/>
      <c r="X252" s="1187"/>
      <c r="Y252" s="1187"/>
      <c r="Z252" s="1187"/>
      <c r="AA252" s="1187"/>
      <c r="AB252" s="1187"/>
      <c r="AC252" s="1187"/>
      <c r="AD252" s="1187"/>
      <c r="AE252" s="1194"/>
      <c r="AF252" s="2536"/>
      <c r="AG252" s="2537"/>
      <c r="AH252" s="2537"/>
      <c r="AI252" s="2908"/>
      <c r="AJ252" s="2537"/>
      <c r="AK252" s="2537"/>
      <c r="AL252" s="1996"/>
      <c r="AM252" s="1833"/>
      <c r="AN252" s="1833"/>
      <c r="AO252" s="1833"/>
      <c r="AP252" s="1833"/>
      <c r="AQ252" s="1833"/>
      <c r="AR252" s="1833"/>
      <c r="AS252" s="1833"/>
      <c r="AT252" s="1833"/>
      <c r="AU252" s="1833"/>
      <c r="AV252" s="1833"/>
      <c r="AW252" s="1833"/>
      <c r="AX252" s="1833"/>
      <c r="AY252" s="1833"/>
      <c r="AZ252" s="1833"/>
      <c r="BA252" s="1833"/>
      <c r="BB252" s="1833"/>
      <c r="BC252" s="1833"/>
      <c r="BD252" s="1833"/>
      <c r="BE252" s="1833"/>
      <c r="BF252" s="1833"/>
      <c r="BG252" s="1646"/>
    </row>
    <row customHeight="1" ht="11.25">
      <c r="A253" s="1177" t="s">
        <v>1088</v>
      </c>
      <c r="B253" s="1177" t="s">
        <v>1133</v>
      </c>
      <c r="C253" s="1177"/>
      <c r="D253" s="1171"/>
      <c r="E253" s="1181"/>
      <c r="F253" s="1839"/>
      <c r="G253" s="694" t="s">
        <v>105</v>
      </c>
      <c r="H253" s="2545" t="s">
        <v>93</v>
      </c>
      <c r="I253" s="2546" t="s">
        <v>1134</v>
      </c>
      <c r="J253" s="2515" t="s">
        <v>1135</v>
      </c>
      <c r="K253" s="2547" t="s">
        <v>1227</v>
      </c>
      <c r="L253" s="2137" t="s">
        <v>19</v>
      </c>
      <c r="M253" s="2138"/>
      <c r="N253" s="1994"/>
      <c r="O253" s="1188" t="s">
        <v>390</v>
      </c>
      <c r="P253" s="1189"/>
      <c r="Q253" s="1189"/>
      <c r="R253" s="1189"/>
      <c r="S253" s="1189"/>
      <c r="T253" s="1189"/>
      <c r="U253" s="1189"/>
      <c r="V253" s="1189"/>
      <c r="W253" s="1189"/>
      <c r="X253" s="1189"/>
      <c r="Y253" s="1189"/>
      <c r="Z253" s="1189"/>
      <c r="AA253" s="1189"/>
      <c r="AB253" s="1189"/>
      <c r="AC253" s="1189"/>
      <c r="AD253" s="1189"/>
      <c r="AE253" s="1189"/>
      <c r="AF253" s="2536">
        <v>2026</v>
      </c>
      <c r="AG253" s="2537" t="s">
        <v>1122</v>
      </c>
      <c r="AH253" s="2537" t="s">
        <v>1169</v>
      </c>
      <c r="AI253" s="2908"/>
      <c r="AJ253" s="2537" t="s">
        <v>1154</v>
      </c>
      <c r="AK253" s="2537" t="s">
        <v>1154</v>
      </c>
      <c r="AL253" s="1996"/>
      <c r="AM253" s="1833"/>
      <c r="AN253" s="1833"/>
      <c r="AO253" s="1833"/>
      <c r="AP253" s="1833"/>
      <c r="AQ253" s="1833"/>
      <c r="AR253" s="1833"/>
      <c r="AS253" s="1833"/>
      <c r="AT253" s="1833"/>
      <c r="AU253" s="1833"/>
      <c r="AV253" s="1833"/>
      <c r="AW253" s="1833"/>
      <c r="AX253" s="1833"/>
      <c r="AY253" s="1833"/>
      <c r="AZ253" s="1833"/>
      <c r="BA253" s="1833"/>
      <c r="BB253" s="1833"/>
      <c r="BC253" s="1833"/>
      <c r="BD253" s="1833"/>
      <c r="BE253" s="1833"/>
      <c r="BF253" s="1833"/>
      <c r="BG253" s="1646"/>
    </row>
    <row customHeight="1" ht="11.25">
      <c r="A254" s="1177" t="s">
        <v>1088</v>
      </c>
      <c r="B254" s="1177"/>
      <c r="C254" s="1177"/>
      <c r="D254" s="1171"/>
      <c r="E254" s="1181"/>
      <c r="F254" s="1839"/>
      <c r="G254" s="1840"/>
      <c r="H254" s="2545" t="s">
        <v>121</v>
      </c>
      <c r="I254" s="2546"/>
      <c r="J254" s="2515"/>
      <c r="K254" s="2547"/>
      <c r="L254" s="2137"/>
      <c r="M254" s="2138"/>
      <c r="N254" s="2538"/>
      <c r="O254" s="2539">
        <v>1</v>
      </c>
      <c r="P254" s="2540" t="s">
        <v>19</v>
      </c>
      <c r="Q254" s="2543" t="s">
        <v>22</v>
      </c>
      <c r="R254" s="2543" t="s">
        <v>22</v>
      </c>
      <c r="S254" s="2543" t="s">
        <v>22</v>
      </c>
      <c r="T254" s="2543" t="s">
        <v>22</v>
      </c>
      <c r="U254" s="2543" t="s">
        <v>22</v>
      </c>
      <c r="V254" s="2543" t="s">
        <v>22</v>
      </c>
      <c r="W254" s="2543" t="s">
        <v>22</v>
      </c>
      <c r="X254" s="2543" t="s">
        <v>22</v>
      </c>
      <c r="Y254" s="2543"/>
      <c r="Z254" s="1186"/>
      <c r="AA254" s="1187"/>
      <c r="AB254" s="1187"/>
      <c r="AC254" s="1191"/>
      <c r="AD254" s="1191"/>
      <c r="AE254" s="1192"/>
      <c r="AF254" s="2536"/>
      <c r="AG254" s="2537"/>
      <c r="AH254" s="2537"/>
      <c r="AI254" s="2908"/>
      <c r="AJ254" s="2537"/>
      <c r="AK254" s="2537"/>
      <c r="AL254" s="1996"/>
      <c r="AM254" s="1833"/>
      <c r="AN254" s="1833"/>
      <c r="AO254" s="1833"/>
      <c r="AP254" s="1833"/>
      <c r="AQ254" s="1833"/>
      <c r="AR254" s="1833"/>
      <c r="AS254" s="1833"/>
      <c r="AT254" s="1833"/>
      <c r="AU254" s="1833"/>
      <c r="AV254" s="1833"/>
      <c r="AW254" s="1833"/>
      <c r="AX254" s="1833"/>
      <c r="AY254" s="1833"/>
      <c r="AZ254" s="1833"/>
      <c r="BA254" s="1833"/>
      <c r="BB254" s="1833"/>
      <c r="BC254" s="1833"/>
      <c r="BD254" s="1833"/>
      <c r="BE254" s="1833"/>
      <c r="BF254" s="1833"/>
      <c r="BG254" s="1646"/>
    </row>
    <row customHeight="1" ht="11.25">
      <c r="A255" s="1177" t="s">
        <v>1088</v>
      </c>
      <c r="B255" s="1177"/>
      <c r="C255" s="1177"/>
      <c r="D255" s="1171"/>
      <c r="E255" s="1181"/>
      <c r="F255" s="1839"/>
      <c r="G255" s="1840"/>
      <c r="H255" s="2545" t="s">
        <v>121</v>
      </c>
      <c r="I255" s="2546"/>
      <c r="J255" s="2515"/>
      <c r="K255" s="2547"/>
      <c r="L255" s="2137"/>
      <c r="M255" s="2138"/>
      <c r="N255" s="2538"/>
      <c r="O255" s="2539"/>
      <c r="P255" s="2541"/>
      <c r="Q255" s="2543"/>
      <c r="R255" s="2543"/>
      <c r="S255" s="2544"/>
      <c r="T255" s="2543"/>
      <c r="U255" s="2543"/>
      <c r="V255" s="2543"/>
      <c r="W255" s="2543"/>
      <c r="X255" s="2543"/>
      <c r="Y255" s="2543"/>
      <c r="Z255" s="1838"/>
      <c r="AA255" s="1804">
        <v>1</v>
      </c>
      <c r="AB255" s="1190" t="s">
        <v>1139</v>
      </c>
      <c r="AC255" s="1180">
        <v>11387.83</v>
      </c>
      <c r="AD255" s="1190" t="str">
        <f>AB255</f>
        <v>  За счет платы за технологическое присоединение</v>
      </c>
      <c r="AE255" s="1180">
        <v>0</v>
      </c>
      <c r="AF255" s="2536"/>
      <c r="AG255" s="2537"/>
      <c r="AH255" s="2537"/>
      <c r="AI255" s="2908"/>
      <c r="AJ255" s="2537"/>
      <c r="AK255" s="2537"/>
      <c r="AL255" s="1996"/>
      <c r="AM255" s="1833"/>
      <c r="AN255" s="1833"/>
      <c r="AO255" s="1833"/>
      <c r="AP255" s="1833"/>
      <c r="AQ255" s="1833"/>
      <c r="AR255" s="1833"/>
      <c r="AS255" s="1833"/>
      <c r="AT255" s="1833"/>
      <c r="AU255" s="1833"/>
      <c r="AV255" s="1833"/>
      <c r="AW255" s="1833"/>
      <c r="AX255" s="1833"/>
      <c r="AY255" s="1833"/>
      <c r="AZ255" s="1833"/>
      <c r="BA255" s="1833"/>
      <c r="BB255" s="1833"/>
      <c r="BC255" s="1833"/>
      <c r="BD255" s="1833"/>
      <c r="BE255" s="1833"/>
      <c r="BF255" s="1833"/>
      <c r="BG255" s="1646"/>
    </row>
    <row customHeight="1" ht="11.25">
      <c r="A256" s="1177" t="s">
        <v>1088</v>
      </c>
      <c r="B256" s="1177"/>
      <c r="C256" s="1177"/>
      <c r="D256" s="1171"/>
      <c r="E256" s="1181"/>
      <c r="F256" s="1839"/>
      <c r="G256" s="1840"/>
      <c r="H256" s="2545" t="s">
        <v>121</v>
      </c>
      <c r="I256" s="2546"/>
      <c r="J256" s="2515"/>
      <c r="K256" s="2547"/>
      <c r="L256" s="2137"/>
      <c r="M256" s="2138"/>
      <c r="N256" s="2538"/>
      <c r="O256" s="2539"/>
      <c r="P256" s="2542"/>
      <c r="Q256" s="2543"/>
      <c r="R256" s="2543"/>
      <c r="S256" s="2544"/>
      <c r="T256" s="2543"/>
      <c r="U256" s="2543"/>
      <c r="V256" s="2543"/>
      <c r="W256" s="2543"/>
      <c r="X256" s="2543"/>
      <c r="Y256" s="2543"/>
      <c r="Z256" s="1186"/>
      <c r="AA256" s="1187"/>
      <c r="AB256" s="1252" t="s">
        <v>1130</v>
      </c>
      <c r="AC256" s="1191"/>
      <c r="AD256" s="1191"/>
      <c r="AE256" s="1193"/>
      <c r="AF256" s="2536"/>
      <c r="AG256" s="2537"/>
      <c r="AH256" s="2537"/>
      <c r="AI256" s="2908"/>
      <c r="AJ256" s="2537"/>
      <c r="AK256" s="2537"/>
      <c r="AL256" s="1996"/>
      <c r="AM256" s="1833"/>
      <c r="AN256" s="1833"/>
      <c r="AO256" s="1833"/>
      <c r="AP256" s="1833"/>
      <c r="AQ256" s="1833"/>
      <c r="AR256" s="1833"/>
      <c r="AS256" s="1833"/>
      <c r="AT256" s="1833"/>
      <c r="AU256" s="1833"/>
      <c r="AV256" s="1833"/>
      <c r="AW256" s="1833"/>
      <c r="AX256" s="1833"/>
      <c r="AY256" s="1833"/>
      <c r="AZ256" s="1833"/>
      <c r="BA256" s="1833"/>
      <c r="BB256" s="1833"/>
      <c r="BC256" s="1833"/>
      <c r="BD256" s="1833"/>
      <c r="BE256" s="1833"/>
      <c r="BF256" s="1833"/>
      <c r="BG256" s="1646"/>
    </row>
    <row customHeight="1" ht="11.25">
      <c r="A257" s="1177" t="s">
        <v>1088</v>
      </c>
      <c r="B257" s="1177"/>
      <c r="C257" s="1177"/>
      <c r="D257" s="1171"/>
      <c r="E257" s="1181"/>
      <c r="F257" s="1839"/>
      <c r="G257" s="1840"/>
      <c r="H257" s="2545" t="s">
        <v>121</v>
      </c>
      <c r="I257" s="2546"/>
      <c r="J257" s="2515"/>
      <c r="K257" s="2547"/>
      <c r="L257" s="2137"/>
      <c r="M257" s="2138"/>
      <c r="N257" s="1186"/>
      <c r="O257" s="1187"/>
      <c r="P257" s="1179" t="s">
        <v>1131</v>
      </c>
      <c r="Q257" s="1187"/>
      <c r="R257" s="1187"/>
      <c r="S257" s="1187"/>
      <c r="T257" s="1187"/>
      <c r="U257" s="1187"/>
      <c r="V257" s="1187"/>
      <c r="W257" s="1187"/>
      <c r="X257" s="1187"/>
      <c r="Y257" s="1187"/>
      <c r="Z257" s="1187"/>
      <c r="AA257" s="1187"/>
      <c r="AB257" s="1187"/>
      <c r="AC257" s="1187"/>
      <c r="AD257" s="1187"/>
      <c r="AE257" s="1194"/>
      <c r="AF257" s="2536"/>
      <c r="AG257" s="2537"/>
      <c r="AH257" s="2537"/>
      <c r="AI257" s="2908"/>
      <c r="AJ257" s="2537"/>
      <c r="AK257" s="2537"/>
      <c r="AL257" s="1996"/>
      <c r="AM257" s="1833"/>
      <c r="AN257" s="1833"/>
      <c r="AO257" s="1833"/>
      <c r="AP257" s="1833"/>
      <c r="AQ257" s="1833"/>
      <c r="AR257" s="1833"/>
      <c r="AS257" s="1833"/>
      <c r="AT257" s="1833"/>
      <c r="AU257" s="1833"/>
      <c r="AV257" s="1833"/>
      <c r="AW257" s="1833"/>
      <c r="AX257" s="1833"/>
      <c r="AY257" s="1833"/>
      <c r="AZ257" s="1833"/>
      <c r="BA257" s="1833"/>
      <c r="BB257" s="1833"/>
      <c r="BC257" s="1833"/>
      <c r="BD257" s="1833"/>
      <c r="BE257" s="1833"/>
      <c r="BF257" s="1833"/>
      <c r="BG257" s="1646"/>
    </row>
    <row customHeight="1" ht="11.25">
      <c r="A258" s="1177" t="s">
        <v>1088</v>
      </c>
      <c r="B258" s="1177" t="s">
        <v>1133</v>
      </c>
      <c r="C258" s="1177"/>
      <c r="D258" s="1171"/>
      <c r="E258" s="1181"/>
      <c r="F258" s="1839"/>
      <c r="G258" s="694" t="s">
        <v>105</v>
      </c>
      <c r="H258" s="2545" t="s">
        <v>94</v>
      </c>
      <c r="I258" s="2546" t="s">
        <v>1134</v>
      </c>
      <c r="J258" s="2515" t="s">
        <v>1135</v>
      </c>
      <c r="K258" s="2547" t="s">
        <v>1228</v>
      </c>
      <c r="L258" s="2137" t="s">
        <v>19</v>
      </c>
      <c r="M258" s="2138"/>
      <c r="N258" s="1994"/>
      <c r="O258" s="1188" t="s">
        <v>390</v>
      </c>
      <c r="P258" s="1189"/>
      <c r="Q258" s="1189"/>
      <c r="R258" s="1189"/>
      <c r="S258" s="1189"/>
      <c r="T258" s="1189"/>
      <c r="U258" s="1189"/>
      <c r="V258" s="1189"/>
      <c r="W258" s="1189"/>
      <c r="X258" s="1189"/>
      <c r="Y258" s="1189"/>
      <c r="Z258" s="1189"/>
      <c r="AA258" s="1189"/>
      <c r="AB258" s="1189"/>
      <c r="AC258" s="1189"/>
      <c r="AD258" s="1189"/>
      <c r="AE258" s="1189"/>
      <c r="AF258" s="2536">
        <v>2026</v>
      </c>
      <c r="AG258" s="2537" t="s">
        <v>1122</v>
      </c>
      <c r="AH258" s="2537" t="s">
        <v>1169</v>
      </c>
      <c r="AI258" s="2908"/>
      <c r="AJ258" s="2537" t="s">
        <v>1154</v>
      </c>
      <c r="AK258" s="2537" t="s">
        <v>1154</v>
      </c>
      <c r="AL258" s="1996"/>
      <c r="AM258" s="1833"/>
      <c r="AN258" s="1833"/>
      <c r="AO258" s="1833"/>
      <c r="AP258" s="1833"/>
      <c r="AQ258" s="1833"/>
      <c r="AR258" s="1833"/>
      <c r="AS258" s="1833"/>
      <c r="AT258" s="1833"/>
      <c r="AU258" s="1833"/>
      <c r="AV258" s="1833"/>
      <c r="AW258" s="1833"/>
      <c r="AX258" s="1833"/>
      <c r="AY258" s="1833"/>
      <c r="AZ258" s="1833"/>
      <c r="BA258" s="1833"/>
      <c r="BB258" s="1833"/>
      <c r="BC258" s="1833"/>
      <c r="BD258" s="1833"/>
      <c r="BE258" s="1833"/>
      <c r="BF258" s="1833"/>
      <c r="BG258" s="1646"/>
    </row>
    <row customHeight="1" ht="11.25">
      <c r="A259" s="1177" t="s">
        <v>1088</v>
      </c>
      <c r="B259" s="1177"/>
      <c r="C259" s="1177"/>
      <c r="D259" s="1171"/>
      <c r="E259" s="1181"/>
      <c r="F259" s="1839"/>
      <c r="G259" s="1840"/>
      <c r="H259" s="2545" t="s">
        <v>93</v>
      </c>
      <c r="I259" s="2546"/>
      <c r="J259" s="2515"/>
      <c r="K259" s="2547"/>
      <c r="L259" s="2137"/>
      <c r="M259" s="2138"/>
      <c r="N259" s="2538"/>
      <c r="O259" s="2539">
        <v>1</v>
      </c>
      <c r="P259" s="2540" t="s">
        <v>19</v>
      </c>
      <c r="Q259" s="2543" t="s">
        <v>22</v>
      </c>
      <c r="R259" s="2543" t="s">
        <v>22</v>
      </c>
      <c r="S259" s="2543" t="s">
        <v>22</v>
      </c>
      <c r="T259" s="2543" t="s">
        <v>22</v>
      </c>
      <c r="U259" s="2543" t="s">
        <v>22</v>
      </c>
      <c r="V259" s="2543" t="s">
        <v>22</v>
      </c>
      <c r="W259" s="2543" t="s">
        <v>22</v>
      </c>
      <c r="X259" s="2543" t="s">
        <v>22</v>
      </c>
      <c r="Y259" s="2543"/>
      <c r="Z259" s="1186"/>
      <c r="AA259" s="1187"/>
      <c r="AB259" s="1187"/>
      <c r="AC259" s="1191"/>
      <c r="AD259" s="1191"/>
      <c r="AE259" s="1192"/>
      <c r="AF259" s="2536"/>
      <c r="AG259" s="2537"/>
      <c r="AH259" s="2537"/>
      <c r="AI259" s="2908"/>
      <c r="AJ259" s="2537"/>
      <c r="AK259" s="2537"/>
      <c r="AL259" s="1996"/>
      <c r="AM259" s="1833"/>
      <c r="AN259" s="1833"/>
      <c r="AO259" s="1833"/>
      <c r="AP259" s="1833"/>
      <c r="AQ259" s="1833"/>
      <c r="AR259" s="1833"/>
      <c r="AS259" s="1833"/>
      <c r="AT259" s="1833"/>
      <c r="AU259" s="1833"/>
      <c r="AV259" s="1833"/>
      <c r="AW259" s="1833"/>
      <c r="AX259" s="1833"/>
      <c r="AY259" s="1833"/>
      <c r="AZ259" s="1833"/>
      <c r="BA259" s="1833"/>
      <c r="BB259" s="1833"/>
      <c r="BC259" s="1833"/>
      <c r="BD259" s="1833"/>
      <c r="BE259" s="1833"/>
      <c r="BF259" s="1833"/>
      <c r="BG259" s="1646"/>
    </row>
    <row customHeight="1" ht="11.25">
      <c r="A260" s="1177" t="s">
        <v>1088</v>
      </c>
      <c r="B260" s="1177"/>
      <c r="C260" s="1177"/>
      <c r="D260" s="1171"/>
      <c r="E260" s="1181"/>
      <c r="F260" s="1839"/>
      <c r="G260" s="1840"/>
      <c r="H260" s="2545" t="s">
        <v>93</v>
      </c>
      <c r="I260" s="2546"/>
      <c r="J260" s="2515"/>
      <c r="K260" s="2547"/>
      <c r="L260" s="2137"/>
      <c r="M260" s="2138"/>
      <c r="N260" s="2538"/>
      <c r="O260" s="2539"/>
      <c r="P260" s="2541"/>
      <c r="Q260" s="2543"/>
      <c r="R260" s="2543"/>
      <c r="S260" s="2544"/>
      <c r="T260" s="2543"/>
      <c r="U260" s="2543"/>
      <c r="V260" s="2543"/>
      <c r="W260" s="2543"/>
      <c r="X260" s="2543"/>
      <c r="Y260" s="2543"/>
      <c r="Z260" s="1838"/>
      <c r="AA260" s="1804">
        <v>1</v>
      </c>
      <c r="AB260" s="1190" t="s">
        <v>1139</v>
      </c>
      <c r="AC260" s="1180">
        <v>2043.47</v>
      </c>
      <c r="AD260" s="1190" t="str">
        <f>AB260</f>
        <v>  За счет платы за технологическое присоединение</v>
      </c>
      <c r="AE260" s="1180">
        <v>0</v>
      </c>
      <c r="AF260" s="2536"/>
      <c r="AG260" s="2537"/>
      <c r="AH260" s="2537"/>
      <c r="AI260" s="2908"/>
      <c r="AJ260" s="2537"/>
      <c r="AK260" s="2537"/>
      <c r="AL260" s="1996"/>
      <c r="AM260" s="1833"/>
      <c r="AN260" s="1833"/>
      <c r="AO260" s="1833"/>
      <c r="AP260" s="1833"/>
      <c r="AQ260" s="1833"/>
      <c r="AR260" s="1833"/>
      <c r="AS260" s="1833"/>
      <c r="AT260" s="1833"/>
      <c r="AU260" s="1833"/>
      <c r="AV260" s="1833"/>
      <c r="AW260" s="1833"/>
      <c r="AX260" s="1833"/>
      <c r="AY260" s="1833"/>
      <c r="AZ260" s="1833"/>
      <c r="BA260" s="1833"/>
      <c r="BB260" s="1833"/>
      <c r="BC260" s="1833"/>
      <c r="BD260" s="1833"/>
      <c r="BE260" s="1833"/>
      <c r="BF260" s="1833"/>
      <c r="BG260" s="1646"/>
    </row>
    <row customHeight="1" ht="11.25">
      <c r="A261" s="1177" t="s">
        <v>1088</v>
      </c>
      <c r="B261" s="1177"/>
      <c r="C261" s="1177"/>
      <c r="D261" s="1171"/>
      <c r="E261" s="1181"/>
      <c r="F261" s="1839"/>
      <c r="G261" s="1840"/>
      <c r="H261" s="2545" t="s">
        <v>93</v>
      </c>
      <c r="I261" s="2546"/>
      <c r="J261" s="2515"/>
      <c r="K261" s="2547"/>
      <c r="L261" s="2137"/>
      <c r="M261" s="2138"/>
      <c r="N261" s="2538"/>
      <c r="O261" s="2539"/>
      <c r="P261" s="2542"/>
      <c r="Q261" s="2543"/>
      <c r="R261" s="2543"/>
      <c r="S261" s="2544"/>
      <c r="T261" s="2543"/>
      <c r="U261" s="2543"/>
      <c r="V261" s="2543"/>
      <c r="W261" s="2543"/>
      <c r="X261" s="2543"/>
      <c r="Y261" s="2543"/>
      <c r="Z261" s="1186"/>
      <c r="AA261" s="1187"/>
      <c r="AB261" s="1252" t="s">
        <v>1130</v>
      </c>
      <c r="AC261" s="1191"/>
      <c r="AD261" s="1191"/>
      <c r="AE261" s="1193"/>
      <c r="AF261" s="2536"/>
      <c r="AG261" s="2537"/>
      <c r="AH261" s="2537"/>
      <c r="AI261" s="2908"/>
      <c r="AJ261" s="2537"/>
      <c r="AK261" s="2537"/>
      <c r="AL261" s="1996"/>
      <c r="AM261" s="1833"/>
      <c r="AN261" s="1833"/>
      <c r="AO261" s="1833"/>
      <c r="AP261" s="1833"/>
      <c r="AQ261" s="1833"/>
      <c r="AR261" s="1833"/>
      <c r="AS261" s="1833"/>
      <c r="AT261" s="1833"/>
      <c r="AU261" s="1833"/>
      <c r="AV261" s="1833"/>
      <c r="AW261" s="1833"/>
      <c r="AX261" s="1833"/>
      <c r="AY261" s="1833"/>
      <c r="AZ261" s="1833"/>
      <c r="BA261" s="1833"/>
      <c r="BB261" s="1833"/>
      <c r="BC261" s="1833"/>
      <c r="BD261" s="1833"/>
      <c r="BE261" s="1833"/>
      <c r="BF261" s="1833"/>
      <c r="BG261" s="1646"/>
    </row>
    <row customHeight="1" ht="11.25">
      <c r="A262" s="1177" t="s">
        <v>1088</v>
      </c>
      <c r="B262" s="1177"/>
      <c r="C262" s="1177"/>
      <c r="D262" s="1171"/>
      <c r="E262" s="1181"/>
      <c r="F262" s="1839"/>
      <c r="G262" s="1840"/>
      <c r="H262" s="2545" t="s">
        <v>93</v>
      </c>
      <c r="I262" s="2546"/>
      <c r="J262" s="2515"/>
      <c r="K262" s="2547"/>
      <c r="L262" s="2137"/>
      <c r="M262" s="2138"/>
      <c r="N262" s="1186"/>
      <c r="O262" s="1187"/>
      <c r="P262" s="1179" t="s">
        <v>1131</v>
      </c>
      <c r="Q262" s="1187"/>
      <c r="R262" s="1187"/>
      <c r="S262" s="1187"/>
      <c r="T262" s="1187"/>
      <c r="U262" s="1187"/>
      <c r="V262" s="1187"/>
      <c r="W262" s="1187"/>
      <c r="X262" s="1187"/>
      <c r="Y262" s="1187"/>
      <c r="Z262" s="1187"/>
      <c r="AA262" s="1187"/>
      <c r="AB262" s="1187"/>
      <c r="AC262" s="1187"/>
      <c r="AD262" s="1187"/>
      <c r="AE262" s="1194"/>
      <c r="AF262" s="2536"/>
      <c r="AG262" s="2537"/>
      <c r="AH262" s="2537"/>
      <c r="AI262" s="2908"/>
      <c r="AJ262" s="2537"/>
      <c r="AK262" s="2537"/>
      <c r="AL262" s="1996"/>
      <c r="AM262" s="1833"/>
      <c r="AN262" s="1833"/>
      <c r="AO262" s="1833"/>
      <c r="AP262" s="1833"/>
      <c r="AQ262" s="1833"/>
      <c r="AR262" s="1833"/>
      <c r="AS262" s="1833"/>
      <c r="AT262" s="1833"/>
      <c r="AU262" s="1833"/>
      <c r="AV262" s="1833"/>
      <c r="AW262" s="1833"/>
      <c r="AX262" s="1833"/>
      <c r="AY262" s="1833"/>
      <c r="AZ262" s="1833"/>
      <c r="BA262" s="1833"/>
      <c r="BB262" s="1833"/>
      <c r="BC262" s="1833"/>
      <c r="BD262" s="1833"/>
      <c r="BE262" s="1833"/>
      <c r="BF262" s="1833"/>
      <c r="BG262" s="1646"/>
    </row>
    <row customHeight="1" ht="11.25">
      <c r="A263" s="1177" t="s">
        <v>1088</v>
      </c>
      <c r="B263" s="1177" t="s">
        <v>1133</v>
      </c>
      <c r="C263" s="1177"/>
      <c r="D263" s="1171"/>
      <c r="E263" s="1181"/>
      <c r="F263" s="1839"/>
      <c r="G263" s="694" t="s">
        <v>105</v>
      </c>
      <c r="H263" s="2545" t="s">
        <v>122</v>
      </c>
      <c r="I263" s="2546" t="s">
        <v>1134</v>
      </c>
      <c r="J263" s="2515" t="s">
        <v>1135</v>
      </c>
      <c r="K263" s="2547" t="s">
        <v>1229</v>
      </c>
      <c r="L263" s="2137" t="s">
        <v>19</v>
      </c>
      <c r="M263" s="2138"/>
      <c r="N263" s="1994"/>
      <c r="O263" s="1188" t="s">
        <v>390</v>
      </c>
      <c r="P263" s="1189"/>
      <c r="Q263" s="1189"/>
      <c r="R263" s="1189"/>
      <c r="S263" s="1189"/>
      <c r="T263" s="1189"/>
      <c r="U263" s="1189"/>
      <c r="V263" s="1189"/>
      <c r="W263" s="1189"/>
      <c r="X263" s="1189"/>
      <c r="Y263" s="1189"/>
      <c r="Z263" s="1189"/>
      <c r="AA263" s="1189"/>
      <c r="AB263" s="1189"/>
      <c r="AC263" s="1189"/>
      <c r="AD263" s="1189"/>
      <c r="AE263" s="1189"/>
      <c r="AF263" s="2536">
        <v>2026</v>
      </c>
      <c r="AG263" s="2537" t="s">
        <v>1122</v>
      </c>
      <c r="AH263" s="2537" t="s">
        <v>1169</v>
      </c>
      <c r="AI263" s="2908"/>
      <c r="AJ263" s="2537" t="s">
        <v>1154</v>
      </c>
      <c r="AK263" s="2537" t="s">
        <v>1154</v>
      </c>
      <c r="AL263" s="1996"/>
      <c r="AM263" s="1833"/>
      <c r="AN263" s="1833"/>
      <c r="AO263" s="1833"/>
      <c r="AP263" s="1833"/>
      <c r="AQ263" s="1833"/>
      <c r="AR263" s="1833"/>
      <c r="AS263" s="1833"/>
      <c r="AT263" s="1833"/>
      <c r="AU263" s="1833"/>
      <c r="AV263" s="1833"/>
      <c r="AW263" s="1833"/>
      <c r="AX263" s="1833"/>
      <c r="AY263" s="1833"/>
      <c r="AZ263" s="1833"/>
      <c r="BA263" s="1833"/>
      <c r="BB263" s="1833"/>
      <c r="BC263" s="1833"/>
      <c r="BD263" s="1833"/>
      <c r="BE263" s="1833"/>
      <c r="BF263" s="1833"/>
      <c r="BG263" s="1646"/>
    </row>
    <row customHeight="1" ht="11.25">
      <c r="A264" s="1177" t="s">
        <v>1088</v>
      </c>
      <c r="B264" s="1177"/>
      <c r="C264" s="1177"/>
      <c r="D264" s="1171"/>
      <c r="E264" s="1181"/>
      <c r="F264" s="1839"/>
      <c r="G264" s="1840"/>
      <c r="H264" s="2545" t="s">
        <v>94</v>
      </c>
      <c r="I264" s="2546"/>
      <c r="J264" s="2515"/>
      <c r="K264" s="2547"/>
      <c r="L264" s="2137"/>
      <c r="M264" s="2138"/>
      <c r="N264" s="2538"/>
      <c r="O264" s="2539">
        <v>1</v>
      </c>
      <c r="P264" s="2540" t="s">
        <v>19</v>
      </c>
      <c r="Q264" s="2543" t="s">
        <v>22</v>
      </c>
      <c r="R264" s="2543" t="s">
        <v>22</v>
      </c>
      <c r="S264" s="2543" t="s">
        <v>22</v>
      </c>
      <c r="T264" s="2543" t="s">
        <v>22</v>
      </c>
      <c r="U264" s="2543" t="s">
        <v>22</v>
      </c>
      <c r="V264" s="2543" t="s">
        <v>22</v>
      </c>
      <c r="W264" s="2543" t="s">
        <v>22</v>
      </c>
      <c r="X264" s="2543" t="s">
        <v>22</v>
      </c>
      <c r="Y264" s="2543"/>
      <c r="Z264" s="1186"/>
      <c r="AA264" s="1187"/>
      <c r="AB264" s="1187"/>
      <c r="AC264" s="1191"/>
      <c r="AD264" s="1191"/>
      <c r="AE264" s="1192"/>
      <c r="AF264" s="2536"/>
      <c r="AG264" s="2537"/>
      <c r="AH264" s="2537"/>
      <c r="AI264" s="2908"/>
      <c r="AJ264" s="2537"/>
      <c r="AK264" s="2537"/>
      <c r="AL264" s="1996"/>
      <c r="AM264" s="1833"/>
      <c r="AN264" s="1833"/>
      <c r="AO264" s="1833"/>
      <c r="AP264" s="1833"/>
      <c r="AQ264" s="1833"/>
      <c r="AR264" s="1833"/>
      <c r="AS264" s="1833"/>
      <c r="AT264" s="1833"/>
      <c r="AU264" s="1833"/>
      <c r="AV264" s="1833"/>
      <c r="AW264" s="1833"/>
      <c r="AX264" s="1833"/>
      <c r="AY264" s="1833"/>
      <c r="AZ264" s="1833"/>
      <c r="BA264" s="1833"/>
      <c r="BB264" s="1833"/>
      <c r="BC264" s="1833"/>
      <c r="BD264" s="1833"/>
      <c r="BE264" s="1833"/>
      <c r="BF264" s="1833"/>
      <c r="BG264" s="1646"/>
    </row>
    <row customHeight="1" ht="11.25">
      <c r="A265" s="1177" t="s">
        <v>1088</v>
      </c>
      <c r="B265" s="1177"/>
      <c r="C265" s="1177"/>
      <c r="D265" s="1171"/>
      <c r="E265" s="1181"/>
      <c r="F265" s="1839"/>
      <c r="G265" s="1840"/>
      <c r="H265" s="2545" t="s">
        <v>94</v>
      </c>
      <c r="I265" s="2546"/>
      <c r="J265" s="2515"/>
      <c r="K265" s="2547"/>
      <c r="L265" s="2137"/>
      <c r="M265" s="2138"/>
      <c r="N265" s="2538"/>
      <c r="O265" s="2539"/>
      <c r="P265" s="2541"/>
      <c r="Q265" s="2543"/>
      <c r="R265" s="2543"/>
      <c r="S265" s="2544"/>
      <c r="T265" s="2543"/>
      <c r="U265" s="2543"/>
      <c r="V265" s="2543"/>
      <c r="W265" s="2543"/>
      <c r="X265" s="2543"/>
      <c r="Y265" s="2543"/>
      <c r="Z265" s="1838"/>
      <c r="AA265" s="1804">
        <v>1</v>
      </c>
      <c r="AB265" s="1190" t="s">
        <v>1139</v>
      </c>
      <c r="AC265" s="1180">
        <v>1592.13</v>
      </c>
      <c r="AD265" s="1190" t="str">
        <f>AB265</f>
        <v>  За счет платы за технологическое присоединение</v>
      </c>
      <c r="AE265" s="1180">
        <v>0</v>
      </c>
      <c r="AF265" s="2536"/>
      <c r="AG265" s="2537"/>
      <c r="AH265" s="2537"/>
      <c r="AI265" s="2908"/>
      <c r="AJ265" s="2537"/>
      <c r="AK265" s="2537"/>
      <c r="AL265" s="1996"/>
      <c r="AM265" s="1833"/>
      <c r="AN265" s="1833"/>
      <c r="AO265" s="1833"/>
      <c r="AP265" s="1833"/>
      <c r="AQ265" s="1833"/>
      <c r="AR265" s="1833"/>
      <c r="AS265" s="1833"/>
      <c r="AT265" s="1833"/>
      <c r="AU265" s="1833"/>
      <c r="AV265" s="1833"/>
      <c r="AW265" s="1833"/>
      <c r="AX265" s="1833"/>
      <c r="AY265" s="1833"/>
      <c r="AZ265" s="1833"/>
      <c r="BA265" s="1833"/>
      <c r="BB265" s="1833"/>
      <c r="BC265" s="1833"/>
      <c r="BD265" s="1833"/>
      <c r="BE265" s="1833"/>
      <c r="BF265" s="1833"/>
      <c r="BG265" s="1646"/>
    </row>
    <row customHeight="1" ht="11.25">
      <c r="A266" s="1177" t="s">
        <v>1088</v>
      </c>
      <c r="B266" s="1177"/>
      <c r="C266" s="1177"/>
      <c r="D266" s="1171"/>
      <c r="E266" s="1181"/>
      <c r="F266" s="1839"/>
      <c r="G266" s="1840"/>
      <c r="H266" s="2545" t="s">
        <v>94</v>
      </c>
      <c r="I266" s="2546"/>
      <c r="J266" s="2515"/>
      <c r="K266" s="2547"/>
      <c r="L266" s="2137"/>
      <c r="M266" s="2138"/>
      <c r="N266" s="2538"/>
      <c r="O266" s="2539"/>
      <c r="P266" s="2542"/>
      <c r="Q266" s="2543"/>
      <c r="R266" s="2543"/>
      <c r="S266" s="2544"/>
      <c r="T266" s="2543"/>
      <c r="U266" s="2543"/>
      <c r="V266" s="2543"/>
      <c r="W266" s="2543"/>
      <c r="X266" s="2543"/>
      <c r="Y266" s="2543"/>
      <c r="Z266" s="1186"/>
      <c r="AA266" s="1187"/>
      <c r="AB266" s="1252" t="s">
        <v>1130</v>
      </c>
      <c r="AC266" s="1191"/>
      <c r="AD266" s="1191"/>
      <c r="AE266" s="1193"/>
      <c r="AF266" s="2536"/>
      <c r="AG266" s="2537"/>
      <c r="AH266" s="2537"/>
      <c r="AI266" s="2908"/>
      <c r="AJ266" s="2537"/>
      <c r="AK266" s="2537"/>
      <c r="AL266" s="1996"/>
      <c r="AM266" s="1833"/>
      <c r="AN266" s="1833"/>
      <c r="AO266" s="1833"/>
      <c r="AP266" s="1833"/>
      <c r="AQ266" s="1833"/>
      <c r="AR266" s="1833"/>
      <c r="AS266" s="1833"/>
      <c r="AT266" s="1833"/>
      <c r="AU266" s="1833"/>
      <c r="AV266" s="1833"/>
      <c r="AW266" s="1833"/>
      <c r="AX266" s="1833"/>
      <c r="AY266" s="1833"/>
      <c r="AZ266" s="1833"/>
      <c r="BA266" s="1833"/>
      <c r="BB266" s="1833"/>
      <c r="BC266" s="1833"/>
      <c r="BD266" s="1833"/>
      <c r="BE266" s="1833"/>
      <c r="BF266" s="1833"/>
      <c r="BG266" s="1646"/>
    </row>
    <row customHeight="1" ht="11.25">
      <c r="A267" s="1177" t="s">
        <v>1088</v>
      </c>
      <c r="B267" s="1177"/>
      <c r="C267" s="1177"/>
      <c r="D267" s="1171"/>
      <c r="E267" s="1181"/>
      <c r="F267" s="1839"/>
      <c r="G267" s="1840"/>
      <c r="H267" s="2545" t="s">
        <v>94</v>
      </c>
      <c r="I267" s="2546"/>
      <c r="J267" s="2515"/>
      <c r="K267" s="2547"/>
      <c r="L267" s="2137"/>
      <c r="M267" s="2138"/>
      <c r="N267" s="1186"/>
      <c r="O267" s="1187"/>
      <c r="P267" s="1179" t="s">
        <v>1131</v>
      </c>
      <c r="Q267" s="1187"/>
      <c r="R267" s="1187"/>
      <c r="S267" s="1187"/>
      <c r="T267" s="1187"/>
      <c r="U267" s="1187"/>
      <c r="V267" s="1187"/>
      <c r="W267" s="1187"/>
      <c r="X267" s="1187"/>
      <c r="Y267" s="1187"/>
      <c r="Z267" s="1187"/>
      <c r="AA267" s="1187"/>
      <c r="AB267" s="1187"/>
      <c r="AC267" s="1187"/>
      <c r="AD267" s="1187"/>
      <c r="AE267" s="1194"/>
      <c r="AF267" s="2536"/>
      <c r="AG267" s="2537"/>
      <c r="AH267" s="2537"/>
      <c r="AI267" s="2908"/>
      <c r="AJ267" s="2537"/>
      <c r="AK267" s="2537"/>
      <c r="AL267" s="1996"/>
      <c r="AM267" s="1833"/>
      <c r="AN267" s="1833"/>
      <c r="AO267" s="1833"/>
      <c r="AP267" s="1833"/>
      <c r="AQ267" s="1833"/>
      <c r="AR267" s="1833"/>
      <c r="AS267" s="1833"/>
      <c r="AT267" s="1833"/>
      <c r="AU267" s="1833"/>
      <c r="AV267" s="1833"/>
      <c r="AW267" s="1833"/>
      <c r="AX267" s="1833"/>
      <c r="AY267" s="1833"/>
      <c r="AZ267" s="1833"/>
      <c r="BA267" s="1833"/>
      <c r="BB267" s="1833"/>
      <c r="BC267" s="1833"/>
      <c r="BD267" s="1833"/>
      <c r="BE267" s="1833"/>
      <c r="BF267" s="1833"/>
      <c r="BG267" s="1646"/>
    </row>
    <row customHeight="1" ht="11.25">
      <c r="A268" s="1177" t="s">
        <v>1088</v>
      </c>
      <c r="B268" s="1177" t="s">
        <v>1133</v>
      </c>
      <c r="C268" s="1177"/>
      <c r="D268" s="1171"/>
      <c r="E268" s="1181"/>
      <c r="F268" s="1839"/>
      <c r="G268" s="694" t="s">
        <v>105</v>
      </c>
      <c r="H268" s="2545" t="s">
        <v>164</v>
      </c>
      <c r="I268" s="2546" t="s">
        <v>1134</v>
      </c>
      <c r="J268" s="2515" t="s">
        <v>1135</v>
      </c>
      <c r="K268" s="2547" t="s">
        <v>1230</v>
      </c>
      <c r="L268" s="2137" t="s">
        <v>19</v>
      </c>
      <c r="M268" s="2138"/>
      <c r="N268" s="1994"/>
      <c r="O268" s="1188" t="s">
        <v>390</v>
      </c>
      <c r="P268" s="1189"/>
      <c r="Q268" s="1189"/>
      <c r="R268" s="1189"/>
      <c r="S268" s="1189"/>
      <c r="T268" s="1189"/>
      <c r="U268" s="1189"/>
      <c r="V268" s="1189"/>
      <c r="W268" s="1189"/>
      <c r="X268" s="1189"/>
      <c r="Y268" s="1189"/>
      <c r="Z268" s="1189"/>
      <c r="AA268" s="1189"/>
      <c r="AB268" s="1189"/>
      <c r="AC268" s="1189"/>
      <c r="AD268" s="1189"/>
      <c r="AE268" s="1189"/>
      <c r="AF268" s="2536">
        <v>2026</v>
      </c>
      <c r="AG268" s="2537" t="s">
        <v>1122</v>
      </c>
      <c r="AH268" s="2537" t="s">
        <v>1169</v>
      </c>
      <c r="AI268" s="2908"/>
      <c r="AJ268" s="2537" t="s">
        <v>1154</v>
      </c>
      <c r="AK268" s="2537" t="s">
        <v>1154</v>
      </c>
      <c r="AL268" s="1996"/>
      <c r="AM268" s="1833"/>
      <c r="AN268" s="1833"/>
      <c r="AO268" s="1833"/>
      <c r="AP268" s="1833"/>
      <c r="AQ268" s="1833"/>
      <c r="AR268" s="1833"/>
      <c r="AS268" s="1833"/>
      <c r="AT268" s="1833"/>
      <c r="AU268" s="1833"/>
      <c r="AV268" s="1833"/>
      <c r="AW268" s="1833"/>
      <c r="AX268" s="1833"/>
      <c r="AY268" s="1833"/>
      <c r="AZ268" s="1833"/>
      <c r="BA268" s="1833"/>
      <c r="BB268" s="1833"/>
      <c r="BC268" s="1833"/>
      <c r="BD268" s="1833"/>
      <c r="BE268" s="1833"/>
      <c r="BF268" s="1833"/>
      <c r="BG268" s="1646"/>
    </row>
    <row customHeight="1" ht="11.25">
      <c r="A269" s="1177" t="s">
        <v>1088</v>
      </c>
      <c r="B269" s="1177"/>
      <c r="C269" s="1177"/>
      <c r="D269" s="1171"/>
      <c r="E269" s="1181"/>
      <c r="F269" s="1839"/>
      <c r="G269" s="1840"/>
      <c r="H269" s="2545" t="s">
        <v>122</v>
      </c>
      <c r="I269" s="2546"/>
      <c r="J269" s="2515"/>
      <c r="K269" s="2547"/>
      <c r="L269" s="2137"/>
      <c r="M269" s="2138"/>
      <c r="N269" s="2538"/>
      <c r="O269" s="2539">
        <v>1</v>
      </c>
      <c r="P269" s="2540" t="s">
        <v>19</v>
      </c>
      <c r="Q269" s="2543" t="s">
        <v>22</v>
      </c>
      <c r="R269" s="2543" t="s">
        <v>22</v>
      </c>
      <c r="S269" s="2543" t="s">
        <v>22</v>
      </c>
      <c r="T269" s="2543" t="s">
        <v>22</v>
      </c>
      <c r="U269" s="2543" t="s">
        <v>22</v>
      </c>
      <c r="V269" s="2543" t="s">
        <v>22</v>
      </c>
      <c r="W269" s="2543" t="s">
        <v>22</v>
      </c>
      <c r="X269" s="2543" t="s">
        <v>22</v>
      </c>
      <c r="Y269" s="2543"/>
      <c r="Z269" s="1186"/>
      <c r="AA269" s="1187"/>
      <c r="AB269" s="1187"/>
      <c r="AC269" s="1191"/>
      <c r="AD269" s="1191"/>
      <c r="AE269" s="1192"/>
      <c r="AF269" s="2536"/>
      <c r="AG269" s="2537"/>
      <c r="AH269" s="2537"/>
      <c r="AI269" s="2908"/>
      <c r="AJ269" s="2537"/>
      <c r="AK269" s="2537"/>
      <c r="AL269" s="1996"/>
      <c r="AM269" s="1833"/>
      <c r="AN269" s="1833"/>
      <c r="AO269" s="1833"/>
      <c r="AP269" s="1833"/>
      <c r="AQ269" s="1833"/>
      <c r="AR269" s="1833"/>
      <c r="AS269" s="1833"/>
      <c r="AT269" s="1833"/>
      <c r="AU269" s="1833"/>
      <c r="AV269" s="1833"/>
      <c r="AW269" s="1833"/>
      <c r="AX269" s="1833"/>
      <c r="AY269" s="1833"/>
      <c r="AZ269" s="1833"/>
      <c r="BA269" s="1833"/>
      <c r="BB269" s="1833"/>
      <c r="BC269" s="1833"/>
      <c r="BD269" s="1833"/>
      <c r="BE269" s="1833"/>
      <c r="BF269" s="1833"/>
      <c r="BG269" s="1646"/>
    </row>
    <row customHeight="1" ht="11.25">
      <c r="A270" s="1177" t="s">
        <v>1088</v>
      </c>
      <c r="B270" s="1177"/>
      <c r="C270" s="1177"/>
      <c r="D270" s="1171"/>
      <c r="E270" s="1181"/>
      <c r="F270" s="1839"/>
      <c r="G270" s="1840"/>
      <c r="H270" s="2545" t="s">
        <v>122</v>
      </c>
      <c r="I270" s="2546"/>
      <c r="J270" s="2515"/>
      <c r="K270" s="2547"/>
      <c r="L270" s="2137"/>
      <c r="M270" s="2138"/>
      <c r="N270" s="2538"/>
      <c r="O270" s="2539"/>
      <c r="P270" s="2541"/>
      <c r="Q270" s="2543"/>
      <c r="R270" s="2543"/>
      <c r="S270" s="2544"/>
      <c r="T270" s="2543"/>
      <c r="U270" s="2543"/>
      <c r="V270" s="2543"/>
      <c r="W270" s="2543"/>
      <c r="X270" s="2543"/>
      <c r="Y270" s="2543"/>
      <c r="Z270" s="1838"/>
      <c r="AA270" s="1804">
        <v>1</v>
      </c>
      <c r="AB270" s="1190" t="s">
        <v>1139</v>
      </c>
      <c r="AC270" s="1180">
        <v>218.287</v>
      </c>
      <c r="AD270" s="1190" t="str">
        <f>AB270</f>
        <v>  За счет платы за технологическое присоединение</v>
      </c>
      <c r="AE270" s="1180">
        <v>0</v>
      </c>
      <c r="AF270" s="2536"/>
      <c r="AG270" s="2537"/>
      <c r="AH270" s="2537"/>
      <c r="AI270" s="2908"/>
      <c r="AJ270" s="2537"/>
      <c r="AK270" s="2537"/>
      <c r="AL270" s="1996"/>
      <c r="AM270" s="1833"/>
      <c r="AN270" s="1833"/>
      <c r="AO270" s="1833"/>
      <c r="AP270" s="1833"/>
      <c r="AQ270" s="1833"/>
      <c r="AR270" s="1833"/>
      <c r="AS270" s="1833"/>
      <c r="AT270" s="1833"/>
      <c r="AU270" s="1833"/>
      <c r="AV270" s="1833"/>
      <c r="AW270" s="1833"/>
      <c r="AX270" s="1833"/>
      <c r="AY270" s="1833"/>
      <c r="AZ270" s="1833"/>
      <c r="BA270" s="1833"/>
      <c r="BB270" s="1833"/>
      <c r="BC270" s="1833"/>
      <c r="BD270" s="1833"/>
      <c r="BE270" s="1833"/>
      <c r="BF270" s="1833"/>
      <c r="BG270" s="1646"/>
    </row>
    <row customHeight="1" ht="11.25">
      <c r="A271" s="1177" t="s">
        <v>1088</v>
      </c>
      <c r="B271" s="1177"/>
      <c r="C271" s="1177"/>
      <c r="D271" s="1171"/>
      <c r="E271" s="1181"/>
      <c r="F271" s="1839"/>
      <c r="G271" s="1840"/>
      <c r="H271" s="2545" t="s">
        <v>122</v>
      </c>
      <c r="I271" s="2546"/>
      <c r="J271" s="2515"/>
      <c r="K271" s="2547"/>
      <c r="L271" s="2137"/>
      <c r="M271" s="2138"/>
      <c r="N271" s="2538"/>
      <c r="O271" s="2539"/>
      <c r="P271" s="2542"/>
      <c r="Q271" s="2543"/>
      <c r="R271" s="2543"/>
      <c r="S271" s="2544"/>
      <c r="T271" s="2543"/>
      <c r="U271" s="2543"/>
      <c r="V271" s="2543"/>
      <c r="W271" s="2543"/>
      <c r="X271" s="2543"/>
      <c r="Y271" s="2543"/>
      <c r="Z271" s="1186"/>
      <c r="AA271" s="1187"/>
      <c r="AB271" s="1252" t="s">
        <v>1130</v>
      </c>
      <c r="AC271" s="1191"/>
      <c r="AD271" s="1191"/>
      <c r="AE271" s="1193"/>
      <c r="AF271" s="2536"/>
      <c r="AG271" s="2537"/>
      <c r="AH271" s="2537"/>
      <c r="AI271" s="2908"/>
      <c r="AJ271" s="2537"/>
      <c r="AK271" s="2537"/>
      <c r="AL271" s="1996"/>
      <c r="AM271" s="1833"/>
      <c r="AN271" s="1833"/>
      <c r="AO271" s="1833"/>
      <c r="AP271" s="1833"/>
      <c r="AQ271" s="1833"/>
      <c r="AR271" s="1833"/>
      <c r="AS271" s="1833"/>
      <c r="AT271" s="1833"/>
      <c r="AU271" s="1833"/>
      <c r="AV271" s="1833"/>
      <c r="AW271" s="1833"/>
      <c r="AX271" s="1833"/>
      <c r="AY271" s="1833"/>
      <c r="AZ271" s="1833"/>
      <c r="BA271" s="1833"/>
      <c r="BB271" s="1833"/>
      <c r="BC271" s="1833"/>
      <c r="BD271" s="1833"/>
      <c r="BE271" s="1833"/>
      <c r="BF271" s="1833"/>
      <c r="BG271" s="1646"/>
    </row>
    <row customHeight="1" ht="11.25">
      <c r="A272" s="1177" t="s">
        <v>1088</v>
      </c>
      <c r="B272" s="1177"/>
      <c r="C272" s="1177"/>
      <c r="D272" s="1171"/>
      <c r="E272" s="1181"/>
      <c r="F272" s="1839"/>
      <c r="G272" s="1840"/>
      <c r="H272" s="2545" t="s">
        <v>122</v>
      </c>
      <c r="I272" s="2546"/>
      <c r="J272" s="2515"/>
      <c r="K272" s="2547"/>
      <c r="L272" s="2137"/>
      <c r="M272" s="2138"/>
      <c r="N272" s="1186"/>
      <c r="O272" s="1187"/>
      <c r="P272" s="1179" t="s">
        <v>1131</v>
      </c>
      <c r="Q272" s="1187"/>
      <c r="R272" s="1187"/>
      <c r="S272" s="1187"/>
      <c r="T272" s="1187"/>
      <c r="U272" s="1187"/>
      <c r="V272" s="1187"/>
      <c r="W272" s="1187"/>
      <c r="X272" s="1187"/>
      <c r="Y272" s="1187"/>
      <c r="Z272" s="1187"/>
      <c r="AA272" s="1187"/>
      <c r="AB272" s="1187"/>
      <c r="AC272" s="1187"/>
      <c r="AD272" s="1187"/>
      <c r="AE272" s="1194"/>
      <c r="AF272" s="2536"/>
      <c r="AG272" s="2537"/>
      <c r="AH272" s="2537"/>
      <c r="AI272" s="2908"/>
      <c r="AJ272" s="2537"/>
      <c r="AK272" s="2537"/>
      <c r="AL272" s="1996"/>
      <c r="AM272" s="1833"/>
      <c r="AN272" s="1833"/>
      <c r="AO272" s="1833"/>
      <c r="AP272" s="1833"/>
      <c r="AQ272" s="1833"/>
      <c r="AR272" s="1833"/>
      <c r="AS272" s="1833"/>
      <c r="AT272" s="1833"/>
      <c r="AU272" s="1833"/>
      <c r="AV272" s="1833"/>
      <c r="AW272" s="1833"/>
      <c r="AX272" s="1833"/>
      <c r="AY272" s="1833"/>
      <c r="AZ272" s="1833"/>
      <c r="BA272" s="1833"/>
      <c r="BB272" s="1833"/>
      <c r="BC272" s="1833"/>
      <c r="BD272" s="1833"/>
      <c r="BE272" s="1833"/>
      <c r="BF272" s="1833"/>
      <c r="BG272" s="1646"/>
    </row>
    <row customHeight="1" ht="11.25">
      <c r="A273" s="1177" t="s">
        <v>1088</v>
      </c>
      <c r="B273" s="1177" t="s">
        <v>1133</v>
      </c>
      <c r="C273" s="1177"/>
      <c r="D273" s="1171"/>
      <c r="E273" s="1181"/>
      <c r="F273" s="1839"/>
      <c r="G273" s="694" t="s">
        <v>105</v>
      </c>
      <c r="H273" s="2545" t="s">
        <v>165</v>
      </c>
      <c r="I273" s="2546" t="s">
        <v>1134</v>
      </c>
      <c r="J273" s="2515" t="s">
        <v>1135</v>
      </c>
      <c r="K273" s="2547" t="s">
        <v>1231</v>
      </c>
      <c r="L273" s="2137" t="s">
        <v>19</v>
      </c>
      <c r="M273" s="2138"/>
      <c r="N273" s="1994"/>
      <c r="O273" s="1188" t="s">
        <v>390</v>
      </c>
      <c r="P273" s="1189"/>
      <c r="Q273" s="1189"/>
      <c r="R273" s="1189"/>
      <c r="S273" s="1189"/>
      <c r="T273" s="1189"/>
      <c r="U273" s="1189"/>
      <c r="V273" s="1189"/>
      <c r="W273" s="1189"/>
      <c r="X273" s="1189"/>
      <c r="Y273" s="1189"/>
      <c r="Z273" s="1189"/>
      <c r="AA273" s="1189"/>
      <c r="AB273" s="1189"/>
      <c r="AC273" s="1189"/>
      <c r="AD273" s="1189"/>
      <c r="AE273" s="1189"/>
      <c r="AF273" s="2536">
        <v>2026</v>
      </c>
      <c r="AG273" s="2537" t="s">
        <v>1122</v>
      </c>
      <c r="AH273" s="2537" t="s">
        <v>1169</v>
      </c>
      <c r="AI273" s="2908"/>
      <c r="AJ273" s="2537" t="s">
        <v>1154</v>
      </c>
      <c r="AK273" s="2537" t="s">
        <v>1154</v>
      </c>
      <c r="AL273" s="1996"/>
      <c r="AM273" s="1833"/>
      <c r="AN273" s="1833"/>
      <c r="AO273" s="1833"/>
      <c r="AP273" s="1833"/>
      <c r="AQ273" s="1833"/>
      <c r="AR273" s="1833"/>
      <c r="AS273" s="1833"/>
      <c r="AT273" s="1833"/>
      <c r="AU273" s="1833"/>
      <c r="AV273" s="1833"/>
      <c r="AW273" s="1833"/>
      <c r="AX273" s="1833"/>
      <c r="AY273" s="1833"/>
      <c r="AZ273" s="1833"/>
      <c r="BA273" s="1833"/>
      <c r="BB273" s="1833"/>
      <c r="BC273" s="1833"/>
      <c r="BD273" s="1833"/>
      <c r="BE273" s="1833"/>
      <c r="BF273" s="1833"/>
      <c r="BG273" s="1646"/>
    </row>
    <row customHeight="1" ht="11.25">
      <c r="A274" s="1177" t="s">
        <v>1088</v>
      </c>
      <c r="B274" s="1177"/>
      <c r="C274" s="1177"/>
      <c r="D274" s="1171"/>
      <c r="E274" s="1181"/>
      <c r="F274" s="1839"/>
      <c r="G274" s="1840"/>
      <c r="H274" s="2545" t="s">
        <v>164</v>
      </c>
      <c r="I274" s="2546"/>
      <c r="J274" s="2515"/>
      <c r="K274" s="2547"/>
      <c r="L274" s="2137"/>
      <c r="M274" s="2138"/>
      <c r="N274" s="2538"/>
      <c r="O274" s="2539">
        <v>1</v>
      </c>
      <c r="P274" s="2540" t="s">
        <v>19</v>
      </c>
      <c r="Q274" s="2543" t="s">
        <v>22</v>
      </c>
      <c r="R274" s="2543" t="s">
        <v>22</v>
      </c>
      <c r="S274" s="2543" t="s">
        <v>22</v>
      </c>
      <c r="T274" s="2543" t="s">
        <v>22</v>
      </c>
      <c r="U274" s="2543" t="s">
        <v>22</v>
      </c>
      <c r="V274" s="2543" t="s">
        <v>22</v>
      </c>
      <c r="W274" s="2543" t="s">
        <v>22</v>
      </c>
      <c r="X274" s="2543" t="s">
        <v>22</v>
      </c>
      <c r="Y274" s="2543"/>
      <c r="Z274" s="1186"/>
      <c r="AA274" s="1187"/>
      <c r="AB274" s="1187"/>
      <c r="AC274" s="1191"/>
      <c r="AD274" s="1191"/>
      <c r="AE274" s="1192"/>
      <c r="AF274" s="2536"/>
      <c r="AG274" s="2537"/>
      <c r="AH274" s="2537"/>
      <c r="AI274" s="2908"/>
      <c r="AJ274" s="2537"/>
      <c r="AK274" s="2537"/>
      <c r="AL274" s="1996"/>
      <c r="AM274" s="1833"/>
      <c r="AN274" s="1833"/>
      <c r="AO274" s="1833"/>
      <c r="AP274" s="1833"/>
      <c r="AQ274" s="1833"/>
      <c r="AR274" s="1833"/>
      <c r="AS274" s="1833"/>
      <c r="AT274" s="1833"/>
      <c r="AU274" s="1833"/>
      <c r="AV274" s="1833"/>
      <c r="AW274" s="1833"/>
      <c r="AX274" s="1833"/>
      <c r="AY274" s="1833"/>
      <c r="AZ274" s="1833"/>
      <c r="BA274" s="1833"/>
      <c r="BB274" s="1833"/>
      <c r="BC274" s="1833"/>
      <c r="BD274" s="1833"/>
      <c r="BE274" s="1833"/>
      <c r="BF274" s="1833"/>
      <c r="BG274" s="1646"/>
    </row>
    <row customHeight="1" ht="11.25">
      <c r="A275" s="1177" t="s">
        <v>1088</v>
      </c>
      <c r="B275" s="1177"/>
      <c r="C275" s="1177"/>
      <c r="D275" s="1171"/>
      <c r="E275" s="1181"/>
      <c r="F275" s="1839"/>
      <c r="G275" s="1840"/>
      <c r="H275" s="2545" t="s">
        <v>164</v>
      </c>
      <c r="I275" s="2546"/>
      <c r="J275" s="2515"/>
      <c r="K275" s="2547"/>
      <c r="L275" s="2137"/>
      <c r="M275" s="2138"/>
      <c r="N275" s="2538"/>
      <c r="O275" s="2539"/>
      <c r="P275" s="2541"/>
      <c r="Q275" s="2543"/>
      <c r="R275" s="2543"/>
      <c r="S275" s="2544"/>
      <c r="T275" s="2543"/>
      <c r="U275" s="2543"/>
      <c r="V275" s="2543"/>
      <c r="W275" s="2543"/>
      <c r="X275" s="2543"/>
      <c r="Y275" s="2543"/>
      <c r="Z275" s="1838"/>
      <c r="AA275" s="1804">
        <v>1</v>
      </c>
      <c r="AB275" s="1190" t="s">
        <v>1139</v>
      </c>
      <c r="AC275" s="1180">
        <v>2457.57</v>
      </c>
      <c r="AD275" s="1190" t="str">
        <f>AB275</f>
        <v>  За счет платы за технологическое присоединение</v>
      </c>
      <c r="AE275" s="1180">
        <v>0</v>
      </c>
      <c r="AF275" s="2536"/>
      <c r="AG275" s="2537"/>
      <c r="AH275" s="2537"/>
      <c r="AI275" s="2908"/>
      <c r="AJ275" s="2537"/>
      <c r="AK275" s="2537"/>
      <c r="AL275" s="1996"/>
      <c r="AM275" s="1833"/>
      <c r="AN275" s="1833"/>
      <c r="AO275" s="1833"/>
      <c r="AP275" s="1833"/>
      <c r="AQ275" s="1833"/>
      <c r="AR275" s="1833"/>
      <c r="AS275" s="1833"/>
      <c r="AT275" s="1833"/>
      <c r="AU275" s="1833"/>
      <c r="AV275" s="1833"/>
      <c r="AW275" s="1833"/>
      <c r="AX275" s="1833"/>
      <c r="AY275" s="1833"/>
      <c r="AZ275" s="1833"/>
      <c r="BA275" s="1833"/>
      <c r="BB275" s="1833"/>
      <c r="BC275" s="1833"/>
      <c r="BD275" s="1833"/>
      <c r="BE275" s="1833"/>
      <c r="BF275" s="1833"/>
      <c r="BG275" s="1646"/>
    </row>
    <row customHeight="1" ht="11.25">
      <c r="A276" s="1177" t="s">
        <v>1088</v>
      </c>
      <c r="B276" s="1177"/>
      <c r="C276" s="1177"/>
      <c r="D276" s="1171"/>
      <c r="E276" s="1181"/>
      <c r="F276" s="1839"/>
      <c r="G276" s="1840"/>
      <c r="H276" s="2545" t="s">
        <v>164</v>
      </c>
      <c r="I276" s="2546"/>
      <c r="J276" s="2515"/>
      <c r="K276" s="2547"/>
      <c r="L276" s="2137"/>
      <c r="M276" s="2138"/>
      <c r="N276" s="2538"/>
      <c r="O276" s="2539"/>
      <c r="P276" s="2542"/>
      <c r="Q276" s="2543"/>
      <c r="R276" s="2543"/>
      <c r="S276" s="2544"/>
      <c r="T276" s="2543"/>
      <c r="U276" s="2543"/>
      <c r="V276" s="2543"/>
      <c r="W276" s="2543"/>
      <c r="X276" s="2543"/>
      <c r="Y276" s="2543"/>
      <c r="Z276" s="1186"/>
      <c r="AA276" s="1187"/>
      <c r="AB276" s="1252" t="s">
        <v>1130</v>
      </c>
      <c r="AC276" s="1191"/>
      <c r="AD276" s="1191"/>
      <c r="AE276" s="1193"/>
      <c r="AF276" s="2536"/>
      <c r="AG276" s="2537"/>
      <c r="AH276" s="2537"/>
      <c r="AI276" s="2908"/>
      <c r="AJ276" s="2537"/>
      <c r="AK276" s="2537"/>
      <c r="AL276" s="1996"/>
      <c r="AM276" s="1833"/>
      <c r="AN276" s="1833"/>
      <c r="AO276" s="1833"/>
      <c r="AP276" s="1833"/>
      <c r="AQ276" s="1833"/>
      <c r="AR276" s="1833"/>
      <c r="AS276" s="1833"/>
      <c r="AT276" s="1833"/>
      <c r="AU276" s="1833"/>
      <c r="AV276" s="1833"/>
      <c r="AW276" s="1833"/>
      <c r="AX276" s="1833"/>
      <c r="AY276" s="1833"/>
      <c r="AZ276" s="1833"/>
      <c r="BA276" s="1833"/>
      <c r="BB276" s="1833"/>
      <c r="BC276" s="1833"/>
      <c r="BD276" s="1833"/>
      <c r="BE276" s="1833"/>
      <c r="BF276" s="1833"/>
      <c r="BG276" s="1646"/>
    </row>
    <row customHeight="1" ht="11.25">
      <c r="A277" s="1177" t="s">
        <v>1088</v>
      </c>
      <c r="B277" s="1177"/>
      <c r="C277" s="1177"/>
      <c r="D277" s="1171"/>
      <c r="E277" s="1181"/>
      <c r="F277" s="1839"/>
      <c r="G277" s="1840"/>
      <c r="H277" s="2545" t="s">
        <v>164</v>
      </c>
      <c r="I277" s="2546"/>
      <c r="J277" s="2515"/>
      <c r="K277" s="2547"/>
      <c r="L277" s="2137"/>
      <c r="M277" s="2138"/>
      <c r="N277" s="1186"/>
      <c r="O277" s="1187"/>
      <c r="P277" s="1179" t="s">
        <v>1131</v>
      </c>
      <c r="Q277" s="1187"/>
      <c r="R277" s="1187"/>
      <c r="S277" s="1187"/>
      <c r="T277" s="1187"/>
      <c r="U277" s="1187"/>
      <c r="V277" s="1187"/>
      <c r="W277" s="1187"/>
      <c r="X277" s="1187"/>
      <c r="Y277" s="1187"/>
      <c r="Z277" s="1187"/>
      <c r="AA277" s="1187"/>
      <c r="AB277" s="1187"/>
      <c r="AC277" s="1187"/>
      <c r="AD277" s="1187"/>
      <c r="AE277" s="1194"/>
      <c r="AF277" s="2536"/>
      <c r="AG277" s="2537"/>
      <c r="AH277" s="2537"/>
      <c r="AI277" s="2908"/>
      <c r="AJ277" s="2537"/>
      <c r="AK277" s="2537"/>
      <c r="AL277" s="1996"/>
      <c r="AM277" s="1833"/>
      <c r="AN277" s="1833"/>
      <c r="AO277" s="1833"/>
      <c r="AP277" s="1833"/>
      <c r="AQ277" s="1833"/>
      <c r="AR277" s="1833"/>
      <c r="AS277" s="1833"/>
      <c r="AT277" s="1833"/>
      <c r="AU277" s="1833"/>
      <c r="AV277" s="1833"/>
      <c r="AW277" s="1833"/>
      <c r="AX277" s="1833"/>
      <c r="AY277" s="1833"/>
      <c r="AZ277" s="1833"/>
      <c r="BA277" s="1833"/>
      <c r="BB277" s="1833"/>
      <c r="BC277" s="1833"/>
      <c r="BD277" s="1833"/>
      <c r="BE277" s="1833"/>
      <c r="BF277" s="1833"/>
      <c r="BG277" s="1646"/>
    </row>
    <row customHeight="1" ht="11.25">
      <c r="A278" s="1177" t="s">
        <v>1088</v>
      </c>
      <c r="B278" s="1177" t="s">
        <v>1133</v>
      </c>
      <c r="C278" s="1177"/>
      <c r="D278" s="1171"/>
      <c r="E278" s="1181"/>
      <c r="F278" s="1839"/>
      <c r="G278" s="694" t="s">
        <v>105</v>
      </c>
      <c r="H278" s="2545" t="s">
        <v>166</v>
      </c>
      <c r="I278" s="2546" t="s">
        <v>1134</v>
      </c>
      <c r="J278" s="2515" t="s">
        <v>1135</v>
      </c>
      <c r="K278" s="2547" t="s">
        <v>1232</v>
      </c>
      <c r="L278" s="2137" t="s">
        <v>19</v>
      </c>
      <c r="M278" s="2138"/>
      <c r="N278" s="1994"/>
      <c r="O278" s="1188" t="s">
        <v>390</v>
      </c>
      <c r="P278" s="1189"/>
      <c r="Q278" s="1189"/>
      <c r="R278" s="1189"/>
      <c r="S278" s="1189"/>
      <c r="T278" s="1189"/>
      <c r="U278" s="1189"/>
      <c r="V278" s="1189"/>
      <c r="W278" s="1189"/>
      <c r="X278" s="1189"/>
      <c r="Y278" s="1189"/>
      <c r="Z278" s="1189"/>
      <c r="AA278" s="1189"/>
      <c r="AB278" s="1189"/>
      <c r="AC278" s="1189"/>
      <c r="AD278" s="1189"/>
      <c r="AE278" s="1189"/>
      <c r="AF278" s="2536">
        <v>2026</v>
      </c>
      <c r="AG278" s="2537" t="s">
        <v>1122</v>
      </c>
      <c r="AH278" s="2537" t="s">
        <v>1169</v>
      </c>
      <c r="AI278" s="2908"/>
      <c r="AJ278" s="2537" t="s">
        <v>1154</v>
      </c>
      <c r="AK278" s="2537" t="s">
        <v>1154</v>
      </c>
      <c r="AL278" s="1996"/>
      <c r="AM278" s="1833"/>
      <c r="AN278" s="1833"/>
      <c r="AO278" s="1833"/>
      <c r="AP278" s="1833"/>
      <c r="AQ278" s="1833"/>
      <c r="AR278" s="1833"/>
      <c r="AS278" s="1833"/>
      <c r="AT278" s="1833"/>
      <c r="AU278" s="1833"/>
      <c r="AV278" s="1833"/>
      <c r="AW278" s="1833"/>
      <c r="AX278" s="1833"/>
      <c r="AY278" s="1833"/>
      <c r="AZ278" s="1833"/>
      <c r="BA278" s="1833"/>
      <c r="BB278" s="1833"/>
      <c r="BC278" s="1833"/>
      <c r="BD278" s="1833"/>
      <c r="BE278" s="1833"/>
      <c r="BF278" s="1833"/>
      <c r="BG278" s="1646"/>
    </row>
    <row customHeight="1" ht="11.25">
      <c r="A279" s="1177" t="s">
        <v>1088</v>
      </c>
      <c r="B279" s="1177"/>
      <c r="C279" s="1177"/>
      <c r="D279" s="1171"/>
      <c r="E279" s="1181"/>
      <c r="F279" s="1839"/>
      <c r="G279" s="1840"/>
      <c r="H279" s="2545" t="s">
        <v>165</v>
      </c>
      <c r="I279" s="2546"/>
      <c r="J279" s="2515"/>
      <c r="K279" s="2547"/>
      <c r="L279" s="2137"/>
      <c r="M279" s="2138"/>
      <c r="N279" s="2538"/>
      <c r="O279" s="2539">
        <v>1</v>
      </c>
      <c r="P279" s="2540" t="s">
        <v>19</v>
      </c>
      <c r="Q279" s="2543" t="s">
        <v>22</v>
      </c>
      <c r="R279" s="2543" t="s">
        <v>22</v>
      </c>
      <c r="S279" s="2543" t="s">
        <v>22</v>
      </c>
      <c r="T279" s="2543" t="s">
        <v>22</v>
      </c>
      <c r="U279" s="2543" t="s">
        <v>22</v>
      </c>
      <c r="V279" s="2543" t="s">
        <v>22</v>
      </c>
      <c r="W279" s="2543" t="s">
        <v>22</v>
      </c>
      <c r="X279" s="2543" t="s">
        <v>22</v>
      </c>
      <c r="Y279" s="2543"/>
      <c r="Z279" s="1186"/>
      <c r="AA279" s="1187"/>
      <c r="AB279" s="1187"/>
      <c r="AC279" s="1191"/>
      <c r="AD279" s="1191"/>
      <c r="AE279" s="1192"/>
      <c r="AF279" s="2536"/>
      <c r="AG279" s="2537"/>
      <c r="AH279" s="2537"/>
      <c r="AI279" s="2908"/>
      <c r="AJ279" s="2537"/>
      <c r="AK279" s="2537"/>
      <c r="AL279" s="1996"/>
      <c r="AM279" s="1833"/>
      <c r="AN279" s="1833"/>
      <c r="AO279" s="1833"/>
      <c r="AP279" s="1833"/>
      <c r="AQ279" s="1833"/>
      <c r="AR279" s="1833"/>
      <c r="AS279" s="1833"/>
      <c r="AT279" s="1833"/>
      <c r="AU279" s="1833"/>
      <c r="AV279" s="1833"/>
      <c r="AW279" s="1833"/>
      <c r="AX279" s="1833"/>
      <c r="AY279" s="1833"/>
      <c r="AZ279" s="1833"/>
      <c r="BA279" s="1833"/>
      <c r="BB279" s="1833"/>
      <c r="BC279" s="1833"/>
      <c r="BD279" s="1833"/>
      <c r="BE279" s="1833"/>
      <c r="BF279" s="1833"/>
      <c r="BG279" s="1646"/>
    </row>
    <row customHeight="1" ht="11.25">
      <c r="A280" s="1177" t="s">
        <v>1088</v>
      </c>
      <c r="B280" s="1177"/>
      <c r="C280" s="1177"/>
      <c r="D280" s="1171"/>
      <c r="E280" s="1181"/>
      <c r="F280" s="1839"/>
      <c r="G280" s="1840"/>
      <c r="H280" s="2545" t="s">
        <v>165</v>
      </c>
      <c r="I280" s="2546"/>
      <c r="J280" s="2515"/>
      <c r="K280" s="2547"/>
      <c r="L280" s="2137"/>
      <c r="M280" s="2138"/>
      <c r="N280" s="2538"/>
      <c r="O280" s="2539"/>
      <c r="P280" s="2541"/>
      <c r="Q280" s="2543"/>
      <c r="R280" s="2543"/>
      <c r="S280" s="2544"/>
      <c r="T280" s="2543"/>
      <c r="U280" s="2543"/>
      <c r="V280" s="2543"/>
      <c r="W280" s="2543"/>
      <c r="X280" s="2543"/>
      <c r="Y280" s="2543"/>
      <c r="Z280" s="1838"/>
      <c r="AA280" s="1804">
        <v>1</v>
      </c>
      <c r="AB280" s="1190" t="s">
        <v>1139</v>
      </c>
      <c r="AC280" s="1180">
        <v>25516.6</v>
      </c>
      <c r="AD280" s="1190" t="str">
        <f>AB280</f>
        <v>  За счет платы за технологическое присоединение</v>
      </c>
      <c r="AE280" s="1180">
        <v>0</v>
      </c>
      <c r="AF280" s="2536"/>
      <c r="AG280" s="2537"/>
      <c r="AH280" s="2537"/>
      <c r="AI280" s="2908"/>
      <c r="AJ280" s="2537"/>
      <c r="AK280" s="2537"/>
      <c r="AL280" s="1996"/>
      <c r="AM280" s="1833"/>
      <c r="AN280" s="1833"/>
      <c r="AO280" s="1833"/>
      <c r="AP280" s="1833"/>
      <c r="AQ280" s="1833"/>
      <c r="AR280" s="1833"/>
      <c r="AS280" s="1833"/>
      <c r="AT280" s="1833"/>
      <c r="AU280" s="1833"/>
      <c r="AV280" s="1833"/>
      <c r="AW280" s="1833"/>
      <c r="AX280" s="1833"/>
      <c r="AY280" s="1833"/>
      <c r="AZ280" s="1833"/>
      <c r="BA280" s="1833"/>
      <c r="BB280" s="1833"/>
      <c r="BC280" s="1833"/>
      <c r="BD280" s="1833"/>
      <c r="BE280" s="1833"/>
      <c r="BF280" s="1833"/>
      <c r="BG280" s="1646"/>
    </row>
    <row customHeight="1" ht="11.25">
      <c r="A281" s="1177" t="s">
        <v>1088</v>
      </c>
      <c r="B281" s="1177"/>
      <c r="C281" s="1177"/>
      <c r="D281" s="1171"/>
      <c r="E281" s="1181"/>
      <c r="F281" s="1839"/>
      <c r="G281" s="1840"/>
      <c r="H281" s="2545" t="s">
        <v>165</v>
      </c>
      <c r="I281" s="2546"/>
      <c r="J281" s="2515"/>
      <c r="K281" s="2547"/>
      <c r="L281" s="2137"/>
      <c r="M281" s="2138"/>
      <c r="N281" s="2538"/>
      <c r="O281" s="2539"/>
      <c r="P281" s="2542"/>
      <c r="Q281" s="2543"/>
      <c r="R281" s="2543"/>
      <c r="S281" s="2544"/>
      <c r="T281" s="2543"/>
      <c r="U281" s="2543"/>
      <c r="V281" s="2543"/>
      <c r="W281" s="2543"/>
      <c r="X281" s="2543"/>
      <c r="Y281" s="2543"/>
      <c r="Z281" s="1186"/>
      <c r="AA281" s="1187"/>
      <c r="AB281" s="1252" t="s">
        <v>1130</v>
      </c>
      <c r="AC281" s="1191"/>
      <c r="AD281" s="1191"/>
      <c r="AE281" s="1193"/>
      <c r="AF281" s="2536"/>
      <c r="AG281" s="2537"/>
      <c r="AH281" s="2537"/>
      <c r="AI281" s="2908"/>
      <c r="AJ281" s="2537"/>
      <c r="AK281" s="2537"/>
      <c r="AL281" s="1996"/>
      <c r="AM281" s="1833"/>
      <c r="AN281" s="1833"/>
      <c r="AO281" s="1833"/>
      <c r="AP281" s="1833"/>
      <c r="AQ281" s="1833"/>
      <c r="AR281" s="1833"/>
      <c r="AS281" s="1833"/>
      <c r="AT281" s="1833"/>
      <c r="AU281" s="1833"/>
      <c r="AV281" s="1833"/>
      <c r="AW281" s="1833"/>
      <c r="AX281" s="1833"/>
      <c r="AY281" s="1833"/>
      <c r="AZ281" s="1833"/>
      <c r="BA281" s="1833"/>
      <c r="BB281" s="1833"/>
      <c r="BC281" s="1833"/>
      <c r="BD281" s="1833"/>
      <c r="BE281" s="1833"/>
      <c r="BF281" s="1833"/>
      <c r="BG281" s="1646"/>
    </row>
    <row customHeight="1" ht="11.25">
      <c r="A282" s="1177" t="s">
        <v>1088</v>
      </c>
      <c r="B282" s="1177"/>
      <c r="C282" s="1177"/>
      <c r="D282" s="1171"/>
      <c r="E282" s="1181"/>
      <c r="F282" s="1839"/>
      <c r="G282" s="1840"/>
      <c r="H282" s="2545" t="s">
        <v>165</v>
      </c>
      <c r="I282" s="2546"/>
      <c r="J282" s="2515"/>
      <c r="K282" s="2547"/>
      <c r="L282" s="2137"/>
      <c r="M282" s="2138"/>
      <c r="N282" s="1186"/>
      <c r="O282" s="1187"/>
      <c r="P282" s="1179" t="s">
        <v>1131</v>
      </c>
      <c r="Q282" s="1187"/>
      <c r="R282" s="1187"/>
      <c r="S282" s="1187"/>
      <c r="T282" s="1187"/>
      <c r="U282" s="1187"/>
      <c r="V282" s="1187"/>
      <c r="W282" s="1187"/>
      <c r="X282" s="1187"/>
      <c r="Y282" s="1187"/>
      <c r="Z282" s="1187"/>
      <c r="AA282" s="1187"/>
      <c r="AB282" s="1187"/>
      <c r="AC282" s="1187"/>
      <c r="AD282" s="1187"/>
      <c r="AE282" s="1194"/>
      <c r="AF282" s="2536"/>
      <c r="AG282" s="2537"/>
      <c r="AH282" s="2537"/>
      <c r="AI282" s="2908"/>
      <c r="AJ282" s="2537"/>
      <c r="AK282" s="2537"/>
      <c r="AL282" s="1996"/>
      <c r="AM282" s="1833"/>
      <c r="AN282" s="1833"/>
      <c r="AO282" s="1833"/>
      <c r="AP282" s="1833"/>
      <c r="AQ282" s="1833"/>
      <c r="AR282" s="1833"/>
      <c r="AS282" s="1833"/>
      <c r="AT282" s="1833"/>
      <c r="AU282" s="1833"/>
      <c r="AV282" s="1833"/>
      <c r="AW282" s="1833"/>
      <c r="AX282" s="1833"/>
      <c r="AY282" s="1833"/>
      <c r="AZ282" s="1833"/>
      <c r="BA282" s="1833"/>
      <c r="BB282" s="1833"/>
      <c r="BC282" s="1833"/>
      <c r="BD282" s="1833"/>
      <c r="BE282" s="1833"/>
      <c r="BF282" s="1833"/>
      <c r="BG282" s="1646"/>
    </row>
    <row customHeight="1" ht="11.25">
      <c r="A283" s="1177" t="s">
        <v>1088</v>
      </c>
      <c r="B283" s="1177" t="s">
        <v>1155</v>
      </c>
      <c r="C283" s="1177"/>
      <c r="D283" s="1171"/>
      <c r="E283" s="1181"/>
      <c r="F283" s="1839"/>
      <c r="G283" s="694" t="s">
        <v>105</v>
      </c>
      <c r="H283" s="2545" t="s">
        <v>167</v>
      </c>
      <c r="I283" s="2546" t="s">
        <v>1156</v>
      </c>
      <c r="J283" s="2515" t="s">
        <v>1160</v>
      </c>
      <c r="K283" s="2547" t="s">
        <v>1233</v>
      </c>
      <c r="L283" s="2137" t="s">
        <v>19</v>
      </c>
      <c r="M283" s="2138"/>
      <c r="N283" s="1994"/>
      <c r="O283" s="1188" t="s">
        <v>390</v>
      </c>
      <c r="P283" s="1189"/>
      <c r="Q283" s="1189"/>
      <c r="R283" s="1189"/>
      <c r="S283" s="1189"/>
      <c r="T283" s="1189"/>
      <c r="U283" s="1189"/>
      <c r="V283" s="1189"/>
      <c r="W283" s="1189"/>
      <c r="X283" s="1189"/>
      <c r="Y283" s="1189"/>
      <c r="Z283" s="1189"/>
      <c r="AA283" s="1189"/>
      <c r="AB283" s="1189"/>
      <c r="AC283" s="1189"/>
      <c r="AD283" s="1189"/>
      <c r="AE283" s="1189"/>
      <c r="AF283" s="2536">
        <v>2028</v>
      </c>
      <c r="AG283" s="2537" t="s">
        <v>1122</v>
      </c>
      <c r="AH283" s="2537" t="s">
        <v>1153</v>
      </c>
      <c r="AI283" s="2916"/>
      <c r="AJ283" s="2537" t="s">
        <v>1154</v>
      </c>
      <c r="AK283" s="2537" t="s">
        <v>1154</v>
      </c>
      <c r="AL283" s="1996"/>
      <c r="AM283" s="1833"/>
      <c r="AN283" s="1833"/>
      <c r="AO283" s="1833"/>
      <c r="AP283" s="1833"/>
      <c r="AQ283" s="1833"/>
      <c r="AR283" s="1833"/>
      <c r="AS283" s="1833"/>
      <c r="AT283" s="1833"/>
      <c r="AU283" s="1833"/>
      <c r="AV283" s="1833"/>
      <c r="AW283" s="1833"/>
      <c r="AX283" s="1833"/>
      <c r="AY283" s="1833"/>
      <c r="AZ283" s="1833"/>
      <c r="BA283" s="1833"/>
      <c r="BB283" s="1833"/>
      <c r="BC283" s="1833"/>
      <c r="BD283" s="1833"/>
      <c r="BE283" s="1833"/>
      <c r="BF283" s="1833"/>
      <c r="BG283" s="1646"/>
    </row>
    <row customHeight="1" ht="11.25">
      <c r="A284" s="1177" t="s">
        <v>1088</v>
      </c>
      <c r="B284" s="1177"/>
      <c r="C284" s="1177"/>
      <c r="D284" s="1171"/>
      <c r="E284" s="1181"/>
      <c r="F284" s="1839"/>
      <c r="G284" s="1840"/>
      <c r="H284" s="2545" t="s">
        <v>166</v>
      </c>
      <c r="I284" s="2546"/>
      <c r="J284" s="2515"/>
      <c r="K284" s="2547"/>
      <c r="L284" s="2137"/>
      <c r="M284" s="2138"/>
      <c r="N284" s="2538"/>
      <c r="O284" s="2539">
        <v>1</v>
      </c>
      <c r="P284" s="2540" t="s">
        <v>19</v>
      </c>
      <c r="Q284" s="2543" t="s">
        <v>22</v>
      </c>
      <c r="R284" s="2543" t="s">
        <v>22</v>
      </c>
      <c r="S284" s="2543" t="s">
        <v>22</v>
      </c>
      <c r="T284" s="2543" t="s">
        <v>22</v>
      </c>
      <c r="U284" s="2543" t="s">
        <v>22</v>
      </c>
      <c r="V284" s="2543" t="s">
        <v>22</v>
      </c>
      <c r="W284" s="2543" t="s">
        <v>22</v>
      </c>
      <c r="X284" s="2543" t="s">
        <v>22</v>
      </c>
      <c r="Y284" s="2543"/>
      <c r="Z284" s="1186"/>
      <c r="AA284" s="1187"/>
      <c r="AB284" s="1187"/>
      <c r="AC284" s="1191"/>
      <c r="AD284" s="1191"/>
      <c r="AE284" s="1192"/>
      <c r="AF284" s="2536"/>
      <c r="AG284" s="2537"/>
      <c r="AH284" s="2537"/>
      <c r="AI284" s="2916"/>
      <c r="AJ284" s="2537"/>
      <c r="AK284" s="2537"/>
      <c r="AL284" s="1996"/>
      <c r="AM284" s="1833"/>
      <c r="AN284" s="1833"/>
      <c r="AO284" s="1833"/>
      <c r="AP284" s="1833"/>
      <c r="AQ284" s="1833"/>
      <c r="AR284" s="1833"/>
      <c r="AS284" s="1833"/>
      <c r="AT284" s="1833"/>
      <c r="AU284" s="1833"/>
      <c r="AV284" s="1833"/>
      <c r="AW284" s="1833"/>
      <c r="AX284" s="1833"/>
      <c r="AY284" s="1833"/>
      <c r="AZ284" s="1833"/>
      <c r="BA284" s="1833"/>
      <c r="BB284" s="1833"/>
      <c r="BC284" s="1833"/>
      <c r="BD284" s="1833"/>
      <c r="BE284" s="1833"/>
      <c r="BF284" s="1833"/>
      <c r="BG284" s="1646"/>
    </row>
    <row customHeight="1" ht="11.25">
      <c r="A285" s="1177" t="s">
        <v>1088</v>
      </c>
      <c r="B285" s="1177"/>
      <c r="C285" s="1177"/>
      <c r="D285" s="1171"/>
      <c r="E285" s="1181"/>
      <c r="F285" s="1839"/>
      <c r="G285" s="1840"/>
      <c r="H285" s="2545" t="s">
        <v>166</v>
      </c>
      <c r="I285" s="2546"/>
      <c r="J285" s="2515"/>
      <c r="K285" s="2547"/>
      <c r="L285" s="2137"/>
      <c r="M285" s="2138"/>
      <c r="N285" s="2538"/>
      <c r="O285" s="2539"/>
      <c r="P285" s="2541"/>
      <c r="Q285" s="2543"/>
      <c r="R285" s="2543"/>
      <c r="S285" s="2544"/>
      <c r="T285" s="2543"/>
      <c r="U285" s="2543"/>
      <c r="V285" s="2543"/>
      <c r="W285" s="2543"/>
      <c r="X285" s="2543"/>
      <c r="Y285" s="2543"/>
      <c r="Z285" s="1838"/>
      <c r="AA285" s="1804">
        <v>1</v>
      </c>
      <c r="AB285" s="1190" t="s">
        <v>1234</v>
      </c>
      <c r="AC285" s="1180">
        <v>4520.08</v>
      </c>
      <c r="AD285" s="1190" t="str">
        <f>AB285</f>
        <v>  Прочие</v>
      </c>
      <c r="AE285" s="1180">
        <v>0</v>
      </c>
      <c r="AF285" s="2536"/>
      <c r="AG285" s="2537"/>
      <c r="AH285" s="2537"/>
      <c r="AI285" s="2916"/>
      <c r="AJ285" s="2537"/>
      <c r="AK285" s="2537"/>
      <c r="AL285" s="1996"/>
      <c r="AM285" s="1833"/>
      <c r="AN285" s="1833"/>
      <c r="AO285" s="1833"/>
      <c r="AP285" s="1833"/>
      <c r="AQ285" s="1833"/>
      <c r="AR285" s="1833"/>
      <c r="AS285" s="1833"/>
      <c r="AT285" s="1833"/>
      <c r="AU285" s="1833"/>
      <c r="AV285" s="1833"/>
      <c r="AW285" s="1833"/>
      <c r="AX285" s="1833"/>
      <c r="AY285" s="1833"/>
      <c r="AZ285" s="1833"/>
      <c r="BA285" s="1833"/>
      <c r="BB285" s="1833"/>
      <c r="BC285" s="1833"/>
      <c r="BD285" s="1833"/>
      <c r="BE285" s="1833"/>
      <c r="BF285" s="1833"/>
      <c r="BG285" s="1646"/>
    </row>
    <row customHeight="1" ht="11.25">
      <c r="A286" s="1177" t="s">
        <v>1088</v>
      </c>
      <c r="B286" s="1177"/>
      <c r="C286" s="1177"/>
      <c r="D286" s="1171"/>
      <c r="E286" s="1181"/>
      <c r="F286" s="1839"/>
      <c r="G286" s="1840"/>
      <c r="H286" s="2545" t="s">
        <v>166</v>
      </c>
      <c r="I286" s="2546"/>
      <c r="J286" s="2515"/>
      <c r="K286" s="2547"/>
      <c r="L286" s="2137"/>
      <c r="M286" s="2138"/>
      <c r="N286" s="2538"/>
      <c r="O286" s="2539"/>
      <c r="P286" s="2542"/>
      <c r="Q286" s="2543"/>
      <c r="R286" s="2543"/>
      <c r="S286" s="2544"/>
      <c r="T286" s="2543"/>
      <c r="U286" s="2543"/>
      <c r="V286" s="2543"/>
      <c r="W286" s="2543"/>
      <c r="X286" s="2543"/>
      <c r="Y286" s="2543"/>
      <c r="Z286" s="1186"/>
      <c r="AA286" s="1187"/>
      <c r="AB286" s="1252" t="s">
        <v>1130</v>
      </c>
      <c r="AC286" s="1191"/>
      <c r="AD286" s="1191"/>
      <c r="AE286" s="1193"/>
      <c r="AF286" s="2536"/>
      <c r="AG286" s="2537"/>
      <c r="AH286" s="2537"/>
      <c r="AI286" s="2916"/>
      <c r="AJ286" s="2537"/>
      <c r="AK286" s="2537"/>
      <c r="AL286" s="1996"/>
      <c r="AM286" s="1833"/>
      <c r="AN286" s="1833"/>
      <c r="AO286" s="1833"/>
      <c r="AP286" s="1833"/>
      <c r="AQ286" s="1833"/>
      <c r="AR286" s="1833"/>
      <c r="AS286" s="1833"/>
      <c r="AT286" s="1833"/>
      <c r="AU286" s="1833"/>
      <c r="AV286" s="1833"/>
      <c r="AW286" s="1833"/>
      <c r="AX286" s="1833"/>
      <c r="AY286" s="1833"/>
      <c r="AZ286" s="1833"/>
      <c r="BA286" s="1833"/>
      <c r="BB286" s="1833"/>
      <c r="BC286" s="1833"/>
      <c r="BD286" s="1833"/>
      <c r="BE286" s="1833"/>
      <c r="BF286" s="1833"/>
      <c r="BG286" s="1646"/>
    </row>
    <row customHeight="1" ht="11.25">
      <c r="A287" s="1177" t="s">
        <v>1088</v>
      </c>
      <c r="B287" s="1177"/>
      <c r="C287" s="1177"/>
      <c r="D287" s="1171"/>
      <c r="E287" s="1181"/>
      <c r="F287" s="1839"/>
      <c r="G287" s="1840"/>
      <c r="H287" s="2545" t="s">
        <v>166</v>
      </c>
      <c r="I287" s="2546"/>
      <c r="J287" s="2515"/>
      <c r="K287" s="2547"/>
      <c r="L287" s="2137"/>
      <c r="M287" s="2138"/>
      <c r="N287" s="1186"/>
      <c r="O287" s="1187"/>
      <c r="P287" s="1179" t="s">
        <v>1131</v>
      </c>
      <c r="Q287" s="1187"/>
      <c r="R287" s="1187"/>
      <c r="S287" s="1187"/>
      <c r="T287" s="1187"/>
      <c r="U287" s="1187"/>
      <c r="V287" s="1187"/>
      <c r="W287" s="1187"/>
      <c r="X287" s="1187"/>
      <c r="Y287" s="1187"/>
      <c r="Z287" s="1187"/>
      <c r="AA287" s="1187"/>
      <c r="AB287" s="1187"/>
      <c r="AC287" s="1187"/>
      <c r="AD287" s="1187"/>
      <c r="AE287" s="1194"/>
      <c r="AF287" s="2536"/>
      <c r="AG287" s="2537"/>
      <c r="AH287" s="2537"/>
      <c r="AI287" s="2916"/>
      <c r="AJ287" s="2537"/>
      <c r="AK287" s="2537"/>
      <c r="AL287" s="1996"/>
      <c r="AM287" s="1833"/>
      <c r="AN287" s="1833"/>
      <c r="AO287" s="1833"/>
      <c r="AP287" s="1833"/>
      <c r="AQ287" s="1833"/>
      <c r="AR287" s="1833"/>
      <c r="AS287" s="1833"/>
      <c r="AT287" s="1833"/>
      <c r="AU287" s="1833"/>
      <c r="AV287" s="1833"/>
      <c r="AW287" s="1833"/>
      <c r="AX287" s="1833"/>
      <c r="AY287" s="1833"/>
      <c r="AZ287" s="1833"/>
      <c r="BA287" s="1833"/>
      <c r="BB287" s="1833"/>
      <c r="BC287" s="1833"/>
      <c r="BD287" s="1833"/>
      <c r="BE287" s="1833"/>
      <c r="BF287" s="1833"/>
      <c r="BG287" s="1646"/>
    </row>
    <row customHeight="1" ht="11.25">
      <c r="A288" s="1177" t="s">
        <v>1088</v>
      </c>
      <c r="B288" s="1177" t="s">
        <v>1155</v>
      </c>
      <c r="C288" s="1177"/>
      <c r="D288" s="1171"/>
      <c r="E288" s="1181"/>
      <c r="F288" s="1839"/>
      <c r="G288" s="694" t="s">
        <v>105</v>
      </c>
      <c r="H288" s="2545" t="s">
        <v>168</v>
      </c>
      <c r="I288" s="2546" t="s">
        <v>1156</v>
      </c>
      <c r="J288" s="2515" t="s">
        <v>1160</v>
      </c>
      <c r="K288" s="2547" t="s">
        <v>1235</v>
      </c>
      <c r="L288" s="2137" t="s">
        <v>19</v>
      </c>
      <c r="M288" s="2138"/>
      <c r="N288" s="1994"/>
      <c r="O288" s="1188" t="s">
        <v>390</v>
      </c>
      <c r="P288" s="1189"/>
      <c r="Q288" s="1189"/>
      <c r="R288" s="1189"/>
      <c r="S288" s="1189"/>
      <c r="T288" s="1189"/>
      <c r="U288" s="1189"/>
      <c r="V288" s="1189"/>
      <c r="W288" s="1189"/>
      <c r="X288" s="1189"/>
      <c r="Y288" s="1189"/>
      <c r="Z288" s="1189"/>
      <c r="AA288" s="1189"/>
      <c r="AB288" s="1189"/>
      <c r="AC288" s="1189"/>
      <c r="AD288" s="1189"/>
      <c r="AE288" s="1189"/>
      <c r="AF288" s="2536">
        <v>2026</v>
      </c>
      <c r="AG288" s="2537" t="s">
        <v>1122</v>
      </c>
      <c r="AH288" s="2537" t="s">
        <v>1169</v>
      </c>
      <c r="AI288" s="2916"/>
      <c r="AJ288" s="2537" t="s">
        <v>1154</v>
      </c>
      <c r="AK288" s="2537" t="s">
        <v>1154</v>
      </c>
      <c r="AL288" s="1996"/>
      <c r="AM288" s="1833"/>
      <c r="AN288" s="1833"/>
      <c r="AO288" s="1833"/>
      <c r="AP288" s="1833"/>
      <c r="AQ288" s="1833"/>
      <c r="AR288" s="1833"/>
      <c r="AS288" s="1833"/>
      <c r="AT288" s="1833"/>
      <c r="AU288" s="1833"/>
      <c r="AV288" s="1833"/>
      <c r="AW288" s="1833"/>
      <c r="AX288" s="1833"/>
      <c r="AY288" s="1833"/>
      <c r="AZ288" s="1833"/>
      <c r="BA288" s="1833"/>
      <c r="BB288" s="1833"/>
      <c r="BC288" s="1833"/>
      <c r="BD288" s="1833"/>
      <c r="BE288" s="1833"/>
      <c r="BF288" s="1833"/>
      <c r="BG288" s="1646"/>
    </row>
    <row customHeight="1" ht="11.25">
      <c r="A289" s="1177" t="s">
        <v>1088</v>
      </c>
      <c r="B289" s="1177"/>
      <c r="C289" s="1177"/>
      <c r="D289" s="1171"/>
      <c r="E289" s="1181"/>
      <c r="F289" s="1839"/>
      <c r="G289" s="1840"/>
      <c r="H289" s="2545" t="s">
        <v>167</v>
      </c>
      <c r="I289" s="2546"/>
      <c r="J289" s="2515"/>
      <c r="K289" s="2547"/>
      <c r="L289" s="2137"/>
      <c r="M289" s="2138"/>
      <c r="N289" s="2538"/>
      <c r="O289" s="2539">
        <v>1</v>
      </c>
      <c r="P289" s="2540" t="s">
        <v>19</v>
      </c>
      <c r="Q289" s="2543" t="s">
        <v>22</v>
      </c>
      <c r="R289" s="2543" t="s">
        <v>22</v>
      </c>
      <c r="S289" s="2543" t="s">
        <v>22</v>
      </c>
      <c r="T289" s="2543" t="s">
        <v>22</v>
      </c>
      <c r="U289" s="2543" t="s">
        <v>22</v>
      </c>
      <c r="V289" s="2543" t="s">
        <v>22</v>
      </c>
      <c r="W289" s="2543" t="s">
        <v>22</v>
      </c>
      <c r="X289" s="2543" t="s">
        <v>22</v>
      </c>
      <c r="Y289" s="2543"/>
      <c r="Z289" s="1186"/>
      <c r="AA289" s="1187"/>
      <c r="AB289" s="1187"/>
      <c r="AC289" s="1191"/>
      <c r="AD289" s="1191"/>
      <c r="AE289" s="1192"/>
      <c r="AF289" s="2536"/>
      <c r="AG289" s="2537"/>
      <c r="AH289" s="2537"/>
      <c r="AI289" s="2916"/>
      <c r="AJ289" s="2537"/>
      <c r="AK289" s="2537"/>
      <c r="AL289" s="1996"/>
      <c r="AM289" s="1833"/>
      <c r="AN289" s="1833"/>
      <c r="AO289" s="1833"/>
      <c r="AP289" s="1833"/>
      <c r="AQ289" s="1833"/>
      <c r="AR289" s="1833"/>
      <c r="AS289" s="1833"/>
      <c r="AT289" s="1833"/>
      <c r="AU289" s="1833"/>
      <c r="AV289" s="1833"/>
      <c r="AW289" s="1833"/>
      <c r="AX289" s="1833"/>
      <c r="AY289" s="1833"/>
      <c r="AZ289" s="1833"/>
      <c r="BA289" s="1833"/>
      <c r="BB289" s="1833"/>
      <c r="BC289" s="1833"/>
      <c r="BD289" s="1833"/>
      <c r="BE289" s="1833"/>
      <c r="BF289" s="1833"/>
      <c r="BG289" s="1646"/>
    </row>
    <row customHeight="1" ht="11.25">
      <c r="A290" s="1177" t="s">
        <v>1088</v>
      </c>
      <c r="B290" s="1177"/>
      <c r="C290" s="1177"/>
      <c r="D290" s="1171"/>
      <c r="E290" s="1181"/>
      <c r="F290" s="1839"/>
      <c r="G290" s="1840"/>
      <c r="H290" s="2545" t="s">
        <v>167</v>
      </c>
      <c r="I290" s="2546"/>
      <c r="J290" s="2515"/>
      <c r="K290" s="2547"/>
      <c r="L290" s="2137"/>
      <c r="M290" s="2138"/>
      <c r="N290" s="2538"/>
      <c r="O290" s="2539"/>
      <c r="P290" s="2541"/>
      <c r="Q290" s="2543"/>
      <c r="R290" s="2543"/>
      <c r="S290" s="2544"/>
      <c r="T290" s="2543"/>
      <c r="U290" s="2543"/>
      <c r="V290" s="2543"/>
      <c r="W290" s="2543"/>
      <c r="X290" s="2543"/>
      <c r="Y290" s="2543"/>
      <c r="Z290" s="1838"/>
      <c r="AA290" s="1804">
        <v>1</v>
      </c>
      <c r="AB290" s="1190" t="s">
        <v>1234</v>
      </c>
      <c r="AC290" s="1180">
        <v>271494.51</v>
      </c>
      <c r="AD290" s="1190" t="str">
        <f>AB290</f>
        <v>  Прочие</v>
      </c>
      <c r="AE290" s="1180">
        <v>0</v>
      </c>
      <c r="AF290" s="2536"/>
      <c r="AG290" s="2537"/>
      <c r="AH290" s="2537"/>
      <c r="AI290" s="2916"/>
      <c r="AJ290" s="2537"/>
      <c r="AK290" s="2537"/>
      <c r="AL290" s="1996"/>
      <c r="AM290" s="1833"/>
      <c r="AN290" s="1833"/>
      <c r="AO290" s="1833"/>
      <c r="AP290" s="1833"/>
      <c r="AQ290" s="1833"/>
      <c r="AR290" s="1833"/>
      <c r="AS290" s="1833"/>
      <c r="AT290" s="1833"/>
      <c r="AU290" s="1833"/>
      <c r="AV290" s="1833"/>
      <c r="AW290" s="1833"/>
      <c r="AX290" s="1833"/>
      <c r="AY290" s="1833"/>
      <c r="AZ290" s="1833"/>
      <c r="BA290" s="1833"/>
      <c r="BB290" s="1833"/>
      <c r="BC290" s="1833"/>
      <c r="BD290" s="1833"/>
      <c r="BE290" s="1833"/>
      <c r="BF290" s="1833"/>
      <c r="BG290" s="1646"/>
    </row>
    <row customHeight="1" ht="11.25">
      <c r="A291" s="1177" t="s">
        <v>1088</v>
      </c>
      <c r="B291" s="1177"/>
      <c r="C291" s="1177"/>
      <c r="D291" s="1171"/>
      <c r="E291" s="1181"/>
      <c r="F291" s="1839"/>
      <c r="G291" s="1840"/>
      <c r="H291" s="2545" t="s">
        <v>167</v>
      </c>
      <c r="I291" s="2546"/>
      <c r="J291" s="2515"/>
      <c r="K291" s="2547"/>
      <c r="L291" s="2137"/>
      <c r="M291" s="2138"/>
      <c r="N291" s="2538"/>
      <c r="O291" s="2539"/>
      <c r="P291" s="2542"/>
      <c r="Q291" s="2543"/>
      <c r="R291" s="2543"/>
      <c r="S291" s="2544"/>
      <c r="T291" s="2543"/>
      <c r="U291" s="2543"/>
      <c r="V291" s="2543"/>
      <c r="W291" s="2543"/>
      <c r="X291" s="2543"/>
      <c r="Y291" s="2543"/>
      <c r="Z291" s="1186"/>
      <c r="AA291" s="1187"/>
      <c r="AB291" s="1252" t="s">
        <v>1130</v>
      </c>
      <c r="AC291" s="1191"/>
      <c r="AD291" s="1191"/>
      <c r="AE291" s="1193"/>
      <c r="AF291" s="2536"/>
      <c r="AG291" s="2537"/>
      <c r="AH291" s="2537"/>
      <c r="AI291" s="2916"/>
      <c r="AJ291" s="2537"/>
      <c r="AK291" s="2537"/>
      <c r="AL291" s="1996"/>
      <c r="AM291" s="1833"/>
      <c r="AN291" s="1833"/>
      <c r="AO291" s="1833"/>
      <c r="AP291" s="1833"/>
      <c r="AQ291" s="1833"/>
      <c r="AR291" s="1833"/>
      <c r="AS291" s="1833"/>
      <c r="AT291" s="1833"/>
      <c r="AU291" s="1833"/>
      <c r="AV291" s="1833"/>
      <c r="AW291" s="1833"/>
      <c r="AX291" s="1833"/>
      <c r="AY291" s="1833"/>
      <c r="AZ291" s="1833"/>
      <c r="BA291" s="1833"/>
      <c r="BB291" s="1833"/>
      <c r="BC291" s="1833"/>
      <c r="BD291" s="1833"/>
      <c r="BE291" s="1833"/>
      <c r="BF291" s="1833"/>
      <c r="BG291" s="1646"/>
    </row>
    <row customHeight="1" ht="11.25">
      <c r="A292" s="1177" t="s">
        <v>1088</v>
      </c>
      <c r="B292" s="1177"/>
      <c r="C292" s="1177"/>
      <c r="D292" s="1171"/>
      <c r="E292" s="1181"/>
      <c r="F292" s="1839"/>
      <c r="G292" s="1840"/>
      <c r="H292" s="2545" t="s">
        <v>167</v>
      </c>
      <c r="I292" s="2546"/>
      <c r="J292" s="2515"/>
      <c r="K292" s="2547"/>
      <c r="L292" s="2137"/>
      <c r="M292" s="2138"/>
      <c r="N292" s="1186"/>
      <c r="O292" s="1187"/>
      <c r="P292" s="1179" t="s">
        <v>1131</v>
      </c>
      <c r="Q292" s="1187"/>
      <c r="R292" s="1187"/>
      <c r="S292" s="1187"/>
      <c r="T292" s="1187"/>
      <c r="U292" s="1187"/>
      <c r="V292" s="1187"/>
      <c r="W292" s="1187"/>
      <c r="X292" s="1187"/>
      <c r="Y292" s="1187"/>
      <c r="Z292" s="1187"/>
      <c r="AA292" s="1187"/>
      <c r="AB292" s="1187"/>
      <c r="AC292" s="1187"/>
      <c r="AD292" s="1187"/>
      <c r="AE292" s="1194"/>
      <c r="AF292" s="2536"/>
      <c r="AG292" s="2537"/>
      <c r="AH292" s="2537"/>
      <c r="AI292" s="2916"/>
      <c r="AJ292" s="2537"/>
      <c r="AK292" s="2537"/>
      <c r="AL292" s="1996"/>
      <c r="AM292" s="1833"/>
      <c r="AN292" s="1833"/>
      <c r="AO292" s="1833"/>
      <c r="AP292" s="1833"/>
      <c r="AQ292" s="1833"/>
      <c r="AR292" s="1833"/>
      <c r="AS292" s="1833"/>
      <c r="AT292" s="1833"/>
      <c r="AU292" s="1833"/>
      <c r="AV292" s="1833"/>
      <c r="AW292" s="1833"/>
      <c r="AX292" s="1833"/>
      <c r="AY292" s="1833"/>
      <c r="AZ292" s="1833"/>
      <c r="BA292" s="1833"/>
      <c r="BB292" s="1833"/>
      <c r="BC292" s="1833"/>
      <c r="BD292" s="1833"/>
      <c r="BE292" s="1833"/>
      <c r="BF292" s="1833"/>
      <c r="BG292" s="1646"/>
    </row>
    <row customHeight="1" ht="11.25">
      <c r="A293" s="1177" t="s">
        <v>1088</v>
      </c>
      <c r="B293" s="1177" t="s">
        <v>1155</v>
      </c>
      <c r="C293" s="1177"/>
      <c r="D293" s="1171"/>
      <c r="E293" s="1181"/>
      <c r="F293" s="1839"/>
      <c r="G293" s="694" t="s">
        <v>105</v>
      </c>
      <c r="H293" s="2545" t="s">
        <v>169</v>
      </c>
      <c r="I293" s="2546" t="s">
        <v>1156</v>
      </c>
      <c r="J293" s="2515" t="s">
        <v>1160</v>
      </c>
      <c r="K293" s="2547" t="s">
        <v>1236</v>
      </c>
      <c r="L293" s="2137" t="s">
        <v>19</v>
      </c>
      <c r="M293" s="2138"/>
      <c r="N293" s="1994"/>
      <c r="O293" s="1188" t="s">
        <v>390</v>
      </c>
      <c r="P293" s="1189"/>
      <c r="Q293" s="1189"/>
      <c r="R293" s="1189"/>
      <c r="S293" s="1189"/>
      <c r="T293" s="1189"/>
      <c r="U293" s="1189"/>
      <c r="V293" s="1189"/>
      <c r="W293" s="1189"/>
      <c r="X293" s="1189"/>
      <c r="Y293" s="1189"/>
      <c r="Z293" s="1189"/>
      <c r="AA293" s="1189"/>
      <c r="AB293" s="1189"/>
      <c r="AC293" s="1189"/>
      <c r="AD293" s="1189"/>
      <c r="AE293" s="1189"/>
      <c r="AF293" s="2536">
        <v>2026</v>
      </c>
      <c r="AG293" s="2537" t="s">
        <v>1122</v>
      </c>
      <c r="AH293" s="2537" t="s">
        <v>1169</v>
      </c>
      <c r="AI293" s="2916"/>
      <c r="AJ293" s="2537" t="s">
        <v>1154</v>
      </c>
      <c r="AK293" s="2537" t="s">
        <v>1154</v>
      </c>
      <c r="AL293" s="1996"/>
      <c r="AM293" s="1833"/>
      <c r="AN293" s="1833"/>
      <c r="AO293" s="1833"/>
      <c r="AP293" s="1833"/>
      <c r="AQ293" s="1833"/>
      <c r="AR293" s="1833"/>
      <c r="AS293" s="1833"/>
      <c r="AT293" s="1833"/>
      <c r="AU293" s="1833"/>
      <c r="AV293" s="1833"/>
      <c r="AW293" s="1833"/>
      <c r="AX293" s="1833"/>
      <c r="AY293" s="1833"/>
      <c r="AZ293" s="1833"/>
      <c r="BA293" s="1833"/>
      <c r="BB293" s="1833"/>
      <c r="BC293" s="1833"/>
      <c r="BD293" s="1833"/>
      <c r="BE293" s="1833"/>
      <c r="BF293" s="1833"/>
      <c r="BG293" s="1646"/>
    </row>
    <row customHeight="1" ht="11.25">
      <c r="A294" s="1177" t="s">
        <v>1088</v>
      </c>
      <c r="B294" s="1177"/>
      <c r="C294" s="1177"/>
      <c r="D294" s="1171"/>
      <c r="E294" s="1181"/>
      <c r="F294" s="1839"/>
      <c r="G294" s="1840"/>
      <c r="H294" s="2545" t="s">
        <v>168</v>
      </c>
      <c r="I294" s="2546"/>
      <c r="J294" s="2515"/>
      <c r="K294" s="2547"/>
      <c r="L294" s="2137"/>
      <c r="M294" s="2138"/>
      <c r="N294" s="2538"/>
      <c r="O294" s="2539">
        <v>1</v>
      </c>
      <c r="P294" s="2540" t="s">
        <v>19</v>
      </c>
      <c r="Q294" s="2543" t="s">
        <v>22</v>
      </c>
      <c r="R294" s="2543" t="s">
        <v>22</v>
      </c>
      <c r="S294" s="2543" t="s">
        <v>22</v>
      </c>
      <c r="T294" s="2543" t="s">
        <v>22</v>
      </c>
      <c r="U294" s="2543" t="s">
        <v>22</v>
      </c>
      <c r="V294" s="2543" t="s">
        <v>22</v>
      </c>
      <c r="W294" s="2543" t="s">
        <v>22</v>
      </c>
      <c r="X294" s="2543" t="s">
        <v>22</v>
      </c>
      <c r="Y294" s="2543"/>
      <c r="Z294" s="1186"/>
      <c r="AA294" s="1187"/>
      <c r="AB294" s="1187"/>
      <c r="AC294" s="1191"/>
      <c r="AD294" s="1191"/>
      <c r="AE294" s="1192"/>
      <c r="AF294" s="2536"/>
      <c r="AG294" s="2537"/>
      <c r="AH294" s="2537"/>
      <c r="AI294" s="2916"/>
      <c r="AJ294" s="2537"/>
      <c r="AK294" s="2537"/>
      <c r="AL294" s="1996"/>
      <c r="AM294" s="1833"/>
      <c r="AN294" s="1833"/>
      <c r="AO294" s="1833"/>
      <c r="AP294" s="1833"/>
      <c r="AQ294" s="1833"/>
      <c r="AR294" s="1833"/>
      <c r="AS294" s="1833"/>
      <c r="AT294" s="1833"/>
      <c r="AU294" s="1833"/>
      <c r="AV294" s="1833"/>
      <c r="AW294" s="1833"/>
      <c r="AX294" s="1833"/>
      <c r="AY294" s="1833"/>
      <c r="AZ294" s="1833"/>
      <c r="BA294" s="1833"/>
      <c r="BB294" s="1833"/>
      <c r="BC294" s="1833"/>
      <c r="BD294" s="1833"/>
      <c r="BE294" s="1833"/>
      <c r="BF294" s="1833"/>
      <c r="BG294" s="1646"/>
    </row>
    <row customHeight="1" ht="11.25">
      <c r="A295" s="1177" t="s">
        <v>1088</v>
      </c>
      <c r="B295" s="1177"/>
      <c r="C295" s="1177"/>
      <c r="D295" s="1171"/>
      <c r="E295" s="1181"/>
      <c r="F295" s="1839"/>
      <c r="G295" s="1840"/>
      <c r="H295" s="2545" t="s">
        <v>168</v>
      </c>
      <c r="I295" s="2546"/>
      <c r="J295" s="2515"/>
      <c r="K295" s="2547"/>
      <c r="L295" s="2137"/>
      <c r="M295" s="2138"/>
      <c r="N295" s="2538"/>
      <c r="O295" s="2539"/>
      <c r="P295" s="2541"/>
      <c r="Q295" s="2543"/>
      <c r="R295" s="2543"/>
      <c r="S295" s="2544"/>
      <c r="T295" s="2543"/>
      <c r="U295" s="2543"/>
      <c r="V295" s="2543"/>
      <c r="W295" s="2543"/>
      <c r="X295" s="2543"/>
      <c r="Y295" s="2543"/>
      <c r="Z295" s="1838"/>
      <c r="AA295" s="1804">
        <v>1</v>
      </c>
      <c r="AB295" s="1190" t="s">
        <v>1234</v>
      </c>
      <c r="AC295" s="1180">
        <v>176558.86</v>
      </c>
      <c r="AD295" s="1190" t="str">
        <f>AB295</f>
        <v>  Прочие</v>
      </c>
      <c r="AE295" s="1180">
        <v>0</v>
      </c>
      <c r="AF295" s="2536"/>
      <c r="AG295" s="2537"/>
      <c r="AH295" s="2537"/>
      <c r="AI295" s="2916"/>
      <c r="AJ295" s="2537"/>
      <c r="AK295" s="2537"/>
      <c r="AL295" s="1996"/>
      <c r="AM295" s="1833"/>
      <c r="AN295" s="1833"/>
      <c r="AO295" s="1833"/>
      <c r="AP295" s="1833"/>
      <c r="AQ295" s="1833"/>
      <c r="AR295" s="1833"/>
      <c r="AS295" s="1833"/>
      <c r="AT295" s="1833"/>
      <c r="AU295" s="1833"/>
      <c r="AV295" s="1833"/>
      <c r="AW295" s="1833"/>
      <c r="AX295" s="1833"/>
      <c r="AY295" s="1833"/>
      <c r="AZ295" s="1833"/>
      <c r="BA295" s="1833"/>
      <c r="BB295" s="1833"/>
      <c r="BC295" s="1833"/>
      <c r="BD295" s="1833"/>
      <c r="BE295" s="1833"/>
      <c r="BF295" s="1833"/>
      <c r="BG295" s="1646"/>
    </row>
    <row customHeight="1" ht="11.25">
      <c r="A296" s="1177" t="s">
        <v>1088</v>
      </c>
      <c r="B296" s="1177"/>
      <c r="C296" s="1177"/>
      <c r="D296" s="1171"/>
      <c r="E296" s="1181"/>
      <c r="F296" s="1839"/>
      <c r="G296" s="1840"/>
      <c r="H296" s="2545" t="s">
        <v>168</v>
      </c>
      <c r="I296" s="2546"/>
      <c r="J296" s="2515"/>
      <c r="K296" s="2547"/>
      <c r="L296" s="2137"/>
      <c r="M296" s="2138"/>
      <c r="N296" s="2538"/>
      <c r="O296" s="2539"/>
      <c r="P296" s="2542"/>
      <c r="Q296" s="2543"/>
      <c r="R296" s="2543"/>
      <c r="S296" s="2544"/>
      <c r="T296" s="2543"/>
      <c r="U296" s="2543"/>
      <c r="V296" s="2543"/>
      <c r="W296" s="2543"/>
      <c r="X296" s="2543"/>
      <c r="Y296" s="2543"/>
      <c r="Z296" s="1186"/>
      <c r="AA296" s="1187"/>
      <c r="AB296" s="1252" t="s">
        <v>1130</v>
      </c>
      <c r="AC296" s="1191"/>
      <c r="AD296" s="1191"/>
      <c r="AE296" s="1193"/>
      <c r="AF296" s="2536"/>
      <c r="AG296" s="2537"/>
      <c r="AH296" s="2537"/>
      <c r="AI296" s="2916"/>
      <c r="AJ296" s="2537"/>
      <c r="AK296" s="2537"/>
      <c r="AL296" s="1996"/>
      <c r="AM296" s="1833"/>
      <c r="AN296" s="1833"/>
      <c r="AO296" s="1833"/>
      <c r="AP296" s="1833"/>
      <c r="AQ296" s="1833"/>
      <c r="AR296" s="1833"/>
      <c r="AS296" s="1833"/>
      <c r="AT296" s="1833"/>
      <c r="AU296" s="1833"/>
      <c r="AV296" s="1833"/>
      <c r="AW296" s="1833"/>
      <c r="AX296" s="1833"/>
      <c r="AY296" s="1833"/>
      <c r="AZ296" s="1833"/>
      <c r="BA296" s="1833"/>
      <c r="BB296" s="1833"/>
      <c r="BC296" s="1833"/>
      <c r="BD296" s="1833"/>
      <c r="BE296" s="1833"/>
      <c r="BF296" s="1833"/>
      <c r="BG296" s="1646"/>
    </row>
    <row customHeight="1" ht="11.25">
      <c r="A297" s="1177" t="s">
        <v>1088</v>
      </c>
      <c r="B297" s="1177"/>
      <c r="C297" s="1177"/>
      <c r="D297" s="1171"/>
      <c r="E297" s="1181"/>
      <c r="F297" s="1839"/>
      <c r="G297" s="1840"/>
      <c r="H297" s="2545" t="s">
        <v>168</v>
      </c>
      <c r="I297" s="2546"/>
      <c r="J297" s="2515"/>
      <c r="K297" s="2547"/>
      <c r="L297" s="2137"/>
      <c r="M297" s="2138"/>
      <c r="N297" s="1186"/>
      <c r="O297" s="1187"/>
      <c r="P297" s="1179" t="s">
        <v>1131</v>
      </c>
      <c r="Q297" s="1187"/>
      <c r="R297" s="1187"/>
      <c r="S297" s="1187"/>
      <c r="T297" s="1187"/>
      <c r="U297" s="1187"/>
      <c r="V297" s="1187"/>
      <c r="W297" s="1187"/>
      <c r="X297" s="1187"/>
      <c r="Y297" s="1187"/>
      <c r="Z297" s="1187"/>
      <c r="AA297" s="1187"/>
      <c r="AB297" s="1187"/>
      <c r="AC297" s="1187"/>
      <c r="AD297" s="1187"/>
      <c r="AE297" s="1194"/>
      <c r="AF297" s="2536"/>
      <c r="AG297" s="2537"/>
      <c r="AH297" s="2537"/>
      <c r="AI297" s="2916"/>
      <c r="AJ297" s="2537"/>
      <c r="AK297" s="2537"/>
      <c r="AL297" s="1996"/>
      <c r="AM297" s="1833"/>
      <c r="AN297" s="1833"/>
      <c r="AO297" s="1833"/>
      <c r="AP297" s="1833"/>
      <c r="AQ297" s="1833"/>
      <c r="AR297" s="1833"/>
      <c r="AS297" s="1833"/>
      <c r="AT297" s="1833"/>
      <c r="AU297" s="1833"/>
      <c r="AV297" s="1833"/>
      <c r="AW297" s="1833"/>
      <c r="AX297" s="1833"/>
      <c r="AY297" s="1833"/>
      <c r="AZ297" s="1833"/>
      <c r="BA297" s="1833"/>
      <c r="BB297" s="1833"/>
      <c r="BC297" s="1833"/>
      <c r="BD297" s="1833"/>
      <c r="BE297" s="1833"/>
      <c r="BF297" s="1833"/>
      <c r="BG297" s="1646"/>
    </row>
    <row customHeight="1" ht="11.25">
      <c r="A298" s="1177" t="s">
        <v>1088</v>
      </c>
      <c r="B298" s="1177" t="s">
        <v>1155</v>
      </c>
      <c r="C298" s="1177"/>
      <c r="D298" s="1171"/>
      <c r="E298" s="1181"/>
      <c r="F298" s="1839"/>
      <c r="G298" s="694" t="s">
        <v>105</v>
      </c>
      <c r="H298" s="2545" t="s">
        <v>1165</v>
      </c>
      <c r="I298" s="2546" t="s">
        <v>1156</v>
      </c>
      <c r="J298" s="2515" t="s">
        <v>1160</v>
      </c>
      <c r="K298" s="2547" t="s">
        <v>1237</v>
      </c>
      <c r="L298" s="2137" t="s">
        <v>19</v>
      </c>
      <c r="M298" s="2138"/>
      <c r="N298" s="1994"/>
      <c r="O298" s="1188" t="s">
        <v>390</v>
      </c>
      <c r="P298" s="1189"/>
      <c r="Q298" s="1189"/>
      <c r="R298" s="1189"/>
      <c r="S298" s="1189"/>
      <c r="T298" s="1189"/>
      <c r="U298" s="1189"/>
      <c r="V298" s="1189"/>
      <c r="W298" s="1189"/>
      <c r="X298" s="1189"/>
      <c r="Y298" s="1189"/>
      <c r="Z298" s="1189"/>
      <c r="AA298" s="1189"/>
      <c r="AB298" s="1189"/>
      <c r="AC298" s="1189"/>
      <c r="AD298" s="1189"/>
      <c r="AE298" s="1189"/>
      <c r="AF298" s="2536">
        <v>2026</v>
      </c>
      <c r="AG298" s="2537" t="s">
        <v>1122</v>
      </c>
      <c r="AH298" s="2537" t="s">
        <v>1169</v>
      </c>
      <c r="AI298" s="2916"/>
      <c r="AJ298" s="2537" t="s">
        <v>1154</v>
      </c>
      <c r="AK298" s="2537" t="s">
        <v>1154</v>
      </c>
      <c r="AL298" s="1996"/>
      <c r="AM298" s="1833"/>
      <c r="AN298" s="1833"/>
      <c r="AO298" s="1833"/>
      <c r="AP298" s="1833"/>
      <c r="AQ298" s="1833"/>
      <c r="AR298" s="1833"/>
      <c r="AS298" s="1833"/>
      <c r="AT298" s="1833"/>
      <c r="AU298" s="1833"/>
      <c r="AV298" s="1833"/>
      <c r="AW298" s="1833"/>
      <c r="AX298" s="1833"/>
      <c r="AY298" s="1833"/>
      <c r="AZ298" s="1833"/>
      <c r="BA298" s="1833"/>
      <c r="BB298" s="1833"/>
      <c r="BC298" s="1833"/>
      <c r="BD298" s="1833"/>
      <c r="BE298" s="1833"/>
      <c r="BF298" s="1833"/>
      <c r="BG298" s="1646"/>
    </row>
    <row customHeight="1" ht="11.25">
      <c r="A299" s="1177" t="s">
        <v>1088</v>
      </c>
      <c r="B299" s="1177"/>
      <c r="C299" s="1177"/>
      <c r="D299" s="1171"/>
      <c r="E299" s="1181"/>
      <c r="F299" s="1839"/>
      <c r="G299" s="1840"/>
      <c r="H299" s="2545" t="s">
        <v>169</v>
      </c>
      <c r="I299" s="2546"/>
      <c r="J299" s="2515"/>
      <c r="K299" s="2547"/>
      <c r="L299" s="2137"/>
      <c r="M299" s="2138"/>
      <c r="N299" s="2538"/>
      <c r="O299" s="2539">
        <v>1</v>
      </c>
      <c r="P299" s="2540" t="s">
        <v>19</v>
      </c>
      <c r="Q299" s="2543" t="s">
        <v>22</v>
      </c>
      <c r="R299" s="2543" t="s">
        <v>22</v>
      </c>
      <c r="S299" s="2543" t="s">
        <v>22</v>
      </c>
      <c r="T299" s="2543" t="s">
        <v>22</v>
      </c>
      <c r="U299" s="2543" t="s">
        <v>22</v>
      </c>
      <c r="V299" s="2543" t="s">
        <v>22</v>
      </c>
      <c r="W299" s="2543" t="s">
        <v>22</v>
      </c>
      <c r="X299" s="2543" t="s">
        <v>22</v>
      </c>
      <c r="Y299" s="2543"/>
      <c r="Z299" s="1186"/>
      <c r="AA299" s="1187"/>
      <c r="AB299" s="1187"/>
      <c r="AC299" s="1191"/>
      <c r="AD299" s="1191"/>
      <c r="AE299" s="1192"/>
      <c r="AF299" s="2536"/>
      <c r="AG299" s="2537"/>
      <c r="AH299" s="2537"/>
      <c r="AI299" s="2916"/>
      <c r="AJ299" s="2537"/>
      <c r="AK299" s="2537"/>
      <c r="AL299" s="1996"/>
      <c r="AM299" s="1833"/>
      <c r="AN299" s="1833"/>
      <c r="AO299" s="1833"/>
      <c r="AP299" s="1833"/>
      <c r="AQ299" s="1833"/>
      <c r="AR299" s="1833"/>
      <c r="AS299" s="1833"/>
      <c r="AT299" s="1833"/>
      <c r="AU299" s="1833"/>
      <c r="AV299" s="1833"/>
      <c r="AW299" s="1833"/>
      <c r="AX299" s="1833"/>
      <c r="AY299" s="1833"/>
      <c r="AZ299" s="1833"/>
      <c r="BA299" s="1833"/>
      <c r="BB299" s="1833"/>
      <c r="BC299" s="1833"/>
      <c r="BD299" s="1833"/>
      <c r="BE299" s="1833"/>
      <c r="BF299" s="1833"/>
      <c r="BG299" s="1646"/>
    </row>
    <row customHeight="1" ht="11.25">
      <c r="A300" s="1177" t="s">
        <v>1088</v>
      </c>
      <c r="B300" s="1177"/>
      <c r="C300" s="1177"/>
      <c r="D300" s="1171"/>
      <c r="E300" s="1181"/>
      <c r="F300" s="1839"/>
      <c r="G300" s="1840"/>
      <c r="H300" s="2545" t="s">
        <v>169</v>
      </c>
      <c r="I300" s="2546"/>
      <c r="J300" s="2515"/>
      <c r="K300" s="2547"/>
      <c r="L300" s="2137"/>
      <c r="M300" s="2138"/>
      <c r="N300" s="2538"/>
      <c r="O300" s="2539"/>
      <c r="P300" s="2541"/>
      <c r="Q300" s="2543"/>
      <c r="R300" s="2543"/>
      <c r="S300" s="2544"/>
      <c r="T300" s="2543"/>
      <c r="U300" s="2543"/>
      <c r="V300" s="2543"/>
      <c r="W300" s="2543"/>
      <c r="X300" s="2543"/>
      <c r="Y300" s="2543"/>
      <c r="Z300" s="1838"/>
      <c r="AA300" s="1804">
        <v>1</v>
      </c>
      <c r="AB300" s="1190" t="s">
        <v>1234</v>
      </c>
      <c r="AC300" s="1180">
        <v>43408.83</v>
      </c>
      <c r="AD300" s="1190" t="str">
        <f>AB300</f>
        <v>  Прочие</v>
      </c>
      <c r="AE300" s="1180">
        <v>0</v>
      </c>
      <c r="AF300" s="2536"/>
      <c r="AG300" s="2537"/>
      <c r="AH300" s="2537"/>
      <c r="AI300" s="2916"/>
      <c r="AJ300" s="2537"/>
      <c r="AK300" s="2537"/>
      <c r="AL300" s="1996"/>
      <c r="AM300" s="1833"/>
      <c r="AN300" s="1833"/>
      <c r="AO300" s="1833"/>
      <c r="AP300" s="1833"/>
      <c r="AQ300" s="1833"/>
      <c r="AR300" s="1833"/>
      <c r="AS300" s="1833"/>
      <c r="AT300" s="1833"/>
      <c r="AU300" s="1833"/>
      <c r="AV300" s="1833"/>
      <c r="AW300" s="1833"/>
      <c r="AX300" s="1833"/>
      <c r="AY300" s="1833"/>
      <c r="AZ300" s="1833"/>
      <c r="BA300" s="1833"/>
      <c r="BB300" s="1833"/>
      <c r="BC300" s="1833"/>
      <c r="BD300" s="1833"/>
      <c r="BE300" s="1833"/>
      <c r="BF300" s="1833"/>
      <c r="BG300" s="1646"/>
    </row>
    <row customHeight="1" ht="11.25">
      <c r="A301" s="1177" t="s">
        <v>1088</v>
      </c>
      <c r="B301" s="1177"/>
      <c r="C301" s="1177"/>
      <c r="D301" s="1171"/>
      <c r="E301" s="1181"/>
      <c r="F301" s="1839"/>
      <c r="G301" s="1840"/>
      <c r="H301" s="2545" t="s">
        <v>169</v>
      </c>
      <c r="I301" s="2546"/>
      <c r="J301" s="2515"/>
      <c r="K301" s="2547"/>
      <c r="L301" s="2137"/>
      <c r="M301" s="2138"/>
      <c r="N301" s="2538"/>
      <c r="O301" s="2539"/>
      <c r="P301" s="2542"/>
      <c r="Q301" s="2543"/>
      <c r="R301" s="2543"/>
      <c r="S301" s="2544"/>
      <c r="T301" s="2543"/>
      <c r="U301" s="2543"/>
      <c r="V301" s="2543"/>
      <c r="W301" s="2543"/>
      <c r="X301" s="2543"/>
      <c r="Y301" s="2543"/>
      <c r="Z301" s="1186"/>
      <c r="AA301" s="1187"/>
      <c r="AB301" s="1252" t="s">
        <v>1130</v>
      </c>
      <c r="AC301" s="1191"/>
      <c r="AD301" s="1191"/>
      <c r="AE301" s="1193"/>
      <c r="AF301" s="2536"/>
      <c r="AG301" s="2537"/>
      <c r="AH301" s="2537"/>
      <c r="AI301" s="2916"/>
      <c r="AJ301" s="2537"/>
      <c r="AK301" s="2537"/>
      <c r="AL301" s="1996"/>
      <c r="AM301" s="1833"/>
      <c r="AN301" s="1833"/>
      <c r="AO301" s="1833"/>
      <c r="AP301" s="1833"/>
      <c r="AQ301" s="1833"/>
      <c r="AR301" s="1833"/>
      <c r="AS301" s="1833"/>
      <c r="AT301" s="1833"/>
      <c r="AU301" s="1833"/>
      <c r="AV301" s="1833"/>
      <c r="AW301" s="1833"/>
      <c r="AX301" s="1833"/>
      <c r="AY301" s="1833"/>
      <c r="AZ301" s="1833"/>
      <c r="BA301" s="1833"/>
      <c r="BB301" s="1833"/>
      <c r="BC301" s="1833"/>
      <c r="BD301" s="1833"/>
      <c r="BE301" s="1833"/>
      <c r="BF301" s="1833"/>
      <c r="BG301" s="1646"/>
    </row>
    <row customHeight="1" ht="11.25">
      <c r="A302" s="1177" t="s">
        <v>1088</v>
      </c>
      <c r="B302" s="1177"/>
      <c r="C302" s="1177"/>
      <c r="D302" s="1171"/>
      <c r="E302" s="1181"/>
      <c r="F302" s="1839"/>
      <c r="G302" s="1840"/>
      <c r="H302" s="2545" t="s">
        <v>169</v>
      </c>
      <c r="I302" s="2546"/>
      <c r="J302" s="2515"/>
      <c r="K302" s="2547"/>
      <c r="L302" s="2137"/>
      <c r="M302" s="2138"/>
      <c r="N302" s="1186"/>
      <c r="O302" s="1187"/>
      <c r="P302" s="1179" t="s">
        <v>1131</v>
      </c>
      <c r="Q302" s="1187"/>
      <c r="R302" s="1187"/>
      <c r="S302" s="1187"/>
      <c r="T302" s="1187"/>
      <c r="U302" s="1187"/>
      <c r="V302" s="1187"/>
      <c r="W302" s="1187"/>
      <c r="X302" s="1187"/>
      <c r="Y302" s="1187"/>
      <c r="Z302" s="1187"/>
      <c r="AA302" s="1187"/>
      <c r="AB302" s="1187"/>
      <c r="AC302" s="1187"/>
      <c r="AD302" s="1187"/>
      <c r="AE302" s="1194"/>
      <c r="AF302" s="2536"/>
      <c r="AG302" s="2537"/>
      <c r="AH302" s="2537"/>
      <c r="AI302" s="2916"/>
      <c r="AJ302" s="2537"/>
      <c r="AK302" s="2537"/>
      <c r="AL302" s="1996"/>
      <c r="AM302" s="1833"/>
      <c r="AN302" s="1833"/>
      <c r="AO302" s="1833"/>
      <c r="AP302" s="1833"/>
      <c r="AQ302" s="1833"/>
      <c r="AR302" s="1833"/>
      <c r="AS302" s="1833"/>
      <c r="AT302" s="1833"/>
      <c r="AU302" s="1833"/>
      <c r="AV302" s="1833"/>
      <c r="AW302" s="1833"/>
      <c r="AX302" s="1833"/>
      <c r="AY302" s="1833"/>
      <c r="AZ302" s="1833"/>
      <c r="BA302" s="1833"/>
      <c r="BB302" s="1833"/>
      <c r="BC302" s="1833"/>
      <c r="BD302" s="1833"/>
      <c r="BE302" s="1833"/>
      <c r="BF302" s="1833"/>
      <c r="BG302" s="1646"/>
    </row>
    <row customHeight="1" ht="11.25">
      <c r="A303" s="1177" t="s">
        <v>1088</v>
      </c>
      <c r="B303" s="1177" t="s">
        <v>1155</v>
      </c>
      <c r="C303" s="1177"/>
      <c r="D303" s="1171"/>
      <c r="E303" s="1181"/>
      <c r="F303" s="1839"/>
      <c r="G303" s="694" t="s">
        <v>105</v>
      </c>
      <c r="H303" s="2545" t="s">
        <v>1167</v>
      </c>
      <c r="I303" s="2546" t="s">
        <v>1156</v>
      </c>
      <c r="J303" s="2515" t="s">
        <v>1157</v>
      </c>
      <c r="K303" s="2547" t="s">
        <v>1158</v>
      </c>
      <c r="L303" s="2137" t="s">
        <v>19</v>
      </c>
      <c r="M303" s="2138"/>
      <c r="N303" s="1994"/>
      <c r="O303" s="1188" t="s">
        <v>390</v>
      </c>
      <c r="P303" s="1189"/>
      <c r="Q303" s="1189"/>
      <c r="R303" s="1189"/>
      <c r="S303" s="1189"/>
      <c r="T303" s="1189"/>
      <c r="U303" s="1189"/>
      <c r="V303" s="1189"/>
      <c r="W303" s="1189"/>
      <c r="X303" s="1189"/>
      <c r="Y303" s="1189"/>
      <c r="Z303" s="1189"/>
      <c r="AA303" s="1189"/>
      <c r="AB303" s="1189"/>
      <c r="AC303" s="1189"/>
      <c r="AD303" s="1189"/>
      <c r="AE303" s="1189"/>
      <c r="AF303" s="2536">
        <v>2028</v>
      </c>
      <c r="AG303" s="2537" t="s">
        <v>1122</v>
      </c>
      <c r="AH303" s="2537" t="s">
        <v>1153</v>
      </c>
      <c r="AI303" s="2916"/>
      <c r="AJ303" s="2537" t="s">
        <v>1154</v>
      </c>
      <c r="AK303" s="2537" t="s">
        <v>1154</v>
      </c>
      <c r="AL303" s="1996"/>
      <c r="AM303" s="1833"/>
      <c r="AN303" s="1833"/>
      <c r="AO303" s="1833"/>
      <c r="AP303" s="1833"/>
      <c r="AQ303" s="1833"/>
      <c r="AR303" s="1833"/>
      <c r="AS303" s="1833"/>
      <c r="AT303" s="1833"/>
      <c r="AU303" s="1833"/>
      <c r="AV303" s="1833"/>
      <c r="AW303" s="1833"/>
      <c r="AX303" s="1833"/>
      <c r="AY303" s="1833"/>
      <c r="AZ303" s="1833"/>
      <c r="BA303" s="1833"/>
      <c r="BB303" s="1833"/>
      <c r="BC303" s="1833"/>
      <c r="BD303" s="1833"/>
      <c r="BE303" s="1833"/>
      <c r="BF303" s="1833"/>
      <c r="BG303" s="1646"/>
    </row>
    <row customHeight="1" ht="11.25">
      <c r="A304" s="1177" t="s">
        <v>1088</v>
      </c>
      <c r="B304" s="1177"/>
      <c r="C304" s="1177"/>
      <c r="D304" s="1171"/>
      <c r="E304" s="1181"/>
      <c r="F304" s="1839"/>
      <c r="G304" s="1840"/>
      <c r="H304" s="2545" t="s">
        <v>1165</v>
      </c>
      <c r="I304" s="2546"/>
      <c r="J304" s="2515"/>
      <c r="K304" s="2547"/>
      <c r="L304" s="2137"/>
      <c r="M304" s="2138"/>
      <c r="N304" s="2538"/>
      <c r="O304" s="2539">
        <v>1</v>
      </c>
      <c r="P304" s="2540" t="s">
        <v>63</v>
      </c>
      <c r="Q304" s="2913" t="s">
        <v>1238</v>
      </c>
      <c r="R304" s="2914" t="s">
        <v>1124</v>
      </c>
      <c r="S304" s="2914" t="s">
        <v>101</v>
      </c>
      <c r="T304" s="2914" t="s">
        <v>101</v>
      </c>
      <c r="U304" s="2914" t="s">
        <v>102</v>
      </c>
      <c r="V304" s="2914" t="s">
        <v>1125</v>
      </c>
      <c r="W304" s="2914" t="s">
        <v>1126</v>
      </c>
      <c r="X304" s="2914" t="s">
        <v>1239</v>
      </c>
      <c r="Y304" s="2914" t="s">
        <v>93</v>
      </c>
      <c r="Z304" s="1186"/>
      <c r="AA304" s="1187"/>
      <c r="AB304" s="1187"/>
      <c r="AC304" s="1191"/>
      <c r="AD304" s="1191"/>
      <c r="AE304" s="1192"/>
      <c r="AF304" s="2536"/>
      <c r="AG304" s="2537"/>
      <c r="AH304" s="2537"/>
      <c r="AI304" s="2916"/>
      <c r="AJ304" s="2537"/>
      <c r="AK304" s="2537"/>
      <c r="AL304" s="1996"/>
      <c r="AM304" s="1833"/>
      <c r="AN304" s="1833"/>
      <c r="AO304" s="1833"/>
      <c r="AP304" s="1833"/>
      <c r="AQ304" s="1833"/>
      <c r="AR304" s="1833"/>
      <c r="AS304" s="1833"/>
      <c r="AT304" s="1833"/>
      <c r="AU304" s="1833"/>
      <c r="AV304" s="1833"/>
      <c r="AW304" s="1833"/>
      <c r="AX304" s="1833"/>
      <c r="AY304" s="1833"/>
      <c r="AZ304" s="1833"/>
      <c r="BA304" s="1833"/>
      <c r="BB304" s="1833"/>
      <c r="BC304" s="1833"/>
      <c r="BD304" s="1833"/>
      <c r="BE304" s="1833"/>
      <c r="BF304" s="1833"/>
      <c r="BG304" s="1646"/>
    </row>
    <row customHeight="1" ht="11.25">
      <c r="A305" s="1177" t="s">
        <v>1088</v>
      </c>
      <c r="B305" s="1177"/>
      <c r="C305" s="1177"/>
      <c r="D305" s="1171"/>
      <c r="E305" s="1181"/>
      <c r="F305" s="1839"/>
      <c r="G305" s="1840"/>
      <c r="H305" s="2545" t="s">
        <v>1165</v>
      </c>
      <c r="I305" s="2546"/>
      <c r="J305" s="2515"/>
      <c r="K305" s="2547"/>
      <c r="L305" s="2137"/>
      <c r="M305" s="2138"/>
      <c r="N305" s="2538"/>
      <c r="O305" s="2539"/>
      <c r="P305" s="2541"/>
      <c r="Q305" s="2913"/>
      <c r="R305" s="2543"/>
      <c r="S305" s="2544"/>
      <c r="T305" s="2543"/>
      <c r="U305" s="2543"/>
      <c r="V305" s="2543"/>
      <c r="W305" s="2543"/>
      <c r="X305" s="2543"/>
      <c r="Y305" s="2543"/>
      <c r="Z305" s="1838"/>
      <c r="AA305" s="1804">
        <v>1</v>
      </c>
      <c r="AB305" s="1190" t="s">
        <v>1159</v>
      </c>
      <c r="AC305" s="1180">
        <v>15407.513</v>
      </c>
      <c r="AD305" s="1190" t="str">
        <f>AB305</f>
        <v>      Прочие амортизационные отчисления</v>
      </c>
      <c r="AE305" s="1180">
        <v>0</v>
      </c>
      <c r="AF305" s="2536"/>
      <c r="AG305" s="2537"/>
      <c r="AH305" s="2537"/>
      <c r="AI305" s="2916"/>
      <c r="AJ305" s="2537"/>
      <c r="AK305" s="2537"/>
      <c r="AL305" s="1996"/>
      <c r="AM305" s="1833"/>
      <c r="AN305" s="1833"/>
      <c r="AO305" s="1833"/>
      <c r="AP305" s="1833"/>
      <c r="AQ305" s="1833"/>
      <c r="AR305" s="1833"/>
      <c r="AS305" s="1833"/>
      <c r="AT305" s="1833"/>
      <c r="AU305" s="1833"/>
      <c r="AV305" s="1833"/>
      <c r="AW305" s="1833"/>
      <c r="AX305" s="1833"/>
      <c r="AY305" s="1833"/>
      <c r="AZ305" s="1833"/>
      <c r="BA305" s="1833"/>
      <c r="BB305" s="1833"/>
      <c r="BC305" s="1833"/>
      <c r="BD305" s="1833"/>
      <c r="BE305" s="1833"/>
      <c r="BF305" s="1833"/>
      <c r="BG305" s="1646"/>
    </row>
    <row customHeight="1" ht="11.25">
      <c r="A306" s="1177" t="s">
        <v>1088</v>
      </c>
      <c r="B306" s="1177"/>
      <c r="C306" s="1177"/>
      <c r="D306" s="1171"/>
      <c r="E306" s="1181"/>
      <c r="F306" s="1839"/>
      <c r="G306" s="1840"/>
      <c r="H306" s="2545" t="s">
        <v>1165</v>
      </c>
      <c r="I306" s="2546"/>
      <c r="J306" s="2515"/>
      <c r="K306" s="2547"/>
      <c r="L306" s="2137"/>
      <c r="M306" s="2138"/>
      <c r="N306" s="2538"/>
      <c r="O306" s="2539"/>
      <c r="P306" s="2542"/>
      <c r="Q306" s="2913"/>
      <c r="R306" s="2543"/>
      <c r="S306" s="2544"/>
      <c r="T306" s="2543"/>
      <c r="U306" s="2543"/>
      <c r="V306" s="2543"/>
      <c r="W306" s="2543"/>
      <c r="X306" s="2543"/>
      <c r="Y306" s="2543"/>
      <c r="Z306" s="1186"/>
      <c r="AA306" s="1187"/>
      <c r="AB306" s="1252" t="s">
        <v>1130</v>
      </c>
      <c r="AC306" s="1191"/>
      <c r="AD306" s="1191"/>
      <c r="AE306" s="1193"/>
      <c r="AF306" s="2536"/>
      <c r="AG306" s="2537"/>
      <c r="AH306" s="2537"/>
      <c r="AI306" s="2916"/>
      <c r="AJ306" s="2537"/>
      <c r="AK306" s="2537"/>
      <c r="AL306" s="1996"/>
      <c r="AM306" s="1833"/>
      <c r="AN306" s="1833"/>
      <c r="AO306" s="1833"/>
      <c r="AP306" s="1833"/>
      <c r="AQ306" s="1833"/>
      <c r="AR306" s="1833"/>
      <c r="AS306" s="1833"/>
      <c r="AT306" s="1833"/>
      <c r="AU306" s="1833"/>
      <c r="AV306" s="1833"/>
      <c r="AW306" s="1833"/>
      <c r="AX306" s="1833"/>
      <c r="AY306" s="1833"/>
      <c r="AZ306" s="1833"/>
      <c r="BA306" s="1833"/>
      <c r="BB306" s="1833"/>
      <c r="BC306" s="1833"/>
      <c r="BD306" s="1833"/>
      <c r="BE306" s="1833"/>
      <c r="BF306" s="1833"/>
      <c r="BG306" s="1646"/>
    </row>
    <row customHeight="1" ht="11.25">
      <c r="A307" s="1177" t="s">
        <v>1088</v>
      </c>
      <c r="B307" s="1177"/>
      <c r="C307" s="1177"/>
      <c r="D307" s="1171"/>
      <c r="E307" s="1181"/>
      <c r="F307" s="1839"/>
      <c r="G307" s="1840"/>
      <c r="H307" s="2545" t="s">
        <v>1165</v>
      </c>
      <c r="I307" s="2546"/>
      <c r="J307" s="2515"/>
      <c r="K307" s="2547"/>
      <c r="L307" s="2137"/>
      <c r="M307" s="2138"/>
      <c r="N307" s="1186"/>
      <c r="O307" s="1187"/>
      <c r="P307" s="1179" t="s">
        <v>1131</v>
      </c>
      <c r="Q307" s="1187"/>
      <c r="R307" s="1187"/>
      <c r="S307" s="1187"/>
      <c r="T307" s="1187"/>
      <c r="U307" s="1187"/>
      <c r="V307" s="1187"/>
      <c r="W307" s="1187"/>
      <c r="X307" s="1187"/>
      <c r="Y307" s="1187"/>
      <c r="Z307" s="1187"/>
      <c r="AA307" s="1187"/>
      <c r="AB307" s="1187"/>
      <c r="AC307" s="1187"/>
      <c r="AD307" s="1187"/>
      <c r="AE307" s="1194"/>
      <c r="AF307" s="2536"/>
      <c r="AG307" s="2537"/>
      <c r="AH307" s="2537"/>
      <c r="AI307" s="2916"/>
      <c r="AJ307" s="2537"/>
      <c r="AK307" s="2537"/>
      <c r="AL307" s="1996"/>
      <c r="AM307" s="1833"/>
      <c r="AN307" s="1833"/>
      <c r="AO307" s="1833"/>
      <c r="AP307" s="1833"/>
      <c r="AQ307" s="1833"/>
      <c r="AR307" s="1833"/>
      <c r="AS307" s="1833"/>
      <c r="AT307" s="1833"/>
      <c r="AU307" s="1833"/>
      <c r="AV307" s="1833"/>
      <c r="AW307" s="1833"/>
      <c r="AX307" s="1833"/>
      <c r="AY307" s="1833"/>
      <c r="AZ307" s="1833"/>
      <c r="BA307" s="1833"/>
      <c r="BB307" s="1833"/>
      <c r="BC307" s="1833"/>
      <c r="BD307" s="1833"/>
      <c r="BE307" s="1833"/>
      <c r="BF307" s="1833"/>
      <c r="BG307" s="1646"/>
    </row>
    <row customHeight="1" ht="11.25">
      <c r="A308" s="1177" t="s">
        <v>1088</v>
      </c>
      <c r="B308" s="1177" t="s">
        <v>1155</v>
      </c>
      <c r="C308" s="1177"/>
      <c r="D308" s="1171"/>
      <c r="E308" s="1181"/>
      <c r="F308" s="1839"/>
      <c r="G308" s="694" t="s">
        <v>105</v>
      </c>
      <c r="H308" s="2545" t="s">
        <v>1172</v>
      </c>
      <c r="I308" s="2546" t="s">
        <v>1156</v>
      </c>
      <c r="J308" s="2515" t="s">
        <v>1157</v>
      </c>
      <c r="K308" s="2547" t="s">
        <v>1168</v>
      </c>
      <c r="L308" s="2137" t="s">
        <v>19</v>
      </c>
      <c r="M308" s="2138"/>
      <c r="N308" s="1994"/>
      <c r="O308" s="1188" t="s">
        <v>390</v>
      </c>
      <c r="P308" s="1189"/>
      <c r="Q308" s="1189"/>
      <c r="R308" s="1189"/>
      <c r="S308" s="1189"/>
      <c r="T308" s="1189"/>
      <c r="U308" s="1189"/>
      <c r="V308" s="1189"/>
      <c r="W308" s="1189"/>
      <c r="X308" s="1189"/>
      <c r="Y308" s="1189"/>
      <c r="Z308" s="1189"/>
      <c r="AA308" s="1189"/>
      <c r="AB308" s="1189"/>
      <c r="AC308" s="1189"/>
      <c r="AD308" s="1189"/>
      <c r="AE308" s="1189"/>
      <c r="AF308" s="2536">
        <v>2026</v>
      </c>
      <c r="AG308" s="2537" t="s">
        <v>1122</v>
      </c>
      <c r="AH308" s="2537" t="s">
        <v>1169</v>
      </c>
      <c r="AI308" s="2916"/>
      <c r="AJ308" s="2537" t="s">
        <v>1154</v>
      </c>
      <c r="AK308" s="2537" t="s">
        <v>1154</v>
      </c>
      <c r="AL308" s="1996"/>
      <c r="AM308" s="1833"/>
      <c r="AN308" s="1833"/>
      <c r="AO308" s="1833"/>
      <c r="AP308" s="1833"/>
      <c r="AQ308" s="1833"/>
      <c r="AR308" s="1833"/>
      <c r="AS308" s="1833"/>
      <c r="AT308" s="1833"/>
      <c r="AU308" s="1833"/>
      <c r="AV308" s="1833"/>
      <c r="AW308" s="1833"/>
      <c r="AX308" s="1833"/>
      <c r="AY308" s="1833"/>
      <c r="AZ308" s="1833"/>
      <c r="BA308" s="1833"/>
      <c r="BB308" s="1833"/>
      <c r="BC308" s="1833"/>
      <c r="BD308" s="1833"/>
      <c r="BE308" s="1833"/>
      <c r="BF308" s="1833"/>
      <c r="BG308" s="1646"/>
    </row>
    <row customHeight="1" ht="11.25">
      <c r="A309" s="1177" t="s">
        <v>1088</v>
      </c>
      <c r="B309" s="1177"/>
      <c r="C309" s="1177"/>
      <c r="D309" s="1171"/>
      <c r="E309" s="1181"/>
      <c r="F309" s="1839"/>
      <c r="G309" s="1840"/>
      <c r="H309" s="2545" t="s">
        <v>1167</v>
      </c>
      <c r="I309" s="2546"/>
      <c r="J309" s="2515"/>
      <c r="K309" s="2547"/>
      <c r="L309" s="2137"/>
      <c r="M309" s="2138"/>
      <c r="N309" s="2538"/>
      <c r="O309" s="2539">
        <v>1</v>
      </c>
      <c r="P309" s="2540" t="s">
        <v>63</v>
      </c>
      <c r="Q309" s="2913" t="s">
        <v>633</v>
      </c>
      <c r="R309" s="2914" t="s">
        <v>1124</v>
      </c>
      <c r="S309" s="2914" t="s">
        <v>101</v>
      </c>
      <c r="T309" s="2914" t="s">
        <v>101</v>
      </c>
      <c r="U309" s="2914" t="s">
        <v>102</v>
      </c>
      <c r="V309" s="2914" t="s">
        <v>1125</v>
      </c>
      <c r="W309" s="2914" t="s">
        <v>1126</v>
      </c>
      <c r="X309" s="2914" t="s">
        <v>1170</v>
      </c>
      <c r="Y309" s="2914" t="s">
        <v>1171</v>
      </c>
      <c r="Z309" s="1186"/>
      <c r="AA309" s="1187"/>
      <c r="AB309" s="1187"/>
      <c r="AC309" s="1191"/>
      <c r="AD309" s="1191"/>
      <c r="AE309" s="1192"/>
      <c r="AF309" s="2536"/>
      <c r="AG309" s="2537"/>
      <c r="AH309" s="2537"/>
      <c r="AI309" s="2916"/>
      <c r="AJ309" s="2537"/>
      <c r="AK309" s="2537"/>
      <c r="AL309" s="1996"/>
      <c r="AM309" s="1833"/>
      <c r="AN309" s="1833"/>
      <c r="AO309" s="1833"/>
      <c r="AP309" s="1833"/>
      <c r="AQ309" s="1833"/>
      <c r="AR309" s="1833"/>
      <c r="AS309" s="1833"/>
      <c r="AT309" s="1833"/>
      <c r="AU309" s="1833"/>
      <c r="AV309" s="1833"/>
      <c r="AW309" s="1833"/>
      <c r="AX309" s="1833"/>
      <c r="AY309" s="1833"/>
      <c r="AZ309" s="1833"/>
      <c r="BA309" s="1833"/>
      <c r="BB309" s="1833"/>
      <c r="BC309" s="1833"/>
      <c r="BD309" s="1833"/>
      <c r="BE309" s="1833"/>
      <c r="BF309" s="1833"/>
      <c r="BG309" s="1646"/>
    </row>
    <row customHeight="1" ht="11.25">
      <c r="A310" s="1177" t="s">
        <v>1088</v>
      </c>
      <c r="B310" s="1177"/>
      <c r="C310" s="1177"/>
      <c r="D310" s="1171"/>
      <c r="E310" s="1181"/>
      <c r="F310" s="1839"/>
      <c r="G310" s="1840"/>
      <c r="H310" s="2545" t="s">
        <v>1167</v>
      </c>
      <c r="I310" s="2546"/>
      <c r="J310" s="2515"/>
      <c r="K310" s="2547"/>
      <c r="L310" s="2137"/>
      <c r="M310" s="2138"/>
      <c r="N310" s="2538"/>
      <c r="O310" s="2539"/>
      <c r="P310" s="2541"/>
      <c r="Q310" s="2913"/>
      <c r="R310" s="2543"/>
      <c r="S310" s="2544"/>
      <c r="T310" s="2543"/>
      <c r="U310" s="2543"/>
      <c r="V310" s="2543"/>
      <c r="W310" s="2543"/>
      <c r="X310" s="2543"/>
      <c r="Y310" s="2543"/>
      <c r="Z310" s="1838"/>
      <c r="AA310" s="1804">
        <v>1</v>
      </c>
      <c r="AB310" s="1190" t="s">
        <v>1159</v>
      </c>
      <c r="AC310" s="1180">
        <v>20601.1</v>
      </c>
      <c r="AD310" s="1190" t="str">
        <f>AB310</f>
        <v>      Прочие амортизационные отчисления</v>
      </c>
      <c r="AE310" s="1180">
        <v>0</v>
      </c>
      <c r="AF310" s="2536"/>
      <c r="AG310" s="2537"/>
      <c r="AH310" s="2537"/>
      <c r="AI310" s="2916"/>
      <c r="AJ310" s="2537"/>
      <c r="AK310" s="2537"/>
      <c r="AL310" s="1996"/>
      <c r="AM310" s="1833"/>
      <c r="AN310" s="1833"/>
      <c r="AO310" s="1833"/>
      <c r="AP310" s="1833"/>
      <c r="AQ310" s="1833"/>
      <c r="AR310" s="1833"/>
      <c r="AS310" s="1833"/>
      <c r="AT310" s="1833"/>
      <c r="AU310" s="1833"/>
      <c r="AV310" s="1833"/>
      <c r="AW310" s="1833"/>
      <c r="AX310" s="1833"/>
      <c r="AY310" s="1833"/>
      <c r="AZ310" s="1833"/>
      <c r="BA310" s="1833"/>
      <c r="BB310" s="1833"/>
      <c r="BC310" s="1833"/>
      <c r="BD310" s="1833"/>
      <c r="BE310" s="1833"/>
      <c r="BF310" s="1833"/>
      <c r="BG310" s="1646"/>
    </row>
    <row customHeight="1" ht="11.25">
      <c r="A311" s="1177" t="s">
        <v>1088</v>
      </c>
      <c r="B311" s="1177"/>
      <c r="C311" s="1177"/>
      <c r="D311" s="1171"/>
      <c r="E311" s="1181"/>
      <c r="F311" s="1839"/>
      <c r="G311" s="1840"/>
      <c r="H311" s="2545" t="s">
        <v>1167</v>
      </c>
      <c r="I311" s="2546"/>
      <c r="J311" s="2515"/>
      <c r="K311" s="2547"/>
      <c r="L311" s="2137"/>
      <c r="M311" s="2138"/>
      <c r="N311" s="2538"/>
      <c r="O311" s="2539"/>
      <c r="P311" s="2542"/>
      <c r="Q311" s="2913"/>
      <c r="R311" s="2543"/>
      <c r="S311" s="2544"/>
      <c r="T311" s="2543"/>
      <c r="U311" s="2543"/>
      <c r="V311" s="2543"/>
      <c r="W311" s="2543"/>
      <c r="X311" s="2543"/>
      <c r="Y311" s="2543"/>
      <c r="Z311" s="1186"/>
      <c r="AA311" s="1187"/>
      <c r="AB311" s="1252" t="s">
        <v>1130</v>
      </c>
      <c r="AC311" s="1191"/>
      <c r="AD311" s="1191"/>
      <c r="AE311" s="1193"/>
      <c r="AF311" s="2536"/>
      <c r="AG311" s="2537"/>
      <c r="AH311" s="2537"/>
      <c r="AI311" s="2916"/>
      <c r="AJ311" s="2537"/>
      <c r="AK311" s="2537"/>
      <c r="AL311" s="1996"/>
      <c r="AM311" s="1833"/>
      <c r="AN311" s="1833"/>
      <c r="AO311" s="1833"/>
      <c r="AP311" s="1833"/>
      <c r="AQ311" s="1833"/>
      <c r="AR311" s="1833"/>
      <c r="AS311" s="1833"/>
      <c r="AT311" s="1833"/>
      <c r="AU311" s="1833"/>
      <c r="AV311" s="1833"/>
      <c r="AW311" s="1833"/>
      <c r="AX311" s="1833"/>
      <c r="AY311" s="1833"/>
      <c r="AZ311" s="1833"/>
      <c r="BA311" s="1833"/>
      <c r="BB311" s="1833"/>
      <c r="BC311" s="1833"/>
      <c r="BD311" s="1833"/>
      <c r="BE311" s="1833"/>
      <c r="BF311" s="1833"/>
      <c r="BG311" s="1646"/>
    </row>
    <row customHeight="1" ht="11.25">
      <c r="A312" s="1177" t="s">
        <v>1088</v>
      </c>
      <c r="B312" s="1177"/>
      <c r="C312" s="1177"/>
      <c r="D312" s="1171"/>
      <c r="E312" s="1181"/>
      <c r="F312" s="1839"/>
      <c r="G312" s="1840"/>
      <c r="H312" s="2545" t="s">
        <v>1167</v>
      </c>
      <c r="I312" s="2546"/>
      <c r="J312" s="2515"/>
      <c r="K312" s="2547"/>
      <c r="L312" s="2137"/>
      <c r="M312" s="2138"/>
      <c r="N312" s="1186"/>
      <c r="O312" s="1187"/>
      <c r="P312" s="1179" t="s">
        <v>1131</v>
      </c>
      <c r="Q312" s="1187"/>
      <c r="R312" s="1187"/>
      <c r="S312" s="1187"/>
      <c r="T312" s="1187"/>
      <c r="U312" s="1187"/>
      <c r="V312" s="1187"/>
      <c r="W312" s="1187"/>
      <c r="X312" s="1187"/>
      <c r="Y312" s="1187"/>
      <c r="Z312" s="1187"/>
      <c r="AA312" s="1187"/>
      <c r="AB312" s="1187"/>
      <c r="AC312" s="1187"/>
      <c r="AD312" s="1187"/>
      <c r="AE312" s="1194"/>
      <c r="AF312" s="2536"/>
      <c r="AG312" s="2537"/>
      <c r="AH312" s="2537"/>
      <c r="AI312" s="2916"/>
      <c r="AJ312" s="2537"/>
      <c r="AK312" s="2537"/>
      <c r="AL312" s="1996"/>
      <c r="AM312" s="1833"/>
      <c r="AN312" s="1833"/>
      <c r="AO312" s="1833"/>
      <c r="AP312" s="1833"/>
      <c r="AQ312" s="1833"/>
      <c r="AR312" s="1833"/>
      <c r="AS312" s="1833"/>
      <c r="AT312" s="1833"/>
      <c r="AU312" s="1833"/>
      <c r="AV312" s="1833"/>
      <c r="AW312" s="1833"/>
      <c r="AX312" s="1833"/>
      <c r="AY312" s="1833"/>
      <c r="AZ312" s="1833"/>
      <c r="BA312" s="1833"/>
      <c r="BB312" s="1833"/>
      <c r="BC312" s="1833"/>
      <c r="BD312" s="1833"/>
      <c r="BE312" s="1833"/>
      <c r="BF312" s="1833"/>
      <c r="BG312" s="1646"/>
    </row>
    <row customHeight="1" ht="11.25">
      <c r="A313" s="1177" t="s">
        <v>1088</v>
      </c>
      <c r="B313" s="1177" t="s">
        <v>1155</v>
      </c>
      <c r="C313" s="1177"/>
      <c r="D313" s="1171"/>
      <c r="E313" s="1181"/>
      <c r="F313" s="1839"/>
      <c r="G313" s="694" t="s">
        <v>105</v>
      </c>
      <c r="H313" s="2545" t="s">
        <v>1177</v>
      </c>
      <c r="I313" s="2546" t="s">
        <v>1156</v>
      </c>
      <c r="J313" s="2515" t="s">
        <v>1157</v>
      </c>
      <c r="K313" s="2547" t="s">
        <v>1240</v>
      </c>
      <c r="L313" s="2137" t="s">
        <v>19</v>
      </c>
      <c r="M313" s="2138"/>
      <c r="N313" s="1994"/>
      <c r="O313" s="1188" t="s">
        <v>390</v>
      </c>
      <c r="P313" s="1189"/>
      <c r="Q313" s="1189"/>
      <c r="R313" s="1189"/>
      <c r="S313" s="1189"/>
      <c r="T313" s="1189"/>
      <c r="U313" s="1189"/>
      <c r="V313" s="1189"/>
      <c r="W313" s="1189"/>
      <c r="X313" s="1189"/>
      <c r="Y313" s="1189"/>
      <c r="Z313" s="1189"/>
      <c r="AA313" s="1189"/>
      <c r="AB313" s="1189"/>
      <c r="AC313" s="1189"/>
      <c r="AD313" s="1189"/>
      <c r="AE313" s="1189"/>
      <c r="AF313" s="2536">
        <v>2026</v>
      </c>
      <c r="AG313" s="2537" t="s">
        <v>1122</v>
      </c>
      <c r="AH313" s="2537" t="s">
        <v>1169</v>
      </c>
      <c r="AI313" s="2916"/>
      <c r="AJ313" s="2537" t="s">
        <v>1154</v>
      </c>
      <c r="AK313" s="2537" t="s">
        <v>1154</v>
      </c>
      <c r="AL313" s="1996"/>
      <c r="AM313" s="1833"/>
      <c r="AN313" s="1833"/>
      <c r="AO313" s="1833"/>
      <c r="AP313" s="1833"/>
      <c r="AQ313" s="1833"/>
      <c r="AR313" s="1833"/>
      <c r="AS313" s="1833"/>
      <c r="AT313" s="1833"/>
      <c r="AU313" s="1833"/>
      <c r="AV313" s="1833"/>
      <c r="AW313" s="1833"/>
      <c r="AX313" s="1833"/>
      <c r="AY313" s="1833"/>
      <c r="AZ313" s="1833"/>
      <c r="BA313" s="1833"/>
      <c r="BB313" s="1833"/>
      <c r="BC313" s="1833"/>
      <c r="BD313" s="1833"/>
      <c r="BE313" s="1833"/>
      <c r="BF313" s="1833"/>
      <c r="BG313" s="1646"/>
    </row>
    <row customHeight="1" ht="11.25">
      <c r="A314" s="1177" t="s">
        <v>1088</v>
      </c>
      <c r="B314" s="1177"/>
      <c r="C314" s="1177"/>
      <c r="D314" s="1171"/>
      <c r="E314" s="1181"/>
      <c r="F314" s="1839"/>
      <c r="G314" s="1840"/>
      <c r="H314" s="2545" t="s">
        <v>1172</v>
      </c>
      <c r="I314" s="2546"/>
      <c r="J314" s="2515"/>
      <c r="K314" s="2547"/>
      <c r="L314" s="2137"/>
      <c r="M314" s="2138"/>
      <c r="N314" s="2538"/>
      <c r="O314" s="2539">
        <v>1</v>
      </c>
      <c r="P314" s="2540" t="s">
        <v>63</v>
      </c>
      <c r="Q314" s="2913" t="s">
        <v>635</v>
      </c>
      <c r="R314" s="2914" t="s">
        <v>1124</v>
      </c>
      <c r="S314" s="2914" t="s">
        <v>108</v>
      </c>
      <c r="T314" s="2914" t="s">
        <v>108</v>
      </c>
      <c r="U314" s="2914" t="s">
        <v>109</v>
      </c>
      <c r="V314" s="2914" t="s">
        <v>1174</v>
      </c>
      <c r="W314" s="2914" t="s">
        <v>1175</v>
      </c>
      <c r="X314" s="2914" t="s">
        <v>1241</v>
      </c>
      <c r="Y314" s="2914" t="s">
        <v>104</v>
      </c>
      <c r="Z314" s="1186"/>
      <c r="AA314" s="1187"/>
      <c r="AB314" s="1187"/>
      <c r="AC314" s="1191"/>
      <c r="AD314" s="1191"/>
      <c r="AE314" s="1192"/>
      <c r="AF314" s="2536"/>
      <c r="AG314" s="2537"/>
      <c r="AH314" s="2537"/>
      <c r="AI314" s="2916"/>
      <c r="AJ314" s="2537"/>
      <c r="AK314" s="2537"/>
      <c r="AL314" s="1996"/>
      <c r="AM314" s="1833"/>
      <c r="AN314" s="1833"/>
      <c r="AO314" s="1833"/>
      <c r="AP314" s="1833"/>
      <c r="AQ314" s="1833"/>
      <c r="AR314" s="1833"/>
      <c r="AS314" s="1833"/>
      <c r="AT314" s="1833"/>
      <c r="AU314" s="1833"/>
      <c r="AV314" s="1833"/>
      <c r="AW314" s="1833"/>
      <c r="AX314" s="1833"/>
      <c r="AY314" s="1833"/>
      <c r="AZ314" s="1833"/>
      <c r="BA314" s="1833"/>
      <c r="BB314" s="1833"/>
      <c r="BC314" s="1833"/>
      <c r="BD314" s="1833"/>
      <c r="BE314" s="1833"/>
      <c r="BF314" s="1833"/>
      <c r="BG314" s="1646"/>
    </row>
    <row customHeight="1" ht="11.25">
      <c r="A315" s="1177" t="s">
        <v>1088</v>
      </c>
      <c r="B315" s="1177"/>
      <c r="C315" s="1177"/>
      <c r="D315" s="1171"/>
      <c r="E315" s="1181"/>
      <c r="F315" s="1839"/>
      <c r="G315" s="1840"/>
      <c r="H315" s="2545" t="s">
        <v>1172</v>
      </c>
      <c r="I315" s="2546"/>
      <c r="J315" s="2515"/>
      <c r="K315" s="2547"/>
      <c r="L315" s="2137"/>
      <c r="M315" s="2138"/>
      <c r="N315" s="2538"/>
      <c r="O315" s="2539"/>
      <c r="P315" s="2541"/>
      <c r="Q315" s="2913"/>
      <c r="R315" s="2543"/>
      <c r="S315" s="2544"/>
      <c r="T315" s="2543"/>
      <c r="U315" s="2543"/>
      <c r="V315" s="2543"/>
      <c r="W315" s="2543"/>
      <c r="X315" s="2543"/>
      <c r="Y315" s="2543"/>
      <c r="Z315" s="1838"/>
      <c r="AA315" s="1804">
        <v>1</v>
      </c>
      <c r="AB315" s="1190" t="s">
        <v>1234</v>
      </c>
      <c r="AC315" s="1180">
        <v>5700</v>
      </c>
      <c r="AD315" s="1190" t="str">
        <f>AB315</f>
        <v>  Прочие</v>
      </c>
      <c r="AE315" s="1180">
        <v>0</v>
      </c>
      <c r="AF315" s="2536"/>
      <c r="AG315" s="2537"/>
      <c r="AH315" s="2537"/>
      <c r="AI315" s="2916"/>
      <c r="AJ315" s="2537"/>
      <c r="AK315" s="2537"/>
      <c r="AL315" s="1996"/>
      <c r="AM315" s="1833"/>
      <c r="AN315" s="1833"/>
      <c r="AO315" s="1833"/>
      <c r="AP315" s="1833"/>
      <c r="AQ315" s="1833"/>
      <c r="AR315" s="1833"/>
      <c r="AS315" s="1833"/>
      <c r="AT315" s="1833"/>
      <c r="AU315" s="1833"/>
      <c r="AV315" s="1833"/>
      <c r="AW315" s="1833"/>
      <c r="AX315" s="1833"/>
      <c r="AY315" s="1833"/>
      <c r="AZ315" s="1833"/>
      <c r="BA315" s="1833"/>
      <c r="BB315" s="1833"/>
      <c r="BC315" s="1833"/>
      <c r="BD315" s="1833"/>
      <c r="BE315" s="1833"/>
      <c r="BF315" s="1833"/>
      <c r="BG315" s="1646"/>
    </row>
    <row customHeight="1" ht="11.25">
      <c r="A316" s="1177" t="s">
        <v>1088</v>
      </c>
      <c r="B316" s="1177"/>
      <c r="C316" s="1177"/>
      <c r="D316" s="1171"/>
      <c r="E316" s="1181"/>
      <c r="F316" s="1839"/>
      <c r="G316" s="1840"/>
      <c r="H316" s="2545" t="s">
        <v>1172</v>
      </c>
      <c r="I316" s="2546"/>
      <c r="J316" s="2515"/>
      <c r="K316" s="2547"/>
      <c r="L316" s="2137"/>
      <c r="M316" s="2138"/>
      <c r="N316" s="2538"/>
      <c r="O316" s="2539"/>
      <c r="P316" s="2542"/>
      <c r="Q316" s="2913"/>
      <c r="R316" s="2543"/>
      <c r="S316" s="2544"/>
      <c r="T316" s="2543"/>
      <c r="U316" s="2543"/>
      <c r="V316" s="2543"/>
      <c r="W316" s="2543"/>
      <c r="X316" s="2543"/>
      <c r="Y316" s="2543"/>
      <c r="Z316" s="1186"/>
      <c r="AA316" s="1187"/>
      <c r="AB316" s="1252" t="s">
        <v>1130</v>
      </c>
      <c r="AC316" s="1191"/>
      <c r="AD316" s="1191"/>
      <c r="AE316" s="1193"/>
      <c r="AF316" s="2536"/>
      <c r="AG316" s="2537"/>
      <c r="AH316" s="2537"/>
      <c r="AI316" s="2916"/>
      <c r="AJ316" s="2537"/>
      <c r="AK316" s="2537"/>
      <c r="AL316" s="1996"/>
      <c r="AM316" s="1833"/>
      <c r="AN316" s="1833"/>
      <c r="AO316" s="1833"/>
      <c r="AP316" s="1833"/>
      <c r="AQ316" s="1833"/>
      <c r="AR316" s="1833"/>
      <c r="AS316" s="1833"/>
      <c r="AT316" s="1833"/>
      <c r="AU316" s="1833"/>
      <c r="AV316" s="1833"/>
      <c r="AW316" s="1833"/>
      <c r="AX316" s="1833"/>
      <c r="AY316" s="1833"/>
      <c r="AZ316" s="1833"/>
      <c r="BA316" s="1833"/>
      <c r="BB316" s="1833"/>
      <c r="BC316" s="1833"/>
      <c r="BD316" s="1833"/>
      <c r="BE316" s="1833"/>
      <c r="BF316" s="1833"/>
      <c r="BG316" s="1646"/>
    </row>
    <row customHeight="1" ht="11.25">
      <c r="A317" s="1177" t="s">
        <v>1088</v>
      </c>
      <c r="B317" s="1177"/>
      <c r="C317" s="1177"/>
      <c r="D317" s="1171"/>
      <c r="E317" s="1181"/>
      <c r="F317" s="1839"/>
      <c r="G317" s="1840"/>
      <c r="H317" s="2545" t="s">
        <v>1172</v>
      </c>
      <c r="I317" s="2546"/>
      <c r="J317" s="2515"/>
      <c r="K317" s="2547"/>
      <c r="L317" s="2137"/>
      <c r="M317" s="2138"/>
      <c r="N317" s="1186"/>
      <c r="O317" s="1187"/>
      <c r="P317" s="1179" t="s">
        <v>1131</v>
      </c>
      <c r="Q317" s="1187"/>
      <c r="R317" s="1187"/>
      <c r="S317" s="1187"/>
      <c r="T317" s="1187"/>
      <c r="U317" s="1187"/>
      <c r="V317" s="1187"/>
      <c r="W317" s="1187"/>
      <c r="X317" s="1187"/>
      <c r="Y317" s="1187"/>
      <c r="Z317" s="1187"/>
      <c r="AA317" s="1187"/>
      <c r="AB317" s="1187"/>
      <c r="AC317" s="1187"/>
      <c r="AD317" s="1187"/>
      <c r="AE317" s="1194"/>
      <c r="AF317" s="2536"/>
      <c r="AG317" s="2537"/>
      <c r="AH317" s="2537"/>
      <c r="AI317" s="2916"/>
      <c r="AJ317" s="2537"/>
      <c r="AK317" s="2537"/>
      <c r="AL317" s="1996"/>
      <c r="AM317" s="1833"/>
      <c r="AN317" s="1833"/>
      <c r="AO317" s="1833"/>
      <c r="AP317" s="1833"/>
      <c r="AQ317" s="1833"/>
      <c r="AR317" s="1833"/>
      <c r="AS317" s="1833"/>
      <c r="AT317" s="1833"/>
      <c r="AU317" s="1833"/>
      <c r="AV317" s="1833"/>
      <c r="AW317" s="1833"/>
      <c r="AX317" s="1833"/>
      <c r="AY317" s="1833"/>
      <c r="AZ317" s="1833"/>
      <c r="BA317" s="1833"/>
      <c r="BB317" s="1833"/>
      <c r="BC317" s="1833"/>
      <c r="BD317" s="1833"/>
      <c r="BE317" s="1833"/>
      <c r="BF317" s="1833"/>
      <c r="BG317" s="1646"/>
    </row>
    <row customHeight="1" ht="11.25">
      <c r="A318" s="1177" t="s">
        <v>1088</v>
      </c>
      <c r="B318" s="1177" t="s">
        <v>1155</v>
      </c>
      <c r="C318" s="1177"/>
      <c r="D318" s="1171"/>
      <c r="E318" s="1181"/>
      <c r="F318" s="1839"/>
      <c r="G318" s="694" t="s">
        <v>105</v>
      </c>
      <c r="H318" s="2545" t="s">
        <v>1179</v>
      </c>
      <c r="I318" s="2546" t="s">
        <v>1156</v>
      </c>
      <c r="J318" s="2515" t="s">
        <v>1157</v>
      </c>
      <c r="K318" s="2547" t="s">
        <v>1173</v>
      </c>
      <c r="L318" s="2137" t="s">
        <v>19</v>
      </c>
      <c r="M318" s="2138"/>
      <c r="N318" s="1994"/>
      <c r="O318" s="1188" t="s">
        <v>390</v>
      </c>
      <c r="P318" s="1189"/>
      <c r="Q318" s="1189"/>
      <c r="R318" s="1189"/>
      <c r="S318" s="1189"/>
      <c r="T318" s="1189"/>
      <c r="U318" s="1189"/>
      <c r="V318" s="1189"/>
      <c r="W318" s="1189"/>
      <c r="X318" s="1189"/>
      <c r="Y318" s="1189"/>
      <c r="Z318" s="1189"/>
      <c r="AA318" s="1189"/>
      <c r="AB318" s="1189"/>
      <c r="AC318" s="1189"/>
      <c r="AD318" s="1189"/>
      <c r="AE318" s="1189"/>
      <c r="AF318" s="2536">
        <v>2026</v>
      </c>
      <c r="AG318" s="2537" t="s">
        <v>1122</v>
      </c>
      <c r="AH318" s="2537" t="s">
        <v>1169</v>
      </c>
      <c r="AI318" s="2916"/>
      <c r="AJ318" s="2537" t="s">
        <v>1154</v>
      </c>
      <c r="AK318" s="2537" t="s">
        <v>1154</v>
      </c>
      <c r="AL318" s="1996"/>
      <c r="AM318" s="1833"/>
      <c r="AN318" s="1833"/>
      <c r="AO318" s="1833"/>
      <c r="AP318" s="1833"/>
      <c r="AQ318" s="1833"/>
      <c r="AR318" s="1833"/>
      <c r="AS318" s="1833"/>
      <c r="AT318" s="1833"/>
      <c r="AU318" s="1833"/>
      <c r="AV318" s="1833"/>
      <c r="AW318" s="1833"/>
      <c r="AX318" s="1833"/>
      <c r="AY318" s="1833"/>
      <c r="AZ318" s="1833"/>
      <c r="BA318" s="1833"/>
      <c r="BB318" s="1833"/>
      <c r="BC318" s="1833"/>
      <c r="BD318" s="1833"/>
      <c r="BE318" s="1833"/>
      <c r="BF318" s="1833"/>
      <c r="BG318" s="1646"/>
    </row>
    <row customHeight="1" ht="11.25">
      <c r="A319" s="1177" t="s">
        <v>1088</v>
      </c>
      <c r="B319" s="1177"/>
      <c r="C319" s="1177"/>
      <c r="D319" s="1171"/>
      <c r="E319" s="1181"/>
      <c r="F319" s="1839"/>
      <c r="G319" s="1840"/>
      <c r="H319" s="2545" t="s">
        <v>1177</v>
      </c>
      <c r="I319" s="2546"/>
      <c r="J319" s="2515"/>
      <c r="K319" s="2547"/>
      <c r="L319" s="2137"/>
      <c r="M319" s="2138"/>
      <c r="N319" s="2538"/>
      <c r="O319" s="2539">
        <v>1</v>
      </c>
      <c r="P319" s="2540" t="s">
        <v>63</v>
      </c>
      <c r="Q319" s="2913" t="s">
        <v>640</v>
      </c>
      <c r="R319" s="2914" t="s">
        <v>1124</v>
      </c>
      <c r="S319" s="2914" t="s">
        <v>108</v>
      </c>
      <c r="T319" s="2914" t="s">
        <v>108</v>
      </c>
      <c r="U319" s="2914" t="s">
        <v>109</v>
      </c>
      <c r="V319" s="2914" t="s">
        <v>1174</v>
      </c>
      <c r="W319" s="2914" t="s">
        <v>1175</v>
      </c>
      <c r="X319" s="2914" t="s">
        <v>1176</v>
      </c>
      <c r="Y319" s="2914" t="s">
        <v>104</v>
      </c>
      <c r="Z319" s="1186"/>
      <c r="AA319" s="1187"/>
      <c r="AB319" s="1187"/>
      <c r="AC319" s="1191"/>
      <c r="AD319" s="1191"/>
      <c r="AE319" s="1192"/>
      <c r="AF319" s="2536"/>
      <c r="AG319" s="2537"/>
      <c r="AH319" s="2537"/>
      <c r="AI319" s="2916"/>
      <c r="AJ319" s="2537"/>
      <c r="AK319" s="2537"/>
      <c r="AL319" s="1996"/>
      <c r="AM319" s="1833"/>
      <c r="AN319" s="1833"/>
      <c r="AO319" s="1833"/>
      <c r="AP319" s="1833"/>
      <c r="AQ319" s="1833"/>
      <c r="AR319" s="1833"/>
      <c r="AS319" s="1833"/>
      <c r="AT319" s="1833"/>
      <c r="AU319" s="1833"/>
      <c r="AV319" s="1833"/>
      <c r="AW319" s="1833"/>
      <c r="AX319" s="1833"/>
      <c r="AY319" s="1833"/>
      <c r="AZ319" s="1833"/>
      <c r="BA319" s="1833"/>
      <c r="BB319" s="1833"/>
      <c r="BC319" s="1833"/>
      <c r="BD319" s="1833"/>
      <c r="BE319" s="1833"/>
      <c r="BF319" s="1833"/>
      <c r="BG319" s="1646"/>
    </row>
    <row customHeight="1" ht="11.25">
      <c r="A320" s="1177" t="s">
        <v>1088</v>
      </c>
      <c r="B320" s="1177"/>
      <c r="C320" s="1177"/>
      <c r="D320" s="1171"/>
      <c r="E320" s="1181"/>
      <c r="F320" s="1839"/>
      <c r="G320" s="1840"/>
      <c r="H320" s="2545" t="s">
        <v>1177</v>
      </c>
      <c r="I320" s="2546"/>
      <c r="J320" s="2515"/>
      <c r="K320" s="2547"/>
      <c r="L320" s="2137"/>
      <c r="M320" s="2138"/>
      <c r="N320" s="2538"/>
      <c r="O320" s="2539"/>
      <c r="P320" s="2541"/>
      <c r="Q320" s="2913"/>
      <c r="R320" s="2543"/>
      <c r="S320" s="2544"/>
      <c r="T320" s="2543"/>
      <c r="U320" s="2543"/>
      <c r="V320" s="2543"/>
      <c r="W320" s="2543"/>
      <c r="X320" s="2543"/>
      <c r="Y320" s="2543"/>
      <c r="Z320" s="1838"/>
      <c r="AA320" s="1804">
        <v>1</v>
      </c>
      <c r="AB320" s="1190" t="s">
        <v>1234</v>
      </c>
      <c r="AC320" s="1180">
        <v>12654.22658</v>
      </c>
      <c r="AD320" s="1190" t="str">
        <f>AB320</f>
        <v>  Прочие</v>
      </c>
      <c r="AE320" s="1180">
        <v>0</v>
      </c>
      <c r="AF320" s="2536"/>
      <c r="AG320" s="2537"/>
      <c r="AH320" s="2537"/>
      <c r="AI320" s="2916"/>
      <c r="AJ320" s="2537"/>
      <c r="AK320" s="2537"/>
      <c r="AL320" s="1996"/>
      <c r="AM320" s="1833"/>
      <c r="AN320" s="1833"/>
      <c r="AO320" s="1833"/>
      <c r="AP320" s="1833"/>
      <c r="AQ320" s="1833"/>
      <c r="AR320" s="1833"/>
      <c r="AS320" s="1833"/>
      <c r="AT320" s="1833"/>
      <c r="AU320" s="1833"/>
      <c r="AV320" s="1833"/>
      <c r="AW320" s="1833"/>
      <c r="AX320" s="1833"/>
      <c r="AY320" s="1833"/>
      <c r="AZ320" s="1833"/>
      <c r="BA320" s="1833"/>
      <c r="BB320" s="1833"/>
      <c r="BC320" s="1833"/>
      <c r="BD320" s="1833"/>
      <c r="BE320" s="1833"/>
      <c r="BF320" s="1833"/>
      <c r="BG320" s="1646"/>
    </row>
    <row customHeight="1" ht="11.25">
      <c r="A321" s="1177" t="s">
        <v>1088</v>
      </c>
      <c r="B321" s="1177"/>
      <c r="C321" s="1177"/>
      <c r="D321" s="1171"/>
      <c r="E321" s="1181"/>
      <c r="F321" s="1839"/>
      <c r="G321" s="1840"/>
      <c r="H321" s="2545" t="s">
        <v>1177</v>
      </c>
      <c r="I321" s="2546"/>
      <c r="J321" s="2515"/>
      <c r="K321" s="2547"/>
      <c r="L321" s="2137"/>
      <c r="M321" s="2138"/>
      <c r="N321" s="2538"/>
      <c r="O321" s="2539"/>
      <c r="P321" s="2542"/>
      <c r="Q321" s="2913"/>
      <c r="R321" s="2543"/>
      <c r="S321" s="2544"/>
      <c r="T321" s="2543"/>
      <c r="U321" s="2543"/>
      <c r="V321" s="2543"/>
      <c r="W321" s="2543"/>
      <c r="X321" s="2543"/>
      <c r="Y321" s="2543"/>
      <c r="Z321" s="1186"/>
      <c r="AA321" s="1187"/>
      <c r="AB321" s="1252" t="s">
        <v>1130</v>
      </c>
      <c r="AC321" s="1191"/>
      <c r="AD321" s="1191"/>
      <c r="AE321" s="1193"/>
      <c r="AF321" s="2536"/>
      <c r="AG321" s="2537"/>
      <c r="AH321" s="2537"/>
      <c r="AI321" s="2916"/>
      <c r="AJ321" s="2537"/>
      <c r="AK321" s="2537"/>
      <c r="AL321" s="1996"/>
      <c r="AM321" s="1833"/>
      <c r="AN321" s="1833"/>
      <c r="AO321" s="1833"/>
      <c r="AP321" s="1833"/>
      <c r="AQ321" s="1833"/>
      <c r="AR321" s="1833"/>
      <c r="AS321" s="1833"/>
      <c r="AT321" s="1833"/>
      <c r="AU321" s="1833"/>
      <c r="AV321" s="1833"/>
      <c r="AW321" s="1833"/>
      <c r="AX321" s="1833"/>
      <c r="AY321" s="1833"/>
      <c r="AZ321" s="1833"/>
      <c r="BA321" s="1833"/>
      <c r="BB321" s="1833"/>
      <c r="BC321" s="1833"/>
      <c r="BD321" s="1833"/>
      <c r="BE321" s="1833"/>
      <c r="BF321" s="1833"/>
      <c r="BG321" s="1646"/>
    </row>
    <row customHeight="1" ht="11.25">
      <c r="A322" s="1177" t="s">
        <v>1088</v>
      </c>
      <c r="B322" s="1177"/>
      <c r="C322" s="1177"/>
      <c r="D322" s="1171"/>
      <c r="E322" s="1181"/>
      <c r="F322" s="1839"/>
      <c r="G322" s="1840"/>
      <c r="H322" s="2545" t="s">
        <v>1177</v>
      </c>
      <c r="I322" s="2546"/>
      <c r="J322" s="2515"/>
      <c r="K322" s="2547"/>
      <c r="L322" s="2137"/>
      <c r="M322" s="2138"/>
      <c r="N322" s="1186"/>
      <c r="O322" s="1187"/>
      <c r="P322" s="1179" t="s">
        <v>1131</v>
      </c>
      <c r="Q322" s="1187"/>
      <c r="R322" s="1187"/>
      <c r="S322" s="1187"/>
      <c r="T322" s="1187"/>
      <c r="U322" s="1187"/>
      <c r="V322" s="1187"/>
      <c r="W322" s="1187"/>
      <c r="X322" s="1187"/>
      <c r="Y322" s="1187"/>
      <c r="Z322" s="1187"/>
      <c r="AA322" s="1187"/>
      <c r="AB322" s="1187"/>
      <c r="AC322" s="1187"/>
      <c r="AD322" s="1187"/>
      <c r="AE322" s="1194"/>
      <c r="AF322" s="2536"/>
      <c r="AG322" s="2537"/>
      <c r="AH322" s="2537"/>
      <c r="AI322" s="2916"/>
      <c r="AJ322" s="2537"/>
      <c r="AK322" s="2537"/>
      <c r="AL322" s="1996"/>
      <c r="AM322" s="1833"/>
      <c r="AN322" s="1833"/>
      <c r="AO322" s="1833"/>
      <c r="AP322" s="1833"/>
      <c r="AQ322" s="1833"/>
      <c r="AR322" s="1833"/>
      <c r="AS322" s="1833"/>
      <c r="AT322" s="1833"/>
      <c r="AU322" s="1833"/>
      <c r="AV322" s="1833"/>
      <c r="AW322" s="1833"/>
      <c r="AX322" s="1833"/>
      <c r="AY322" s="1833"/>
      <c r="AZ322" s="1833"/>
      <c r="BA322" s="1833"/>
      <c r="BB322" s="1833"/>
      <c r="BC322" s="1833"/>
      <c r="BD322" s="1833"/>
      <c r="BE322" s="1833"/>
      <c r="BF322" s="1833"/>
      <c r="BG322" s="1646"/>
    </row>
    <row customHeight="1" ht="11.25">
      <c r="A323" s="1177" t="s">
        <v>1088</v>
      </c>
      <c r="B323" s="1177" t="s">
        <v>1155</v>
      </c>
      <c r="C323" s="1177"/>
      <c r="D323" s="1171"/>
      <c r="E323" s="1181"/>
      <c r="F323" s="1839"/>
      <c r="G323" s="694" t="s">
        <v>105</v>
      </c>
      <c r="H323" s="2545" t="s">
        <v>1186</v>
      </c>
      <c r="I323" s="2546" t="s">
        <v>1156</v>
      </c>
      <c r="J323" s="2515" t="s">
        <v>1157</v>
      </c>
      <c r="K323" s="2547" t="s">
        <v>1242</v>
      </c>
      <c r="L323" s="2137" t="s">
        <v>19</v>
      </c>
      <c r="M323" s="2138"/>
      <c r="N323" s="1994"/>
      <c r="O323" s="1188" t="s">
        <v>390</v>
      </c>
      <c r="P323" s="1189"/>
      <c r="Q323" s="1189"/>
      <c r="R323" s="1189"/>
      <c r="S323" s="1189"/>
      <c r="T323" s="1189"/>
      <c r="U323" s="1189"/>
      <c r="V323" s="1189"/>
      <c r="W323" s="1189"/>
      <c r="X323" s="1189"/>
      <c r="Y323" s="1189"/>
      <c r="Z323" s="1189"/>
      <c r="AA323" s="1189"/>
      <c r="AB323" s="1189"/>
      <c r="AC323" s="1189"/>
      <c r="AD323" s="1189"/>
      <c r="AE323" s="1189"/>
      <c r="AF323" s="2536">
        <v>2026</v>
      </c>
      <c r="AG323" s="2537" t="s">
        <v>1122</v>
      </c>
      <c r="AH323" s="2537" t="s">
        <v>1169</v>
      </c>
      <c r="AI323" s="2916"/>
      <c r="AJ323" s="2537" t="s">
        <v>1154</v>
      </c>
      <c r="AK323" s="2537" t="s">
        <v>1154</v>
      </c>
      <c r="AL323" s="1996"/>
      <c r="AM323" s="1833"/>
      <c r="AN323" s="1833"/>
      <c r="AO323" s="1833"/>
      <c r="AP323" s="1833"/>
      <c r="AQ323" s="1833"/>
      <c r="AR323" s="1833"/>
      <c r="AS323" s="1833"/>
      <c r="AT323" s="1833"/>
      <c r="AU323" s="1833"/>
      <c r="AV323" s="1833"/>
      <c r="AW323" s="1833"/>
      <c r="AX323" s="1833"/>
      <c r="AY323" s="1833"/>
      <c r="AZ323" s="1833"/>
      <c r="BA323" s="1833"/>
      <c r="BB323" s="1833"/>
      <c r="BC323" s="1833"/>
      <c r="BD323" s="1833"/>
      <c r="BE323" s="1833"/>
      <c r="BF323" s="1833"/>
      <c r="BG323" s="1646"/>
    </row>
    <row customHeight="1" ht="11.25">
      <c r="A324" s="1177" t="s">
        <v>1088</v>
      </c>
      <c r="B324" s="1177"/>
      <c r="C324" s="1177"/>
      <c r="D324" s="1171"/>
      <c r="E324" s="1181"/>
      <c r="F324" s="1839"/>
      <c r="G324" s="1840"/>
      <c r="H324" s="2545" t="s">
        <v>1179</v>
      </c>
      <c r="I324" s="2546"/>
      <c r="J324" s="2515"/>
      <c r="K324" s="2547"/>
      <c r="L324" s="2137"/>
      <c r="M324" s="2138"/>
      <c r="N324" s="2538"/>
      <c r="O324" s="2539">
        <v>1</v>
      </c>
      <c r="P324" s="2540" t="s">
        <v>63</v>
      </c>
      <c r="Q324" s="2913" t="s">
        <v>637</v>
      </c>
      <c r="R324" s="2914" t="s">
        <v>1124</v>
      </c>
      <c r="S324" s="2914" t="s">
        <v>108</v>
      </c>
      <c r="T324" s="2914" t="s">
        <v>108</v>
      </c>
      <c r="U324" s="2914" t="s">
        <v>109</v>
      </c>
      <c r="V324" s="2914" t="s">
        <v>1174</v>
      </c>
      <c r="W324" s="2914" t="s">
        <v>1175</v>
      </c>
      <c r="X324" s="2914" t="s">
        <v>1214</v>
      </c>
      <c r="Y324" s="2914" t="s">
        <v>1204</v>
      </c>
      <c r="Z324" s="1186"/>
      <c r="AA324" s="1187"/>
      <c r="AB324" s="1187"/>
      <c r="AC324" s="1191"/>
      <c r="AD324" s="1191"/>
      <c r="AE324" s="1192"/>
      <c r="AF324" s="2536"/>
      <c r="AG324" s="2537"/>
      <c r="AH324" s="2537"/>
      <c r="AI324" s="2916"/>
      <c r="AJ324" s="2537"/>
      <c r="AK324" s="2537"/>
      <c r="AL324" s="1996"/>
      <c r="AM324" s="1833"/>
      <c r="AN324" s="1833"/>
      <c r="AO324" s="1833"/>
      <c r="AP324" s="1833"/>
      <c r="AQ324" s="1833"/>
      <c r="AR324" s="1833"/>
      <c r="AS324" s="1833"/>
      <c r="AT324" s="1833"/>
      <c r="AU324" s="1833"/>
      <c r="AV324" s="1833"/>
      <c r="AW324" s="1833"/>
      <c r="AX324" s="1833"/>
      <c r="AY324" s="1833"/>
      <c r="AZ324" s="1833"/>
      <c r="BA324" s="1833"/>
      <c r="BB324" s="1833"/>
      <c r="BC324" s="1833"/>
      <c r="BD324" s="1833"/>
      <c r="BE324" s="1833"/>
      <c r="BF324" s="1833"/>
      <c r="BG324" s="1646"/>
    </row>
    <row customHeight="1" ht="11.25">
      <c r="A325" s="1177" t="s">
        <v>1088</v>
      </c>
      <c r="B325" s="1177"/>
      <c r="C325" s="1177"/>
      <c r="D325" s="1171"/>
      <c r="E325" s="1181"/>
      <c r="F325" s="1839"/>
      <c r="G325" s="1840"/>
      <c r="H325" s="2545" t="s">
        <v>1179</v>
      </c>
      <c r="I325" s="2546"/>
      <c r="J325" s="2515"/>
      <c r="K325" s="2547"/>
      <c r="L325" s="2137"/>
      <c r="M325" s="2138"/>
      <c r="N325" s="2538"/>
      <c r="O325" s="2539"/>
      <c r="P325" s="2541"/>
      <c r="Q325" s="2913"/>
      <c r="R325" s="2543"/>
      <c r="S325" s="2544"/>
      <c r="T325" s="2543"/>
      <c r="U325" s="2543"/>
      <c r="V325" s="2543"/>
      <c r="W325" s="2543"/>
      <c r="X325" s="2543"/>
      <c r="Y325" s="2543"/>
      <c r="Z325" s="1838"/>
      <c r="AA325" s="1804">
        <v>1</v>
      </c>
      <c r="AB325" s="1190" t="s">
        <v>1234</v>
      </c>
      <c r="AC325" s="1180">
        <v>5700</v>
      </c>
      <c r="AD325" s="1190" t="str">
        <f>AB325</f>
        <v>  Прочие</v>
      </c>
      <c r="AE325" s="1180">
        <v>0</v>
      </c>
      <c r="AF325" s="2536"/>
      <c r="AG325" s="2537"/>
      <c r="AH325" s="2537"/>
      <c r="AI325" s="2916"/>
      <c r="AJ325" s="2537"/>
      <c r="AK325" s="2537"/>
      <c r="AL325" s="1996"/>
      <c r="AM325" s="1833"/>
      <c r="AN325" s="1833"/>
      <c r="AO325" s="1833"/>
      <c r="AP325" s="1833"/>
      <c r="AQ325" s="1833"/>
      <c r="AR325" s="1833"/>
      <c r="AS325" s="1833"/>
      <c r="AT325" s="1833"/>
      <c r="AU325" s="1833"/>
      <c r="AV325" s="1833"/>
      <c r="AW325" s="1833"/>
      <c r="AX325" s="1833"/>
      <c r="AY325" s="1833"/>
      <c r="AZ325" s="1833"/>
      <c r="BA325" s="1833"/>
      <c r="BB325" s="1833"/>
      <c r="BC325" s="1833"/>
      <c r="BD325" s="1833"/>
      <c r="BE325" s="1833"/>
      <c r="BF325" s="1833"/>
      <c r="BG325" s="1646"/>
    </row>
    <row customHeight="1" ht="11.25">
      <c r="A326" s="1177" t="s">
        <v>1088</v>
      </c>
      <c r="B326" s="1177"/>
      <c r="C326" s="1177"/>
      <c r="D326" s="1171"/>
      <c r="E326" s="1181"/>
      <c r="F326" s="1839"/>
      <c r="G326" s="1840"/>
      <c r="H326" s="2545" t="s">
        <v>1179</v>
      </c>
      <c r="I326" s="2546"/>
      <c r="J326" s="2515"/>
      <c r="K326" s="2547"/>
      <c r="L326" s="2137"/>
      <c r="M326" s="2138"/>
      <c r="N326" s="2538"/>
      <c r="O326" s="2539"/>
      <c r="P326" s="2542"/>
      <c r="Q326" s="2913"/>
      <c r="R326" s="2543"/>
      <c r="S326" s="2544"/>
      <c r="T326" s="2543"/>
      <c r="U326" s="2543"/>
      <c r="V326" s="2543"/>
      <c r="W326" s="2543"/>
      <c r="X326" s="2543"/>
      <c r="Y326" s="2543"/>
      <c r="Z326" s="1186"/>
      <c r="AA326" s="1187"/>
      <c r="AB326" s="1252" t="s">
        <v>1130</v>
      </c>
      <c r="AC326" s="1191"/>
      <c r="AD326" s="1191"/>
      <c r="AE326" s="1193"/>
      <c r="AF326" s="2536"/>
      <c r="AG326" s="2537"/>
      <c r="AH326" s="2537"/>
      <c r="AI326" s="2916"/>
      <c r="AJ326" s="2537"/>
      <c r="AK326" s="2537"/>
      <c r="AL326" s="1996"/>
      <c r="AM326" s="1833"/>
      <c r="AN326" s="1833"/>
      <c r="AO326" s="1833"/>
      <c r="AP326" s="1833"/>
      <c r="AQ326" s="1833"/>
      <c r="AR326" s="1833"/>
      <c r="AS326" s="1833"/>
      <c r="AT326" s="1833"/>
      <c r="AU326" s="1833"/>
      <c r="AV326" s="1833"/>
      <c r="AW326" s="1833"/>
      <c r="AX326" s="1833"/>
      <c r="AY326" s="1833"/>
      <c r="AZ326" s="1833"/>
      <c r="BA326" s="1833"/>
      <c r="BB326" s="1833"/>
      <c r="BC326" s="1833"/>
      <c r="BD326" s="1833"/>
      <c r="BE326" s="1833"/>
      <c r="BF326" s="1833"/>
      <c r="BG326" s="1646"/>
    </row>
    <row customHeight="1" ht="11.25">
      <c r="A327" s="1177" t="s">
        <v>1088</v>
      </c>
      <c r="B327" s="1177"/>
      <c r="C327" s="1177"/>
      <c r="D327" s="1171"/>
      <c r="E327" s="1181"/>
      <c r="F327" s="1839"/>
      <c r="G327" s="1840"/>
      <c r="H327" s="2545" t="s">
        <v>1179</v>
      </c>
      <c r="I327" s="2546"/>
      <c r="J327" s="2515"/>
      <c r="K327" s="2547"/>
      <c r="L327" s="2137"/>
      <c r="M327" s="2138"/>
      <c r="N327" s="1186"/>
      <c r="O327" s="1187"/>
      <c r="P327" s="1179" t="s">
        <v>1131</v>
      </c>
      <c r="Q327" s="1187"/>
      <c r="R327" s="1187"/>
      <c r="S327" s="1187"/>
      <c r="T327" s="1187"/>
      <c r="U327" s="1187"/>
      <c r="V327" s="1187"/>
      <c r="W327" s="1187"/>
      <c r="X327" s="1187"/>
      <c r="Y327" s="1187"/>
      <c r="Z327" s="1187"/>
      <c r="AA327" s="1187"/>
      <c r="AB327" s="1187"/>
      <c r="AC327" s="1187"/>
      <c r="AD327" s="1187"/>
      <c r="AE327" s="1194"/>
      <c r="AF327" s="2536"/>
      <c r="AG327" s="2537"/>
      <c r="AH327" s="2537"/>
      <c r="AI327" s="2916"/>
      <c r="AJ327" s="2537"/>
      <c r="AK327" s="2537"/>
      <c r="AL327" s="1996"/>
      <c r="AM327" s="1833"/>
      <c r="AN327" s="1833"/>
      <c r="AO327" s="1833"/>
      <c r="AP327" s="1833"/>
      <c r="AQ327" s="1833"/>
      <c r="AR327" s="1833"/>
      <c r="AS327" s="1833"/>
      <c r="AT327" s="1833"/>
      <c r="AU327" s="1833"/>
      <c r="AV327" s="1833"/>
      <c r="AW327" s="1833"/>
      <c r="AX327" s="1833"/>
      <c r="AY327" s="1833"/>
      <c r="AZ327" s="1833"/>
      <c r="BA327" s="1833"/>
      <c r="BB327" s="1833"/>
      <c r="BC327" s="1833"/>
      <c r="BD327" s="1833"/>
      <c r="BE327" s="1833"/>
      <c r="BF327" s="1833"/>
      <c r="BG327" s="1646"/>
    </row>
    <row customHeight="1" ht="11.25">
      <c r="A328" s="1177" t="s">
        <v>1088</v>
      </c>
      <c r="B328" s="1177" t="s">
        <v>1155</v>
      </c>
      <c r="C328" s="1177"/>
      <c r="D328" s="1171"/>
      <c r="E328" s="1181"/>
      <c r="F328" s="1839"/>
      <c r="G328" s="694" t="s">
        <v>105</v>
      </c>
      <c r="H328" s="2545" t="s">
        <v>1192</v>
      </c>
      <c r="I328" s="2546" t="s">
        <v>1156</v>
      </c>
      <c r="J328" s="2515" t="s">
        <v>1157</v>
      </c>
      <c r="K328" s="2547" t="s">
        <v>1243</v>
      </c>
      <c r="L328" s="2137" t="s">
        <v>19</v>
      </c>
      <c r="M328" s="2138"/>
      <c r="N328" s="1994"/>
      <c r="O328" s="1188" t="s">
        <v>390</v>
      </c>
      <c r="P328" s="1189"/>
      <c r="Q328" s="1189"/>
      <c r="R328" s="1189"/>
      <c r="S328" s="1189"/>
      <c r="T328" s="1189"/>
      <c r="U328" s="1189"/>
      <c r="V328" s="1189"/>
      <c r="W328" s="1189"/>
      <c r="X328" s="1189"/>
      <c r="Y328" s="1189"/>
      <c r="Z328" s="1189"/>
      <c r="AA328" s="1189"/>
      <c r="AB328" s="1189"/>
      <c r="AC328" s="1189"/>
      <c r="AD328" s="1189"/>
      <c r="AE328" s="1189"/>
      <c r="AF328" s="2536">
        <v>2027</v>
      </c>
      <c r="AG328" s="2537" t="s">
        <v>1122</v>
      </c>
      <c r="AH328" s="2537" t="s">
        <v>1164</v>
      </c>
      <c r="AI328" s="2916"/>
      <c r="AJ328" s="2537" t="s">
        <v>1154</v>
      </c>
      <c r="AK328" s="2537" t="s">
        <v>1154</v>
      </c>
      <c r="AL328" s="1996"/>
      <c r="AM328" s="1833"/>
      <c r="AN328" s="1833"/>
      <c r="AO328" s="1833"/>
      <c r="AP328" s="1833"/>
      <c r="AQ328" s="1833"/>
      <c r="AR328" s="1833"/>
      <c r="AS328" s="1833"/>
      <c r="AT328" s="1833"/>
      <c r="AU328" s="1833"/>
      <c r="AV328" s="1833"/>
      <c r="AW328" s="1833"/>
      <c r="AX328" s="1833"/>
      <c r="AY328" s="1833"/>
      <c r="AZ328" s="1833"/>
      <c r="BA328" s="1833"/>
      <c r="BB328" s="1833"/>
      <c r="BC328" s="1833"/>
      <c r="BD328" s="1833"/>
      <c r="BE328" s="1833"/>
      <c r="BF328" s="1833"/>
      <c r="BG328" s="1646"/>
    </row>
    <row customHeight="1" ht="11.25">
      <c r="A329" s="1177" t="s">
        <v>1088</v>
      </c>
      <c r="B329" s="1177"/>
      <c r="C329" s="1177"/>
      <c r="D329" s="1171"/>
      <c r="E329" s="1181"/>
      <c r="F329" s="1839"/>
      <c r="G329" s="1840"/>
      <c r="H329" s="2545" t="s">
        <v>1186</v>
      </c>
      <c r="I329" s="2546"/>
      <c r="J329" s="2515"/>
      <c r="K329" s="2547"/>
      <c r="L329" s="2137"/>
      <c r="M329" s="2138"/>
      <c r="N329" s="2538"/>
      <c r="O329" s="2539">
        <v>1</v>
      </c>
      <c r="P329" s="2540" t="s">
        <v>63</v>
      </c>
      <c r="Q329" s="2913" t="s">
        <v>639</v>
      </c>
      <c r="R329" s="2914" t="s">
        <v>1124</v>
      </c>
      <c r="S329" s="2914" t="s">
        <v>108</v>
      </c>
      <c r="T329" s="2914" t="s">
        <v>108</v>
      </c>
      <c r="U329" s="2914" t="s">
        <v>109</v>
      </c>
      <c r="V329" s="2914" t="s">
        <v>1174</v>
      </c>
      <c r="W329" s="2914" t="s">
        <v>1175</v>
      </c>
      <c r="X329" s="2914" t="s">
        <v>1176</v>
      </c>
      <c r="Y329" s="2914" t="s">
        <v>1244</v>
      </c>
      <c r="Z329" s="1186"/>
      <c r="AA329" s="1187"/>
      <c r="AB329" s="1187"/>
      <c r="AC329" s="1191"/>
      <c r="AD329" s="1191"/>
      <c r="AE329" s="1192"/>
      <c r="AF329" s="2536"/>
      <c r="AG329" s="2537"/>
      <c r="AH329" s="2537"/>
      <c r="AI329" s="2916"/>
      <c r="AJ329" s="2537"/>
      <c r="AK329" s="2537"/>
      <c r="AL329" s="1996"/>
      <c r="AM329" s="1833"/>
      <c r="AN329" s="1833"/>
      <c r="AO329" s="1833"/>
      <c r="AP329" s="1833"/>
      <c r="AQ329" s="1833"/>
      <c r="AR329" s="1833"/>
      <c r="AS329" s="1833"/>
      <c r="AT329" s="1833"/>
      <c r="AU329" s="1833"/>
      <c r="AV329" s="1833"/>
      <c r="AW329" s="1833"/>
      <c r="AX329" s="1833"/>
      <c r="AY329" s="1833"/>
      <c r="AZ329" s="1833"/>
      <c r="BA329" s="1833"/>
      <c r="BB329" s="1833"/>
      <c r="BC329" s="1833"/>
      <c r="BD329" s="1833"/>
      <c r="BE329" s="1833"/>
      <c r="BF329" s="1833"/>
      <c r="BG329" s="1646"/>
    </row>
    <row customHeight="1" ht="11.25">
      <c r="A330" s="1177" t="s">
        <v>1088</v>
      </c>
      <c r="B330" s="1177"/>
      <c r="C330" s="1177"/>
      <c r="D330" s="1171"/>
      <c r="E330" s="1181"/>
      <c r="F330" s="1839"/>
      <c r="G330" s="1840"/>
      <c r="H330" s="2545" t="s">
        <v>1186</v>
      </c>
      <c r="I330" s="2546"/>
      <c r="J330" s="2515"/>
      <c r="K330" s="2547"/>
      <c r="L330" s="2137"/>
      <c r="M330" s="2138"/>
      <c r="N330" s="2538"/>
      <c r="O330" s="2539"/>
      <c r="P330" s="2541"/>
      <c r="Q330" s="2913"/>
      <c r="R330" s="2543"/>
      <c r="S330" s="2544"/>
      <c r="T330" s="2543"/>
      <c r="U330" s="2543"/>
      <c r="V330" s="2543"/>
      <c r="W330" s="2543"/>
      <c r="X330" s="2543"/>
      <c r="Y330" s="2543"/>
      <c r="Z330" s="1838"/>
      <c r="AA330" s="1804">
        <v>1</v>
      </c>
      <c r="AB330" s="1190" t="s">
        <v>1234</v>
      </c>
      <c r="AC330" s="1180">
        <v>25867.5</v>
      </c>
      <c r="AD330" s="1190" t="str">
        <f>AB330</f>
        <v>  Прочие</v>
      </c>
      <c r="AE330" s="1180">
        <v>0</v>
      </c>
      <c r="AF330" s="2536"/>
      <c r="AG330" s="2537"/>
      <c r="AH330" s="2537"/>
      <c r="AI330" s="2916"/>
      <c r="AJ330" s="2537"/>
      <c r="AK330" s="2537"/>
      <c r="AL330" s="1996"/>
      <c r="AM330" s="1833"/>
      <c r="AN330" s="1833"/>
      <c r="AO330" s="1833"/>
      <c r="AP330" s="1833"/>
      <c r="AQ330" s="1833"/>
      <c r="AR330" s="1833"/>
      <c r="AS330" s="1833"/>
      <c r="AT330" s="1833"/>
      <c r="AU330" s="1833"/>
      <c r="AV330" s="1833"/>
      <c r="AW330" s="1833"/>
      <c r="AX330" s="1833"/>
      <c r="AY330" s="1833"/>
      <c r="AZ330" s="1833"/>
      <c r="BA330" s="1833"/>
      <c r="BB330" s="1833"/>
      <c r="BC330" s="1833"/>
      <c r="BD330" s="1833"/>
      <c r="BE330" s="1833"/>
      <c r="BF330" s="1833"/>
      <c r="BG330" s="1646"/>
    </row>
    <row customHeight="1" ht="11.25">
      <c r="A331" s="1177" t="s">
        <v>1088</v>
      </c>
      <c r="B331" s="1177"/>
      <c r="C331" s="1177"/>
      <c r="D331" s="1171"/>
      <c r="E331" s="1181"/>
      <c r="F331" s="1839"/>
      <c r="G331" s="1840"/>
      <c r="H331" s="2545" t="s">
        <v>1186</v>
      </c>
      <c r="I331" s="2546"/>
      <c r="J331" s="2515"/>
      <c r="K331" s="2547"/>
      <c r="L331" s="2137"/>
      <c r="M331" s="2138"/>
      <c r="N331" s="2538"/>
      <c r="O331" s="2539"/>
      <c r="P331" s="2542"/>
      <c r="Q331" s="2913"/>
      <c r="R331" s="2543"/>
      <c r="S331" s="2544"/>
      <c r="T331" s="2543"/>
      <c r="U331" s="2543"/>
      <c r="V331" s="2543"/>
      <c r="W331" s="2543"/>
      <c r="X331" s="2543"/>
      <c r="Y331" s="2543"/>
      <c r="Z331" s="1186"/>
      <c r="AA331" s="1187"/>
      <c r="AB331" s="1252" t="s">
        <v>1130</v>
      </c>
      <c r="AC331" s="1191"/>
      <c r="AD331" s="1191"/>
      <c r="AE331" s="1193"/>
      <c r="AF331" s="2536"/>
      <c r="AG331" s="2537"/>
      <c r="AH331" s="2537"/>
      <c r="AI331" s="2916"/>
      <c r="AJ331" s="2537"/>
      <c r="AK331" s="2537"/>
      <c r="AL331" s="1996"/>
      <c r="AM331" s="1833"/>
      <c r="AN331" s="1833"/>
      <c r="AO331" s="1833"/>
      <c r="AP331" s="1833"/>
      <c r="AQ331" s="1833"/>
      <c r="AR331" s="1833"/>
      <c r="AS331" s="1833"/>
      <c r="AT331" s="1833"/>
      <c r="AU331" s="1833"/>
      <c r="AV331" s="1833"/>
      <c r="AW331" s="1833"/>
      <c r="AX331" s="1833"/>
      <c r="AY331" s="1833"/>
      <c r="AZ331" s="1833"/>
      <c r="BA331" s="1833"/>
      <c r="BB331" s="1833"/>
      <c r="BC331" s="1833"/>
      <c r="BD331" s="1833"/>
      <c r="BE331" s="1833"/>
      <c r="BF331" s="1833"/>
      <c r="BG331" s="1646"/>
    </row>
    <row customHeight="1" ht="11.25">
      <c r="A332" s="1177" t="s">
        <v>1088</v>
      </c>
      <c r="B332" s="1177"/>
      <c r="C332" s="1177"/>
      <c r="D332" s="1171"/>
      <c r="E332" s="1181"/>
      <c r="F332" s="1839"/>
      <c r="G332" s="1840"/>
      <c r="H332" s="2545" t="s">
        <v>1186</v>
      </c>
      <c r="I332" s="2546"/>
      <c r="J332" s="2515"/>
      <c r="K332" s="2547"/>
      <c r="L332" s="2137"/>
      <c r="M332" s="2138"/>
      <c r="N332" s="1186"/>
      <c r="O332" s="1187"/>
      <c r="P332" s="1179" t="s">
        <v>1131</v>
      </c>
      <c r="Q332" s="1187"/>
      <c r="R332" s="1187"/>
      <c r="S332" s="1187"/>
      <c r="T332" s="1187"/>
      <c r="U332" s="1187"/>
      <c r="V332" s="1187"/>
      <c r="W332" s="1187"/>
      <c r="X332" s="1187"/>
      <c r="Y332" s="1187"/>
      <c r="Z332" s="1187"/>
      <c r="AA332" s="1187"/>
      <c r="AB332" s="1187"/>
      <c r="AC332" s="1187"/>
      <c r="AD332" s="1187"/>
      <c r="AE332" s="1194"/>
      <c r="AF332" s="2536"/>
      <c r="AG332" s="2537"/>
      <c r="AH332" s="2537"/>
      <c r="AI332" s="2916"/>
      <c r="AJ332" s="2537"/>
      <c r="AK332" s="2537"/>
      <c r="AL332" s="1996"/>
      <c r="AM332" s="1833"/>
      <c r="AN332" s="1833"/>
      <c r="AO332" s="1833"/>
      <c r="AP332" s="1833"/>
      <c r="AQ332" s="1833"/>
      <c r="AR332" s="1833"/>
      <c r="AS332" s="1833"/>
      <c r="AT332" s="1833"/>
      <c r="AU332" s="1833"/>
      <c r="AV332" s="1833"/>
      <c r="AW332" s="1833"/>
      <c r="AX332" s="1833"/>
      <c r="AY332" s="1833"/>
      <c r="AZ332" s="1833"/>
      <c r="BA332" s="1833"/>
      <c r="BB332" s="1833"/>
      <c r="BC332" s="1833"/>
      <c r="BD332" s="1833"/>
      <c r="BE332" s="1833"/>
      <c r="BF332" s="1833"/>
      <c r="BG332" s="1646"/>
    </row>
    <row customHeight="1" ht="11.25">
      <c r="A333" s="1177" t="s">
        <v>1088</v>
      </c>
      <c r="B333" s="1177" t="s">
        <v>1155</v>
      </c>
      <c r="C333" s="1177"/>
      <c r="D333" s="1171"/>
      <c r="E333" s="1181"/>
      <c r="F333" s="1839"/>
      <c r="G333" s="694" t="s">
        <v>105</v>
      </c>
      <c r="H333" s="2545" t="s">
        <v>1196</v>
      </c>
      <c r="I333" s="2546" t="s">
        <v>1156</v>
      </c>
      <c r="J333" s="2515" t="s">
        <v>1157</v>
      </c>
      <c r="K333" s="2547" t="s">
        <v>1178</v>
      </c>
      <c r="L333" s="2137" t="s">
        <v>19</v>
      </c>
      <c r="M333" s="2138"/>
      <c r="N333" s="1994"/>
      <c r="O333" s="1188" t="s">
        <v>390</v>
      </c>
      <c r="P333" s="1189"/>
      <c r="Q333" s="1189"/>
      <c r="R333" s="1189"/>
      <c r="S333" s="1189"/>
      <c r="T333" s="1189"/>
      <c r="U333" s="1189"/>
      <c r="V333" s="1189"/>
      <c r="W333" s="1189"/>
      <c r="X333" s="1189"/>
      <c r="Y333" s="1189"/>
      <c r="Z333" s="1189"/>
      <c r="AA333" s="1189"/>
      <c r="AB333" s="1189"/>
      <c r="AC333" s="1189"/>
      <c r="AD333" s="1189"/>
      <c r="AE333" s="1189"/>
      <c r="AF333" s="2536">
        <v>2026</v>
      </c>
      <c r="AG333" s="2537" t="s">
        <v>1122</v>
      </c>
      <c r="AH333" s="2537" t="s">
        <v>1169</v>
      </c>
      <c r="AI333" s="2916"/>
      <c r="AJ333" s="2537" t="s">
        <v>1154</v>
      </c>
      <c r="AK333" s="2537" t="s">
        <v>1154</v>
      </c>
      <c r="AL333" s="1996"/>
      <c r="AM333" s="1833"/>
      <c r="AN333" s="1833"/>
      <c r="AO333" s="1833"/>
      <c r="AP333" s="1833"/>
      <c r="AQ333" s="1833"/>
      <c r="AR333" s="1833"/>
      <c r="AS333" s="1833"/>
      <c r="AT333" s="1833"/>
      <c r="AU333" s="1833"/>
      <c r="AV333" s="1833"/>
      <c r="AW333" s="1833"/>
      <c r="AX333" s="1833"/>
      <c r="AY333" s="1833"/>
      <c r="AZ333" s="1833"/>
      <c r="BA333" s="1833"/>
      <c r="BB333" s="1833"/>
      <c r="BC333" s="1833"/>
      <c r="BD333" s="1833"/>
      <c r="BE333" s="1833"/>
      <c r="BF333" s="1833"/>
      <c r="BG333" s="1646"/>
    </row>
    <row customHeight="1" ht="11.25">
      <c r="A334" s="1177" t="s">
        <v>1088</v>
      </c>
      <c r="B334" s="1177"/>
      <c r="C334" s="1177"/>
      <c r="D334" s="1171"/>
      <c r="E334" s="1181"/>
      <c r="F334" s="1839"/>
      <c r="G334" s="1840"/>
      <c r="H334" s="2545" t="s">
        <v>1192</v>
      </c>
      <c r="I334" s="2546"/>
      <c r="J334" s="2515"/>
      <c r="K334" s="2547"/>
      <c r="L334" s="2137"/>
      <c r="M334" s="2138"/>
      <c r="N334" s="2538"/>
      <c r="O334" s="2539">
        <v>1</v>
      </c>
      <c r="P334" s="2540" t="s">
        <v>19</v>
      </c>
      <c r="Q334" s="2543" t="s">
        <v>22</v>
      </c>
      <c r="R334" s="2543" t="s">
        <v>22</v>
      </c>
      <c r="S334" s="2543" t="s">
        <v>22</v>
      </c>
      <c r="T334" s="2543" t="s">
        <v>22</v>
      </c>
      <c r="U334" s="2543" t="s">
        <v>22</v>
      </c>
      <c r="V334" s="2543" t="s">
        <v>22</v>
      </c>
      <c r="W334" s="2543" t="s">
        <v>22</v>
      </c>
      <c r="X334" s="2543" t="s">
        <v>22</v>
      </c>
      <c r="Y334" s="2543"/>
      <c r="Z334" s="1186"/>
      <c r="AA334" s="1187"/>
      <c r="AB334" s="1187"/>
      <c r="AC334" s="1191"/>
      <c r="AD334" s="1191"/>
      <c r="AE334" s="1192"/>
      <c r="AF334" s="2536"/>
      <c r="AG334" s="2537"/>
      <c r="AH334" s="2537"/>
      <c r="AI334" s="2916"/>
      <c r="AJ334" s="2537"/>
      <c r="AK334" s="2537"/>
      <c r="AL334" s="1996"/>
      <c r="AM334" s="1833"/>
      <c r="AN334" s="1833"/>
      <c r="AO334" s="1833"/>
      <c r="AP334" s="1833"/>
      <c r="AQ334" s="1833"/>
      <c r="AR334" s="1833"/>
      <c r="AS334" s="1833"/>
      <c r="AT334" s="1833"/>
      <c r="AU334" s="1833"/>
      <c r="AV334" s="1833"/>
      <c r="AW334" s="1833"/>
      <c r="AX334" s="1833"/>
      <c r="AY334" s="1833"/>
      <c r="AZ334" s="1833"/>
      <c r="BA334" s="1833"/>
      <c r="BB334" s="1833"/>
      <c r="BC334" s="1833"/>
      <c r="BD334" s="1833"/>
      <c r="BE334" s="1833"/>
      <c r="BF334" s="1833"/>
      <c r="BG334" s="1646"/>
    </row>
    <row customHeight="1" ht="11.25">
      <c r="A335" s="1177" t="s">
        <v>1088</v>
      </c>
      <c r="B335" s="1177"/>
      <c r="C335" s="1177"/>
      <c r="D335" s="1171"/>
      <c r="E335" s="1181"/>
      <c r="F335" s="1839"/>
      <c r="G335" s="1840"/>
      <c r="H335" s="2545" t="s">
        <v>1192</v>
      </c>
      <c r="I335" s="2546"/>
      <c r="J335" s="2515"/>
      <c r="K335" s="2547"/>
      <c r="L335" s="2137"/>
      <c r="M335" s="2138"/>
      <c r="N335" s="2538"/>
      <c r="O335" s="2539"/>
      <c r="P335" s="2541"/>
      <c r="Q335" s="2543"/>
      <c r="R335" s="2543"/>
      <c r="S335" s="2544"/>
      <c r="T335" s="2543"/>
      <c r="U335" s="2543"/>
      <c r="V335" s="2543"/>
      <c r="W335" s="2543"/>
      <c r="X335" s="2543"/>
      <c r="Y335" s="2543"/>
      <c r="Z335" s="1838"/>
      <c r="AA335" s="1804">
        <v>1</v>
      </c>
      <c r="AB335" s="1190" t="s">
        <v>1159</v>
      </c>
      <c r="AC335" s="1180">
        <v>4032.81</v>
      </c>
      <c r="AD335" s="1190" t="str">
        <f>AB335</f>
        <v>      Прочие амортизационные отчисления</v>
      </c>
      <c r="AE335" s="1180">
        <v>0</v>
      </c>
      <c r="AF335" s="2536"/>
      <c r="AG335" s="2537"/>
      <c r="AH335" s="2537"/>
      <c r="AI335" s="2916"/>
      <c r="AJ335" s="2537"/>
      <c r="AK335" s="2537"/>
      <c r="AL335" s="1996"/>
      <c r="AM335" s="1833"/>
      <c r="AN335" s="1833"/>
      <c r="AO335" s="1833"/>
      <c r="AP335" s="1833"/>
      <c r="AQ335" s="1833"/>
      <c r="AR335" s="1833"/>
      <c r="AS335" s="1833"/>
      <c r="AT335" s="1833"/>
      <c r="AU335" s="1833"/>
      <c r="AV335" s="1833"/>
      <c r="AW335" s="1833"/>
      <c r="AX335" s="1833"/>
      <c r="AY335" s="1833"/>
      <c r="AZ335" s="1833"/>
      <c r="BA335" s="1833"/>
      <c r="BB335" s="1833"/>
      <c r="BC335" s="1833"/>
      <c r="BD335" s="1833"/>
      <c r="BE335" s="1833"/>
      <c r="BF335" s="1833"/>
      <c r="BG335" s="1646"/>
    </row>
    <row customHeight="1" ht="11.25">
      <c r="A336" s="1177" t="s">
        <v>1088</v>
      </c>
      <c r="B336" s="1177"/>
      <c r="C336" s="1177"/>
      <c r="D336" s="1171"/>
      <c r="E336" s="1181"/>
      <c r="F336" s="1839"/>
      <c r="G336" s="1840"/>
      <c r="H336" s="2545" t="s">
        <v>1192</v>
      </c>
      <c r="I336" s="2546"/>
      <c r="J336" s="2515"/>
      <c r="K336" s="2547"/>
      <c r="L336" s="2137"/>
      <c r="M336" s="2138"/>
      <c r="N336" s="2538"/>
      <c r="O336" s="2539"/>
      <c r="P336" s="2542"/>
      <c r="Q336" s="2543"/>
      <c r="R336" s="2543"/>
      <c r="S336" s="2544"/>
      <c r="T336" s="2543"/>
      <c r="U336" s="2543"/>
      <c r="V336" s="2543"/>
      <c r="W336" s="2543"/>
      <c r="X336" s="2543"/>
      <c r="Y336" s="2543"/>
      <c r="Z336" s="1186"/>
      <c r="AA336" s="1187"/>
      <c r="AB336" s="1252" t="s">
        <v>1130</v>
      </c>
      <c r="AC336" s="1191"/>
      <c r="AD336" s="1191"/>
      <c r="AE336" s="1193"/>
      <c r="AF336" s="2536"/>
      <c r="AG336" s="2537"/>
      <c r="AH336" s="2537"/>
      <c r="AI336" s="2916"/>
      <c r="AJ336" s="2537"/>
      <c r="AK336" s="2537"/>
      <c r="AL336" s="1996"/>
      <c r="AM336" s="1833"/>
      <c r="AN336" s="1833"/>
      <c r="AO336" s="1833"/>
      <c r="AP336" s="1833"/>
      <c r="AQ336" s="1833"/>
      <c r="AR336" s="1833"/>
      <c r="AS336" s="1833"/>
      <c r="AT336" s="1833"/>
      <c r="AU336" s="1833"/>
      <c r="AV336" s="1833"/>
      <c r="AW336" s="1833"/>
      <c r="AX336" s="1833"/>
      <c r="AY336" s="1833"/>
      <c r="AZ336" s="1833"/>
      <c r="BA336" s="1833"/>
      <c r="BB336" s="1833"/>
      <c r="BC336" s="1833"/>
      <c r="BD336" s="1833"/>
      <c r="BE336" s="1833"/>
      <c r="BF336" s="1833"/>
      <c r="BG336" s="1646"/>
    </row>
    <row customHeight="1" ht="11.25">
      <c r="A337" s="1177" t="s">
        <v>1088</v>
      </c>
      <c r="B337" s="1177"/>
      <c r="C337" s="1177"/>
      <c r="D337" s="1171"/>
      <c r="E337" s="1181"/>
      <c r="F337" s="1839"/>
      <c r="G337" s="1840"/>
      <c r="H337" s="2545" t="s">
        <v>1192</v>
      </c>
      <c r="I337" s="2546"/>
      <c r="J337" s="2515"/>
      <c r="K337" s="2547"/>
      <c r="L337" s="2137"/>
      <c r="M337" s="2138"/>
      <c r="N337" s="1186"/>
      <c r="O337" s="1187"/>
      <c r="P337" s="1179" t="s">
        <v>1131</v>
      </c>
      <c r="Q337" s="1187"/>
      <c r="R337" s="1187"/>
      <c r="S337" s="1187"/>
      <c r="T337" s="1187"/>
      <c r="U337" s="1187"/>
      <c r="V337" s="1187"/>
      <c r="W337" s="1187"/>
      <c r="X337" s="1187"/>
      <c r="Y337" s="1187"/>
      <c r="Z337" s="1187"/>
      <c r="AA337" s="1187"/>
      <c r="AB337" s="1187"/>
      <c r="AC337" s="1187"/>
      <c r="AD337" s="1187"/>
      <c r="AE337" s="1194"/>
      <c r="AF337" s="2536"/>
      <c r="AG337" s="2537"/>
      <c r="AH337" s="2537"/>
      <c r="AI337" s="2916"/>
      <c r="AJ337" s="2537"/>
      <c r="AK337" s="2537"/>
      <c r="AL337" s="1996"/>
      <c r="AM337" s="1833"/>
      <c r="AN337" s="1833"/>
      <c r="AO337" s="1833"/>
      <c r="AP337" s="1833"/>
      <c r="AQ337" s="1833"/>
      <c r="AR337" s="1833"/>
      <c r="AS337" s="1833"/>
      <c r="AT337" s="1833"/>
      <c r="AU337" s="1833"/>
      <c r="AV337" s="1833"/>
      <c r="AW337" s="1833"/>
      <c r="AX337" s="1833"/>
      <c r="AY337" s="1833"/>
      <c r="AZ337" s="1833"/>
      <c r="BA337" s="1833"/>
      <c r="BB337" s="1833"/>
      <c r="BC337" s="1833"/>
      <c r="BD337" s="1833"/>
      <c r="BE337" s="1833"/>
      <c r="BF337" s="1833"/>
      <c r="BG337" s="1646"/>
    </row>
    <row customHeight="1" ht="11.25">
      <c r="A338" s="1177" t="s">
        <v>1088</v>
      </c>
      <c r="B338" s="1177" t="s">
        <v>1155</v>
      </c>
      <c r="C338" s="1177"/>
      <c r="D338" s="1171"/>
      <c r="E338" s="1181"/>
      <c r="F338" s="1839"/>
      <c r="G338" s="694" t="s">
        <v>105</v>
      </c>
      <c r="H338" s="2545" t="s">
        <v>1197</v>
      </c>
      <c r="I338" s="2546" t="s">
        <v>1156</v>
      </c>
      <c r="J338" s="2515" t="s">
        <v>1157</v>
      </c>
      <c r="K338" s="2547" t="s">
        <v>1245</v>
      </c>
      <c r="L338" s="2137" t="s">
        <v>19</v>
      </c>
      <c r="M338" s="2138"/>
      <c r="N338" s="1994"/>
      <c r="O338" s="1188" t="s">
        <v>390</v>
      </c>
      <c r="P338" s="1189"/>
      <c r="Q338" s="1189"/>
      <c r="R338" s="1189"/>
      <c r="S338" s="1189"/>
      <c r="T338" s="1189"/>
      <c r="U338" s="1189"/>
      <c r="V338" s="1189"/>
      <c r="W338" s="1189"/>
      <c r="X338" s="1189"/>
      <c r="Y338" s="1189"/>
      <c r="Z338" s="1189"/>
      <c r="AA338" s="1189"/>
      <c r="AB338" s="1189"/>
      <c r="AC338" s="1189"/>
      <c r="AD338" s="1189"/>
      <c r="AE338" s="1189"/>
      <c r="AF338" s="2536">
        <v>2026</v>
      </c>
      <c r="AG338" s="2537" t="s">
        <v>1122</v>
      </c>
      <c r="AH338" s="2537" t="s">
        <v>1169</v>
      </c>
      <c r="AI338" s="2916"/>
      <c r="AJ338" s="2537" t="s">
        <v>1154</v>
      </c>
      <c r="AK338" s="2537" t="s">
        <v>1154</v>
      </c>
      <c r="AL338" s="1996"/>
      <c r="AM338" s="1833"/>
      <c r="AN338" s="1833"/>
      <c r="AO338" s="1833"/>
      <c r="AP338" s="1833"/>
      <c r="AQ338" s="1833"/>
      <c r="AR338" s="1833"/>
      <c r="AS338" s="1833"/>
      <c r="AT338" s="1833"/>
      <c r="AU338" s="1833"/>
      <c r="AV338" s="1833"/>
      <c r="AW338" s="1833"/>
      <c r="AX338" s="1833"/>
      <c r="AY338" s="1833"/>
      <c r="AZ338" s="1833"/>
      <c r="BA338" s="1833"/>
      <c r="BB338" s="1833"/>
      <c r="BC338" s="1833"/>
      <c r="BD338" s="1833"/>
      <c r="BE338" s="1833"/>
      <c r="BF338" s="1833"/>
      <c r="BG338" s="1646"/>
    </row>
    <row customHeight="1" ht="11.25">
      <c r="A339" s="1177" t="s">
        <v>1088</v>
      </c>
      <c r="B339" s="1177"/>
      <c r="C339" s="1177"/>
      <c r="D339" s="1171"/>
      <c r="E339" s="1181"/>
      <c r="F339" s="1839"/>
      <c r="G339" s="1840"/>
      <c r="H339" s="2545" t="s">
        <v>1196</v>
      </c>
      <c r="I339" s="2546"/>
      <c r="J339" s="2515"/>
      <c r="K339" s="2547"/>
      <c r="L339" s="2137"/>
      <c r="M339" s="2138"/>
      <c r="N339" s="2538"/>
      <c r="O339" s="2539">
        <v>1</v>
      </c>
      <c r="P339" s="2540" t="s">
        <v>19</v>
      </c>
      <c r="Q339" s="2543" t="s">
        <v>22</v>
      </c>
      <c r="R339" s="2543" t="s">
        <v>22</v>
      </c>
      <c r="S339" s="2543" t="s">
        <v>22</v>
      </c>
      <c r="T339" s="2543" t="s">
        <v>22</v>
      </c>
      <c r="U339" s="2543" t="s">
        <v>22</v>
      </c>
      <c r="V339" s="2543" t="s">
        <v>22</v>
      </c>
      <c r="W339" s="2543" t="s">
        <v>22</v>
      </c>
      <c r="X339" s="2543" t="s">
        <v>22</v>
      </c>
      <c r="Y339" s="2543"/>
      <c r="Z339" s="1186"/>
      <c r="AA339" s="1187"/>
      <c r="AB339" s="1187"/>
      <c r="AC339" s="1191"/>
      <c r="AD339" s="1191"/>
      <c r="AE339" s="1192"/>
      <c r="AF339" s="2536"/>
      <c r="AG339" s="2537"/>
      <c r="AH339" s="2537"/>
      <c r="AI339" s="2916"/>
      <c r="AJ339" s="2537"/>
      <c r="AK339" s="2537"/>
      <c r="AL339" s="1996"/>
      <c r="AM339" s="1833"/>
      <c r="AN339" s="1833"/>
      <c r="AO339" s="1833"/>
      <c r="AP339" s="1833"/>
      <c r="AQ339" s="1833"/>
      <c r="AR339" s="1833"/>
      <c r="AS339" s="1833"/>
      <c r="AT339" s="1833"/>
      <c r="AU339" s="1833"/>
      <c r="AV339" s="1833"/>
      <c r="AW339" s="1833"/>
      <c r="AX339" s="1833"/>
      <c r="AY339" s="1833"/>
      <c r="AZ339" s="1833"/>
      <c r="BA339" s="1833"/>
      <c r="BB339" s="1833"/>
      <c r="BC339" s="1833"/>
      <c r="BD339" s="1833"/>
      <c r="BE339" s="1833"/>
      <c r="BF339" s="1833"/>
      <c r="BG339" s="1646"/>
    </row>
    <row customHeight="1" ht="11.25">
      <c r="A340" s="1177" t="s">
        <v>1088</v>
      </c>
      <c r="B340" s="1177"/>
      <c r="C340" s="1177"/>
      <c r="D340" s="1171"/>
      <c r="E340" s="1181"/>
      <c r="F340" s="1839"/>
      <c r="G340" s="1840"/>
      <c r="H340" s="2545" t="s">
        <v>1196</v>
      </c>
      <c r="I340" s="2546"/>
      <c r="J340" s="2515"/>
      <c r="K340" s="2547"/>
      <c r="L340" s="2137"/>
      <c r="M340" s="2138"/>
      <c r="N340" s="2538"/>
      <c r="O340" s="2539"/>
      <c r="P340" s="2541"/>
      <c r="Q340" s="2543"/>
      <c r="R340" s="2543"/>
      <c r="S340" s="2544"/>
      <c r="T340" s="2543"/>
      <c r="U340" s="2543"/>
      <c r="V340" s="2543"/>
      <c r="W340" s="2543"/>
      <c r="X340" s="2543"/>
      <c r="Y340" s="2543"/>
      <c r="Z340" s="1838"/>
      <c r="AA340" s="1804">
        <v>1</v>
      </c>
      <c r="AB340" s="1190" t="s">
        <v>1234</v>
      </c>
      <c r="AC340" s="1180">
        <v>1000</v>
      </c>
      <c r="AD340" s="1190" t="str">
        <f>AB340</f>
        <v>  Прочие</v>
      </c>
      <c r="AE340" s="1180">
        <v>0</v>
      </c>
      <c r="AF340" s="2536"/>
      <c r="AG340" s="2537"/>
      <c r="AH340" s="2537"/>
      <c r="AI340" s="2916"/>
      <c r="AJ340" s="2537"/>
      <c r="AK340" s="2537"/>
      <c r="AL340" s="1996"/>
      <c r="AM340" s="1833"/>
      <c r="AN340" s="1833"/>
      <c r="AO340" s="1833"/>
      <c r="AP340" s="1833"/>
      <c r="AQ340" s="1833"/>
      <c r="AR340" s="1833"/>
      <c r="AS340" s="1833"/>
      <c r="AT340" s="1833"/>
      <c r="AU340" s="1833"/>
      <c r="AV340" s="1833"/>
      <c r="AW340" s="1833"/>
      <c r="AX340" s="1833"/>
      <c r="AY340" s="1833"/>
      <c r="AZ340" s="1833"/>
      <c r="BA340" s="1833"/>
      <c r="BB340" s="1833"/>
      <c r="BC340" s="1833"/>
      <c r="BD340" s="1833"/>
      <c r="BE340" s="1833"/>
      <c r="BF340" s="1833"/>
      <c r="BG340" s="1646"/>
    </row>
    <row customHeight="1" ht="11.25">
      <c r="A341" s="1177" t="s">
        <v>1088</v>
      </c>
      <c r="B341" s="1177"/>
      <c r="C341" s="1177"/>
      <c r="D341" s="1171"/>
      <c r="E341" s="1181"/>
      <c r="F341" s="1839"/>
      <c r="G341" s="1840"/>
      <c r="H341" s="2545" t="s">
        <v>1196</v>
      </c>
      <c r="I341" s="2546"/>
      <c r="J341" s="2515"/>
      <c r="K341" s="2547"/>
      <c r="L341" s="2137"/>
      <c r="M341" s="2138"/>
      <c r="N341" s="2538"/>
      <c r="O341" s="2539"/>
      <c r="P341" s="2542"/>
      <c r="Q341" s="2543"/>
      <c r="R341" s="2543"/>
      <c r="S341" s="2544"/>
      <c r="T341" s="2543"/>
      <c r="U341" s="2543"/>
      <c r="V341" s="2543"/>
      <c r="W341" s="2543"/>
      <c r="X341" s="2543"/>
      <c r="Y341" s="2543"/>
      <c r="Z341" s="1186"/>
      <c r="AA341" s="1187"/>
      <c r="AB341" s="1252" t="s">
        <v>1130</v>
      </c>
      <c r="AC341" s="1191"/>
      <c r="AD341" s="1191"/>
      <c r="AE341" s="1193"/>
      <c r="AF341" s="2536"/>
      <c r="AG341" s="2537"/>
      <c r="AH341" s="2537"/>
      <c r="AI341" s="2916"/>
      <c r="AJ341" s="2537"/>
      <c r="AK341" s="2537"/>
      <c r="AL341" s="1996"/>
      <c r="AM341" s="1833"/>
      <c r="AN341" s="1833"/>
      <c r="AO341" s="1833"/>
      <c r="AP341" s="1833"/>
      <c r="AQ341" s="1833"/>
      <c r="AR341" s="1833"/>
      <c r="AS341" s="1833"/>
      <c r="AT341" s="1833"/>
      <c r="AU341" s="1833"/>
      <c r="AV341" s="1833"/>
      <c r="AW341" s="1833"/>
      <c r="AX341" s="1833"/>
      <c r="AY341" s="1833"/>
      <c r="AZ341" s="1833"/>
      <c r="BA341" s="1833"/>
      <c r="BB341" s="1833"/>
      <c r="BC341" s="1833"/>
      <c r="BD341" s="1833"/>
      <c r="BE341" s="1833"/>
      <c r="BF341" s="1833"/>
      <c r="BG341" s="1646"/>
    </row>
    <row customHeight="1" ht="11.25">
      <c r="A342" s="1177" t="s">
        <v>1088</v>
      </c>
      <c r="B342" s="1177"/>
      <c r="C342" s="1177"/>
      <c r="D342" s="1171"/>
      <c r="E342" s="1181"/>
      <c r="F342" s="1839"/>
      <c r="G342" s="1840"/>
      <c r="H342" s="2545" t="s">
        <v>1196</v>
      </c>
      <c r="I342" s="2546"/>
      <c r="J342" s="2515"/>
      <c r="K342" s="2547"/>
      <c r="L342" s="2137"/>
      <c r="M342" s="2138"/>
      <c r="N342" s="1186"/>
      <c r="O342" s="1187"/>
      <c r="P342" s="1179" t="s">
        <v>1131</v>
      </c>
      <c r="Q342" s="1187"/>
      <c r="R342" s="1187"/>
      <c r="S342" s="1187"/>
      <c r="T342" s="1187"/>
      <c r="U342" s="1187"/>
      <c r="V342" s="1187"/>
      <c r="W342" s="1187"/>
      <c r="X342" s="1187"/>
      <c r="Y342" s="1187"/>
      <c r="Z342" s="1187"/>
      <c r="AA342" s="1187"/>
      <c r="AB342" s="1187"/>
      <c r="AC342" s="1187"/>
      <c r="AD342" s="1187"/>
      <c r="AE342" s="1194"/>
      <c r="AF342" s="2536"/>
      <c r="AG342" s="2537"/>
      <c r="AH342" s="2537"/>
      <c r="AI342" s="2916"/>
      <c r="AJ342" s="2537"/>
      <c r="AK342" s="2537"/>
      <c r="AL342" s="1996"/>
      <c r="AM342" s="1833"/>
      <c r="AN342" s="1833"/>
      <c r="AO342" s="1833"/>
      <c r="AP342" s="1833"/>
      <c r="AQ342" s="1833"/>
      <c r="AR342" s="1833"/>
      <c r="AS342" s="1833"/>
      <c r="AT342" s="1833"/>
      <c r="AU342" s="1833"/>
      <c r="AV342" s="1833"/>
      <c r="AW342" s="1833"/>
      <c r="AX342" s="1833"/>
      <c r="AY342" s="1833"/>
      <c r="AZ342" s="1833"/>
      <c r="BA342" s="1833"/>
      <c r="BB342" s="1833"/>
      <c r="BC342" s="1833"/>
      <c r="BD342" s="1833"/>
      <c r="BE342" s="1833"/>
      <c r="BF342" s="1833"/>
      <c r="BG342" s="1646"/>
    </row>
    <row customHeight="1" ht="11.25">
      <c r="A343" s="1177" t="s">
        <v>1088</v>
      </c>
      <c r="B343" s="1177" t="s">
        <v>1155</v>
      </c>
      <c r="C343" s="1177"/>
      <c r="D343" s="1171"/>
      <c r="E343" s="1181"/>
      <c r="F343" s="1839"/>
      <c r="G343" s="694" t="s">
        <v>105</v>
      </c>
      <c r="H343" s="2545" t="s">
        <v>1199</v>
      </c>
      <c r="I343" s="2546" t="s">
        <v>1156</v>
      </c>
      <c r="J343" s="2515" t="s">
        <v>1157</v>
      </c>
      <c r="K343" s="2547" t="s">
        <v>1246</v>
      </c>
      <c r="L343" s="2137" t="s">
        <v>19</v>
      </c>
      <c r="M343" s="2138"/>
      <c r="N343" s="1994"/>
      <c r="O343" s="1188" t="s">
        <v>390</v>
      </c>
      <c r="P343" s="1189"/>
      <c r="Q343" s="1189"/>
      <c r="R343" s="1189"/>
      <c r="S343" s="1189"/>
      <c r="T343" s="1189"/>
      <c r="U343" s="1189"/>
      <c r="V343" s="1189"/>
      <c r="W343" s="1189"/>
      <c r="X343" s="1189"/>
      <c r="Y343" s="1189"/>
      <c r="Z343" s="1189"/>
      <c r="AA343" s="1189"/>
      <c r="AB343" s="1189"/>
      <c r="AC343" s="1189"/>
      <c r="AD343" s="1189"/>
      <c r="AE343" s="1189"/>
      <c r="AF343" s="2536">
        <v>2026</v>
      </c>
      <c r="AG343" s="2537" t="s">
        <v>1122</v>
      </c>
      <c r="AH343" s="2537" t="s">
        <v>1169</v>
      </c>
      <c r="AI343" s="2916"/>
      <c r="AJ343" s="2537" t="s">
        <v>1154</v>
      </c>
      <c r="AK343" s="2537" t="s">
        <v>1154</v>
      </c>
      <c r="AL343" s="1996"/>
      <c r="AM343" s="1833"/>
      <c r="AN343" s="1833"/>
      <c r="AO343" s="1833"/>
      <c r="AP343" s="1833"/>
      <c r="AQ343" s="1833"/>
      <c r="AR343" s="1833"/>
      <c r="AS343" s="1833"/>
      <c r="AT343" s="1833"/>
      <c r="AU343" s="1833"/>
      <c r="AV343" s="1833"/>
      <c r="AW343" s="1833"/>
      <c r="AX343" s="1833"/>
      <c r="AY343" s="1833"/>
      <c r="AZ343" s="1833"/>
      <c r="BA343" s="1833"/>
      <c r="BB343" s="1833"/>
      <c r="BC343" s="1833"/>
      <c r="BD343" s="1833"/>
      <c r="BE343" s="1833"/>
      <c r="BF343" s="1833"/>
      <c r="BG343" s="1646"/>
    </row>
    <row customHeight="1" ht="11.25">
      <c r="A344" s="1177" t="s">
        <v>1088</v>
      </c>
      <c r="B344" s="1177"/>
      <c r="C344" s="1177"/>
      <c r="D344" s="1171"/>
      <c r="E344" s="1181"/>
      <c r="F344" s="1839"/>
      <c r="G344" s="1840"/>
      <c r="H344" s="2545" t="s">
        <v>1197</v>
      </c>
      <c r="I344" s="2546"/>
      <c r="J344" s="2515"/>
      <c r="K344" s="2547"/>
      <c r="L344" s="2137"/>
      <c r="M344" s="2138"/>
      <c r="N344" s="2538"/>
      <c r="O344" s="2539">
        <v>1</v>
      </c>
      <c r="P344" s="2540" t="s">
        <v>19</v>
      </c>
      <c r="Q344" s="2543" t="s">
        <v>22</v>
      </c>
      <c r="R344" s="2543" t="s">
        <v>22</v>
      </c>
      <c r="S344" s="2543" t="s">
        <v>22</v>
      </c>
      <c r="T344" s="2543" t="s">
        <v>22</v>
      </c>
      <c r="U344" s="2543" t="s">
        <v>22</v>
      </c>
      <c r="V344" s="2543" t="s">
        <v>22</v>
      </c>
      <c r="W344" s="2543" t="s">
        <v>22</v>
      </c>
      <c r="X344" s="2543" t="s">
        <v>22</v>
      </c>
      <c r="Y344" s="2543"/>
      <c r="Z344" s="1186"/>
      <c r="AA344" s="1187"/>
      <c r="AB344" s="1187"/>
      <c r="AC344" s="1191"/>
      <c r="AD344" s="1191"/>
      <c r="AE344" s="1192"/>
      <c r="AF344" s="2536"/>
      <c r="AG344" s="2537"/>
      <c r="AH344" s="2537"/>
      <c r="AI344" s="2916"/>
      <c r="AJ344" s="2537"/>
      <c r="AK344" s="2537"/>
      <c r="AL344" s="1996"/>
      <c r="AM344" s="1833"/>
      <c r="AN344" s="1833"/>
      <c r="AO344" s="1833"/>
      <c r="AP344" s="1833"/>
      <c r="AQ344" s="1833"/>
      <c r="AR344" s="1833"/>
      <c r="AS344" s="1833"/>
      <c r="AT344" s="1833"/>
      <c r="AU344" s="1833"/>
      <c r="AV344" s="1833"/>
      <c r="AW344" s="1833"/>
      <c r="AX344" s="1833"/>
      <c r="AY344" s="1833"/>
      <c r="AZ344" s="1833"/>
      <c r="BA344" s="1833"/>
      <c r="BB344" s="1833"/>
      <c r="BC344" s="1833"/>
      <c r="BD344" s="1833"/>
      <c r="BE344" s="1833"/>
      <c r="BF344" s="1833"/>
      <c r="BG344" s="1646"/>
    </row>
    <row customHeight="1" ht="11.25">
      <c r="A345" s="1177" t="s">
        <v>1088</v>
      </c>
      <c r="B345" s="1177"/>
      <c r="C345" s="1177"/>
      <c r="D345" s="1171"/>
      <c r="E345" s="1181"/>
      <c r="F345" s="1839"/>
      <c r="G345" s="1840"/>
      <c r="H345" s="2545" t="s">
        <v>1197</v>
      </c>
      <c r="I345" s="2546"/>
      <c r="J345" s="2515"/>
      <c r="K345" s="2547"/>
      <c r="L345" s="2137"/>
      <c r="M345" s="2138"/>
      <c r="N345" s="2538"/>
      <c r="O345" s="2539"/>
      <c r="P345" s="2541"/>
      <c r="Q345" s="2543"/>
      <c r="R345" s="2543"/>
      <c r="S345" s="2544"/>
      <c r="T345" s="2543"/>
      <c r="U345" s="2543"/>
      <c r="V345" s="2543"/>
      <c r="W345" s="2543"/>
      <c r="X345" s="2543"/>
      <c r="Y345" s="2543"/>
      <c r="Z345" s="1838"/>
      <c r="AA345" s="1804">
        <v>1</v>
      </c>
      <c r="AB345" s="1190" t="s">
        <v>1234</v>
      </c>
      <c r="AC345" s="1180">
        <v>1000</v>
      </c>
      <c r="AD345" s="1190" t="str">
        <f>AB345</f>
        <v>  Прочие</v>
      </c>
      <c r="AE345" s="1180">
        <v>0</v>
      </c>
      <c r="AF345" s="2536"/>
      <c r="AG345" s="2537"/>
      <c r="AH345" s="2537"/>
      <c r="AI345" s="2916"/>
      <c r="AJ345" s="2537"/>
      <c r="AK345" s="2537"/>
      <c r="AL345" s="1996"/>
      <c r="AM345" s="1833"/>
      <c r="AN345" s="1833"/>
      <c r="AO345" s="1833"/>
      <c r="AP345" s="1833"/>
      <c r="AQ345" s="1833"/>
      <c r="AR345" s="1833"/>
      <c r="AS345" s="1833"/>
      <c r="AT345" s="1833"/>
      <c r="AU345" s="1833"/>
      <c r="AV345" s="1833"/>
      <c r="AW345" s="1833"/>
      <c r="AX345" s="1833"/>
      <c r="AY345" s="1833"/>
      <c r="AZ345" s="1833"/>
      <c r="BA345" s="1833"/>
      <c r="BB345" s="1833"/>
      <c r="BC345" s="1833"/>
      <c r="BD345" s="1833"/>
      <c r="BE345" s="1833"/>
      <c r="BF345" s="1833"/>
      <c r="BG345" s="1646"/>
    </row>
    <row customHeight="1" ht="11.25">
      <c r="A346" s="1177" t="s">
        <v>1088</v>
      </c>
      <c r="B346" s="1177"/>
      <c r="C346" s="1177"/>
      <c r="D346" s="1171"/>
      <c r="E346" s="1181"/>
      <c r="F346" s="1839"/>
      <c r="G346" s="1840"/>
      <c r="H346" s="2545" t="s">
        <v>1197</v>
      </c>
      <c r="I346" s="2546"/>
      <c r="J346" s="2515"/>
      <c r="K346" s="2547"/>
      <c r="L346" s="2137"/>
      <c r="M346" s="2138"/>
      <c r="N346" s="2538"/>
      <c r="O346" s="2539"/>
      <c r="P346" s="2542"/>
      <c r="Q346" s="2543"/>
      <c r="R346" s="2543"/>
      <c r="S346" s="2544"/>
      <c r="T346" s="2543"/>
      <c r="U346" s="2543"/>
      <c r="V346" s="2543"/>
      <c r="W346" s="2543"/>
      <c r="X346" s="2543"/>
      <c r="Y346" s="2543"/>
      <c r="Z346" s="1186"/>
      <c r="AA346" s="1187"/>
      <c r="AB346" s="1252" t="s">
        <v>1130</v>
      </c>
      <c r="AC346" s="1191"/>
      <c r="AD346" s="1191"/>
      <c r="AE346" s="1193"/>
      <c r="AF346" s="2536"/>
      <c r="AG346" s="2537"/>
      <c r="AH346" s="2537"/>
      <c r="AI346" s="2916"/>
      <c r="AJ346" s="2537"/>
      <c r="AK346" s="2537"/>
      <c r="AL346" s="1996"/>
      <c r="AM346" s="1833"/>
      <c r="AN346" s="1833"/>
      <c r="AO346" s="1833"/>
      <c r="AP346" s="1833"/>
      <c r="AQ346" s="1833"/>
      <c r="AR346" s="1833"/>
      <c r="AS346" s="1833"/>
      <c r="AT346" s="1833"/>
      <c r="AU346" s="1833"/>
      <c r="AV346" s="1833"/>
      <c r="AW346" s="1833"/>
      <c r="AX346" s="1833"/>
      <c r="AY346" s="1833"/>
      <c r="AZ346" s="1833"/>
      <c r="BA346" s="1833"/>
      <c r="BB346" s="1833"/>
      <c r="BC346" s="1833"/>
      <c r="BD346" s="1833"/>
      <c r="BE346" s="1833"/>
      <c r="BF346" s="1833"/>
      <c r="BG346" s="1646"/>
    </row>
    <row customHeight="1" ht="11.25">
      <c r="A347" s="1177" t="s">
        <v>1088</v>
      </c>
      <c r="B347" s="1177"/>
      <c r="C347" s="1177"/>
      <c r="D347" s="1171"/>
      <c r="E347" s="1181"/>
      <c r="F347" s="1839"/>
      <c r="G347" s="1840"/>
      <c r="H347" s="2545" t="s">
        <v>1197</v>
      </c>
      <c r="I347" s="2546"/>
      <c r="J347" s="2515"/>
      <c r="K347" s="2547"/>
      <c r="L347" s="2137"/>
      <c r="M347" s="2138"/>
      <c r="N347" s="1186"/>
      <c r="O347" s="1187"/>
      <c r="P347" s="1179" t="s">
        <v>1131</v>
      </c>
      <c r="Q347" s="1187"/>
      <c r="R347" s="1187"/>
      <c r="S347" s="1187"/>
      <c r="T347" s="1187"/>
      <c r="U347" s="1187"/>
      <c r="V347" s="1187"/>
      <c r="W347" s="1187"/>
      <c r="X347" s="1187"/>
      <c r="Y347" s="1187"/>
      <c r="Z347" s="1187"/>
      <c r="AA347" s="1187"/>
      <c r="AB347" s="1187"/>
      <c r="AC347" s="1187"/>
      <c r="AD347" s="1187"/>
      <c r="AE347" s="1194"/>
      <c r="AF347" s="2536"/>
      <c r="AG347" s="2537"/>
      <c r="AH347" s="2537"/>
      <c r="AI347" s="2916"/>
      <c r="AJ347" s="2537"/>
      <c r="AK347" s="2537"/>
      <c r="AL347" s="1996"/>
      <c r="AM347" s="1833"/>
      <c r="AN347" s="1833"/>
      <c r="AO347" s="1833"/>
      <c r="AP347" s="1833"/>
      <c r="AQ347" s="1833"/>
      <c r="AR347" s="1833"/>
      <c r="AS347" s="1833"/>
      <c r="AT347" s="1833"/>
      <c r="AU347" s="1833"/>
      <c r="AV347" s="1833"/>
      <c r="AW347" s="1833"/>
      <c r="AX347" s="1833"/>
      <c r="AY347" s="1833"/>
      <c r="AZ347" s="1833"/>
      <c r="BA347" s="1833"/>
      <c r="BB347" s="1833"/>
      <c r="BC347" s="1833"/>
      <c r="BD347" s="1833"/>
      <c r="BE347" s="1833"/>
      <c r="BF347" s="1833"/>
      <c r="BG347" s="1646"/>
    </row>
    <row customHeight="1" ht="11.25">
      <c r="A348" s="1177" t="s">
        <v>1088</v>
      </c>
      <c r="B348" s="1177" t="s">
        <v>1155</v>
      </c>
      <c r="C348" s="1177"/>
      <c r="D348" s="1171"/>
      <c r="E348" s="1181"/>
      <c r="F348" s="1839"/>
      <c r="G348" s="694" t="s">
        <v>105</v>
      </c>
      <c r="H348" s="2545" t="s">
        <v>1201</v>
      </c>
      <c r="I348" s="2546" t="s">
        <v>1156</v>
      </c>
      <c r="J348" s="2515" t="s">
        <v>1157</v>
      </c>
      <c r="K348" s="2547" t="s">
        <v>1180</v>
      </c>
      <c r="L348" s="2137" t="s">
        <v>19</v>
      </c>
      <c r="M348" s="2138"/>
      <c r="N348" s="1994"/>
      <c r="O348" s="1188" t="s">
        <v>390</v>
      </c>
      <c r="P348" s="1189"/>
      <c r="Q348" s="1189"/>
      <c r="R348" s="1189"/>
      <c r="S348" s="1189"/>
      <c r="T348" s="1189"/>
      <c r="U348" s="1189"/>
      <c r="V348" s="1189"/>
      <c r="W348" s="1189"/>
      <c r="X348" s="1189"/>
      <c r="Y348" s="1189"/>
      <c r="Z348" s="1189"/>
      <c r="AA348" s="1189"/>
      <c r="AB348" s="1189"/>
      <c r="AC348" s="1189"/>
      <c r="AD348" s="1189"/>
      <c r="AE348" s="1189"/>
      <c r="AF348" s="2536">
        <v>2026</v>
      </c>
      <c r="AG348" s="2537" t="s">
        <v>1122</v>
      </c>
      <c r="AH348" s="2537" t="s">
        <v>1169</v>
      </c>
      <c r="AI348" s="2916"/>
      <c r="AJ348" s="2537" t="s">
        <v>1154</v>
      </c>
      <c r="AK348" s="2537" t="s">
        <v>1154</v>
      </c>
      <c r="AL348" s="1996"/>
      <c r="AM348" s="1833"/>
      <c r="AN348" s="1833"/>
      <c r="AO348" s="1833"/>
      <c r="AP348" s="1833"/>
      <c r="AQ348" s="1833"/>
      <c r="AR348" s="1833"/>
      <c r="AS348" s="1833"/>
      <c r="AT348" s="1833"/>
      <c r="AU348" s="1833"/>
      <c r="AV348" s="1833"/>
      <c r="AW348" s="1833"/>
      <c r="AX348" s="1833"/>
      <c r="AY348" s="1833"/>
      <c r="AZ348" s="1833"/>
      <c r="BA348" s="1833"/>
      <c r="BB348" s="1833"/>
      <c r="BC348" s="1833"/>
      <c r="BD348" s="1833"/>
      <c r="BE348" s="1833"/>
      <c r="BF348" s="1833"/>
      <c r="BG348" s="1646"/>
    </row>
    <row customHeight="1" ht="11.25">
      <c r="A349" s="1177" t="s">
        <v>1088</v>
      </c>
      <c r="B349" s="1177"/>
      <c r="C349" s="1177"/>
      <c r="D349" s="1171"/>
      <c r="E349" s="1181"/>
      <c r="F349" s="1839"/>
      <c r="G349" s="1840"/>
      <c r="H349" s="2545" t="s">
        <v>1199</v>
      </c>
      <c r="I349" s="2546"/>
      <c r="J349" s="2515"/>
      <c r="K349" s="2547"/>
      <c r="L349" s="2137"/>
      <c r="M349" s="2138"/>
      <c r="N349" s="2538"/>
      <c r="O349" s="2539">
        <v>1</v>
      </c>
      <c r="P349" s="2540" t="s">
        <v>63</v>
      </c>
      <c r="Q349" s="2913" t="s">
        <v>1181</v>
      </c>
      <c r="R349" s="2914" t="s">
        <v>1124</v>
      </c>
      <c r="S349" s="2914" t="s">
        <v>112</v>
      </c>
      <c r="T349" s="2914" t="s">
        <v>112</v>
      </c>
      <c r="U349" s="2914" t="s">
        <v>113</v>
      </c>
      <c r="V349" s="2914" t="s">
        <v>1182</v>
      </c>
      <c r="W349" s="2914" t="s">
        <v>1183</v>
      </c>
      <c r="X349" s="2914" t="s">
        <v>1184</v>
      </c>
      <c r="Y349" s="2914" t="s">
        <v>1185</v>
      </c>
      <c r="Z349" s="1186"/>
      <c r="AA349" s="1187"/>
      <c r="AB349" s="1187"/>
      <c r="AC349" s="1191"/>
      <c r="AD349" s="1191"/>
      <c r="AE349" s="1192"/>
      <c r="AF349" s="2536"/>
      <c r="AG349" s="2537"/>
      <c r="AH349" s="2537"/>
      <c r="AI349" s="2916"/>
      <c r="AJ349" s="2537"/>
      <c r="AK349" s="2537"/>
      <c r="AL349" s="1996"/>
      <c r="AM349" s="1833"/>
      <c r="AN349" s="1833"/>
      <c r="AO349" s="1833"/>
      <c r="AP349" s="1833"/>
      <c r="AQ349" s="1833"/>
      <c r="AR349" s="1833"/>
      <c r="AS349" s="1833"/>
      <c r="AT349" s="1833"/>
      <c r="AU349" s="1833"/>
      <c r="AV349" s="1833"/>
      <c r="AW349" s="1833"/>
      <c r="AX349" s="1833"/>
      <c r="AY349" s="1833"/>
      <c r="AZ349" s="1833"/>
      <c r="BA349" s="1833"/>
      <c r="BB349" s="1833"/>
      <c r="BC349" s="1833"/>
      <c r="BD349" s="1833"/>
      <c r="BE349" s="1833"/>
      <c r="BF349" s="1833"/>
      <c r="BG349" s="1646"/>
    </row>
    <row customHeight="1" ht="11.25">
      <c r="A350" s="1177" t="s">
        <v>1088</v>
      </c>
      <c r="B350" s="1177"/>
      <c r="C350" s="1177"/>
      <c r="D350" s="1171"/>
      <c r="E350" s="1181"/>
      <c r="F350" s="1839"/>
      <c r="G350" s="1840"/>
      <c r="H350" s="2545" t="s">
        <v>1199</v>
      </c>
      <c r="I350" s="2546"/>
      <c r="J350" s="2515"/>
      <c r="K350" s="2547"/>
      <c r="L350" s="2137"/>
      <c r="M350" s="2138"/>
      <c r="N350" s="2538"/>
      <c r="O350" s="2539"/>
      <c r="P350" s="2541"/>
      <c r="Q350" s="2913"/>
      <c r="R350" s="2543"/>
      <c r="S350" s="2544"/>
      <c r="T350" s="2543"/>
      <c r="U350" s="2543"/>
      <c r="V350" s="2543"/>
      <c r="W350" s="2543"/>
      <c r="X350" s="2543"/>
      <c r="Y350" s="2543"/>
      <c r="Z350" s="1838"/>
      <c r="AA350" s="1804">
        <v>1</v>
      </c>
      <c r="AB350" s="1190" t="s">
        <v>1159</v>
      </c>
      <c r="AC350" s="1180">
        <v>11113.89</v>
      </c>
      <c r="AD350" s="1190" t="str">
        <f>AB350</f>
        <v>      Прочие амортизационные отчисления</v>
      </c>
      <c r="AE350" s="1180">
        <v>0</v>
      </c>
      <c r="AF350" s="2536"/>
      <c r="AG350" s="2537"/>
      <c r="AH350" s="2537"/>
      <c r="AI350" s="2916"/>
      <c r="AJ350" s="2537"/>
      <c r="AK350" s="2537"/>
      <c r="AL350" s="1996"/>
      <c r="AM350" s="1833"/>
      <c r="AN350" s="1833"/>
      <c r="AO350" s="1833"/>
      <c r="AP350" s="1833"/>
      <c r="AQ350" s="1833"/>
      <c r="AR350" s="1833"/>
      <c r="AS350" s="1833"/>
      <c r="AT350" s="1833"/>
      <c r="AU350" s="1833"/>
      <c r="AV350" s="1833"/>
      <c r="AW350" s="1833"/>
      <c r="AX350" s="1833"/>
      <c r="AY350" s="1833"/>
      <c r="AZ350" s="1833"/>
      <c r="BA350" s="1833"/>
      <c r="BB350" s="1833"/>
      <c r="BC350" s="1833"/>
      <c r="BD350" s="1833"/>
      <c r="BE350" s="1833"/>
      <c r="BF350" s="1833"/>
      <c r="BG350" s="1646"/>
    </row>
    <row customHeight="1" ht="11.25">
      <c r="A351" s="1177" t="s">
        <v>1088</v>
      </c>
      <c r="B351" s="1177"/>
      <c r="C351" s="1177"/>
      <c r="D351" s="1171"/>
      <c r="E351" s="1181"/>
      <c r="F351" s="1839"/>
      <c r="G351" s="1840"/>
      <c r="H351" s="2545" t="s">
        <v>1199</v>
      </c>
      <c r="I351" s="2546"/>
      <c r="J351" s="2515"/>
      <c r="K351" s="2547"/>
      <c r="L351" s="2137"/>
      <c r="M351" s="2138"/>
      <c r="N351" s="2538"/>
      <c r="O351" s="2539"/>
      <c r="P351" s="2542"/>
      <c r="Q351" s="2913"/>
      <c r="R351" s="2543"/>
      <c r="S351" s="2544"/>
      <c r="T351" s="2543"/>
      <c r="U351" s="2543"/>
      <c r="V351" s="2543"/>
      <c r="W351" s="2543"/>
      <c r="X351" s="2543"/>
      <c r="Y351" s="2543"/>
      <c r="Z351" s="1186"/>
      <c r="AA351" s="1187"/>
      <c r="AB351" s="1252" t="s">
        <v>1130</v>
      </c>
      <c r="AC351" s="1191"/>
      <c r="AD351" s="1191"/>
      <c r="AE351" s="1193"/>
      <c r="AF351" s="2536"/>
      <c r="AG351" s="2537"/>
      <c r="AH351" s="2537"/>
      <c r="AI351" s="2916"/>
      <c r="AJ351" s="2537"/>
      <c r="AK351" s="2537"/>
      <c r="AL351" s="1996"/>
      <c r="AM351" s="1833"/>
      <c r="AN351" s="1833"/>
      <c r="AO351" s="1833"/>
      <c r="AP351" s="1833"/>
      <c r="AQ351" s="1833"/>
      <c r="AR351" s="1833"/>
      <c r="AS351" s="1833"/>
      <c r="AT351" s="1833"/>
      <c r="AU351" s="1833"/>
      <c r="AV351" s="1833"/>
      <c r="AW351" s="1833"/>
      <c r="AX351" s="1833"/>
      <c r="AY351" s="1833"/>
      <c r="AZ351" s="1833"/>
      <c r="BA351" s="1833"/>
      <c r="BB351" s="1833"/>
      <c r="BC351" s="1833"/>
      <c r="BD351" s="1833"/>
      <c r="BE351" s="1833"/>
      <c r="BF351" s="1833"/>
      <c r="BG351" s="1646"/>
    </row>
    <row customHeight="1" ht="11.25">
      <c r="A352" s="1177" t="s">
        <v>1088</v>
      </c>
      <c r="B352" s="1177"/>
      <c r="C352" s="1177"/>
      <c r="D352" s="1171"/>
      <c r="E352" s="1181"/>
      <c r="F352" s="1839"/>
      <c r="G352" s="1840"/>
      <c r="H352" s="2545" t="s">
        <v>1199</v>
      </c>
      <c r="I352" s="2546"/>
      <c r="J352" s="2515"/>
      <c r="K352" s="2547"/>
      <c r="L352" s="2137"/>
      <c r="M352" s="2138"/>
      <c r="N352" s="1186"/>
      <c r="O352" s="1187"/>
      <c r="P352" s="1179" t="s">
        <v>1131</v>
      </c>
      <c r="Q352" s="1187"/>
      <c r="R352" s="1187"/>
      <c r="S352" s="1187"/>
      <c r="T352" s="1187"/>
      <c r="U352" s="1187"/>
      <c r="V352" s="1187"/>
      <c r="W352" s="1187"/>
      <c r="X352" s="1187"/>
      <c r="Y352" s="1187"/>
      <c r="Z352" s="1187"/>
      <c r="AA352" s="1187"/>
      <c r="AB352" s="1187"/>
      <c r="AC352" s="1187"/>
      <c r="AD352" s="1187"/>
      <c r="AE352" s="1194"/>
      <c r="AF352" s="2536"/>
      <c r="AG352" s="2537"/>
      <c r="AH352" s="2537"/>
      <c r="AI352" s="2916"/>
      <c r="AJ352" s="2537"/>
      <c r="AK352" s="2537"/>
      <c r="AL352" s="1996"/>
      <c r="AM352" s="1833"/>
      <c r="AN352" s="1833"/>
      <c r="AO352" s="1833"/>
      <c r="AP352" s="1833"/>
      <c r="AQ352" s="1833"/>
      <c r="AR352" s="1833"/>
      <c r="AS352" s="1833"/>
      <c r="AT352" s="1833"/>
      <c r="AU352" s="1833"/>
      <c r="AV352" s="1833"/>
      <c r="AW352" s="1833"/>
      <c r="AX352" s="1833"/>
      <c r="AY352" s="1833"/>
      <c r="AZ352" s="1833"/>
      <c r="BA352" s="1833"/>
      <c r="BB352" s="1833"/>
      <c r="BC352" s="1833"/>
      <c r="BD352" s="1833"/>
      <c r="BE352" s="1833"/>
      <c r="BF352" s="1833"/>
      <c r="BG352" s="1646"/>
    </row>
    <row customHeight="1" ht="11.25">
      <c r="A353" s="1177" t="s">
        <v>1088</v>
      </c>
      <c r="B353" s="1177" t="s">
        <v>1155</v>
      </c>
      <c r="C353" s="1177"/>
      <c r="D353" s="1171"/>
      <c r="E353" s="1181"/>
      <c r="F353" s="1839"/>
      <c r="G353" s="694" t="s">
        <v>105</v>
      </c>
      <c r="H353" s="2545" t="s">
        <v>1204</v>
      </c>
      <c r="I353" s="2546" t="s">
        <v>1156</v>
      </c>
      <c r="J353" s="2515" t="s">
        <v>1157</v>
      </c>
      <c r="K353" s="2547" t="s">
        <v>1187</v>
      </c>
      <c r="L353" s="2137" t="s">
        <v>19</v>
      </c>
      <c r="M353" s="2138"/>
      <c r="N353" s="1994"/>
      <c r="O353" s="1188" t="s">
        <v>390</v>
      </c>
      <c r="P353" s="1189"/>
      <c r="Q353" s="1189"/>
      <c r="R353" s="1189"/>
      <c r="S353" s="1189"/>
      <c r="T353" s="1189"/>
      <c r="U353" s="1189"/>
      <c r="V353" s="1189"/>
      <c r="W353" s="1189"/>
      <c r="X353" s="1189"/>
      <c r="Y353" s="1189"/>
      <c r="Z353" s="1189"/>
      <c r="AA353" s="1189"/>
      <c r="AB353" s="1189"/>
      <c r="AC353" s="1189"/>
      <c r="AD353" s="1189"/>
      <c r="AE353" s="1189"/>
      <c r="AF353" s="2536">
        <v>2026</v>
      </c>
      <c r="AG353" s="2537" t="s">
        <v>1122</v>
      </c>
      <c r="AH353" s="2537" t="s">
        <v>1169</v>
      </c>
      <c r="AI353" s="2916"/>
      <c r="AJ353" s="2537" t="s">
        <v>1154</v>
      </c>
      <c r="AK353" s="2537" t="s">
        <v>1154</v>
      </c>
      <c r="AL353" s="1996"/>
      <c r="AM353" s="1833"/>
      <c r="AN353" s="1833"/>
      <c r="AO353" s="1833"/>
      <c r="AP353" s="1833"/>
      <c r="AQ353" s="1833"/>
      <c r="AR353" s="1833"/>
      <c r="AS353" s="1833"/>
      <c r="AT353" s="1833"/>
      <c r="AU353" s="1833"/>
      <c r="AV353" s="1833"/>
      <c r="AW353" s="1833"/>
      <c r="AX353" s="1833"/>
      <c r="AY353" s="1833"/>
      <c r="AZ353" s="1833"/>
      <c r="BA353" s="1833"/>
      <c r="BB353" s="1833"/>
      <c r="BC353" s="1833"/>
      <c r="BD353" s="1833"/>
      <c r="BE353" s="1833"/>
      <c r="BF353" s="1833"/>
      <c r="BG353" s="1646"/>
    </row>
    <row customHeight="1" ht="11.25">
      <c r="A354" s="1177" t="s">
        <v>1088</v>
      </c>
      <c r="B354" s="1177"/>
      <c r="C354" s="1177"/>
      <c r="D354" s="1171"/>
      <c r="E354" s="1181"/>
      <c r="F354" s="1839"/>
      <c r="G354" s="1840"/>
      <c r="H354" s="2545" t="s">
        <v>1201</v>
      </c>
      <c r="I354" s="2546"/>
      <c r="J354" s="2515"/>
      <c r="K354" s="2547"/>
      <c r="L354" s="2137"/>
      <c r="M354" s="2138"/>
      <c r="N354" s="2538"/>
      <c r="O354" s="2539">
        <v>1</v>
      </c>
      <c r="P354" s="2540" t="s">
        <v>63</v>
      </c>
      <c r="Q354" s="2913" t="s">
        <v>1188</v>
      </c>
      <c r="R354" s="2914" t="s">
        <v>1124</v>
      </c>
      <c r="S354" s="2914" t="s">
        <v>112</v>
      </c>
      <c r="T354" s="2914" t="s">
        <v>112</v>
      </c>
      <c r="U354" s="2914" t="s">
        <v>113</v>
      </c>
      <c r="V354" s="2914" t="s">
        <v>1189</v>
      </c>
      <c r="W354" s="2914" t="s">
        <v>1190</v>
      </c>
      <c r="X354" s="2914" t="s">
        <v>1191</v>
      </c>
      <c r="Y354" s="2914" t="s">
        <v>167</v>
      </c>
      <c r="Z354" s="1186"/>
      <c r="AA354" s="1187"/>
      <c r="AB354" s="1187"/>
      <c r="AC354" s="1191"/>
      <c r="AD354" s="1191"/>
      <c r="AE354" s="1192"/>
      <c r="AF354" s="2536"/>
      <c r="AG354" s="2537"/>
      <c r="AH354" s="2537"/>
      <c r="AI354" s="2916"/>
      <c r="AJ354" s="2537"/>
      <c r="AK354" s="2537"/>
      <c r="AL354" s="1996"/>
      <c r="AM354" s="1833"/>
      <c r="AN354" s="1833"/>
      <c r="AO354" s="1833"/>
      <c r="AP354" s="1833"/>
      <c r="AQ354" s="1833"/>
      <c r="AR354" s="1833"/>
      <c r="AS354" s="1833"/>
      <c r="AT354" s="1833"/>
      <c r="AU354" s="1833"/>
      <c r="AV354" s="1833"/>
      <c r="AW354" s="1833"/>
      <c r="AX354" s="1833"/>
      <c r="AY354" s="1833"/>
      <c r="AZ354" s="1833"/>
      <c r="BA354" s="1833"/>
      <c r="BB354" s="1833"/>
      <c r="BC354" s="1833"/>
      <c r="BD354" s="1833"/>
      <c r="BE354" s="1833"/>
      <c r="BF354" s="1833"/>
      <c r="BG354" s="1646"/>
    </row>
    <row customHeight="1" ht="11.25">
      <c r="A355" s="1177" t="s">
        <v>1088</v>
      </c>
      <c r="B355" s="1177"/>
      <c r="C355" s="1177"/>
      <c r="D355" s="1171"/>
      <c r="E355" s="1181"/>
      <c r="F355" s="1839"/>
      <c r="G355" s="1840"/>
      <c r="H355" s="2545" t="s">
        <v>1201</v>
      </c>
      <c r="I355" s="2546"/>
      <c r="J355" s="2515"/>
      <c r="K355" s="2547"/>
      <c r="L355" s="2137"/>
      <c r="M355" s="2138"/>
      <c r="N355" s="2538"/>
      <c r="O355" s="2539"/>
      <c r="P355" s="2541"/>
      <c r="Q355" s="2913"/>
      <c r="R355" s="2543"/>
      <c r="S355" s="2544"/>
      <c r="T355" s="2543"/>
      <c r="U355" s="2543"/>
      <c r="V355" s="2543"/>
      <c r="W355" s="2543"/>
      <c r="X355" s="2543"/>
      <c r="Y355" s="2543"/>
      <c r="Z355" s="1838"/>
      <c r="AA355" s="1804">
        <v>1</v>
      </c>
      <c r="AB355" s="1190" t="s">
        <v>1159</v>
      </c>
      <c r="AC355" s="1180">
        <v>7781.86664</v>
      </c>
      <c r="AD355" s="1190" t="str">
        <f>AB355</f>
        <v>      Прочие амортизационные отчисления</v>
      </c>
      <c r="AE355" s="1180">
        <v>0</v>
      </c>
      <c r="AF355" s="2536"/>
      <c r="AG355" s="2537"/>
      <c r="AH355" s="2537"/>
      <c r="AI355" s="2916"/>
      <c r="AJ355" s="2537"/>
      <c r="AK355" s="2537"/>
      <c r="AL355" s="1996"/>
      <c r="AM355" s="1833"/>
      <c r="AN355" s="1833"/>
      <c r="AO355" s="1833"/>
      <c r="AP355" s="1833"/>
      <c r="AQ355" s="1833"/>
      <c r="AR355" s="1833"/>
      <c r="AS355" s="1833"/>
      <c r="AT355" s="1833"/>
      <c r="AU355" s="1833"/>
      <c r="AV355" s="1833"/>
      <c r="AW355" s="1833"/>
      <c r="AX355" s="1833"/>
      <c r="AY355" s="1833"/>
      <c r="AZ355" s="1833"/>
      <c r="BA355" s="1833"/>
      <c r="BB355" s="1833"/>
      <c r="BC355" s="1833"/>
      <c r="BD355" s="1833"/>
      <c r="BE355" s="1833"/>
      <c r="BF355" s="1833"/>
      <c r="BG355" s="1646"/>
    </row>
    <row customHeight="1" ht="11.25">
      <c r="A356" s="1177" t="s">
        <v>1088</v>
      </c>
      <c r="B356" s="1177"/>
      <c r="C356" s="1177"/>
      <c r="D356" s="1171"/>
      <c r="E356" s="1181"/>
      <c r="F356" s="1839"/>
      <c r="G356" s="1840"/>
      <c r="H356" s="2545" t="s">
        <v>1201</v>
      </c>
      <c r="I356" s="2546"/>
      <c r="J356" s="2515"/>
      <c r="K356" s="2547"/>
      <c r="L356" s="2137"/>
      <c r="M356" s="2138"/>
      <c r="N356" s="2538"/>
      <c r="O356" s="2539"/>
      <c r="P356" s="2542"/>
      <c r="Q356" s="2913"/>
      <c r="R356" s="2543"/>
      <c r="S356" s="2544"/>
      <c r="T356" s="2543"/>
      <c r="U356" s="2543"/>
      <c r="V356" s="2543"/>
      <c r="W356" s="2543"/>
      <c r="X356" s="2543"/>
      <c r="Y356" s="2543"/>
      <c r="Z356" s="1186"/>
      <c r="AA356" s="1187"/>
      <c r="AB356" s="1252" t="s">
        <v>1130</v>
      </c>
      <c r="AC356" s="1191"/>
      <c r="AD356" s="1191"/>
      <c r="AE356" s="1193"/>
      <c r="AF356" s="2536"/>
      <c r="AG356" s="2537"/>
      <c r="AH356" s="2537"/>
      <c r="AI356" s="2916"/>
      <c r="AJ356" s="2537"/>
      <c r="AK356" s="2537"/>
      <c r="AL356" s="1996"/>
      <c r="AM356" s="1833"/>
      <c r="AN356" s="1833"/>
      <c r="AO356" s="1833"/>
      <c r="AP356" s="1833"/>
      <c r="AQ356" s="1833"/>
      <c r="AR356" s="1833"/>
      <c r="AS356" s="1833"/>
      <c r="AT356" s="1833"/>
      <c r="AU356" s="1833"/>
      <c r="AV356" s="1833"/>
      <c r="AW356" s="1833"/>
      <c r="AX356" s="1833"/>
      <c r="AY356" s="1833"/>
      <c r="AZ356" s="1833"/>
      <c r="BA356" s="1833"/>
      <c r="BB356" s="1833"/>
      <c r="BC356" s="1833"/>
      <c r="BD356" s="1833"/>
      <c r="BE356" s="1833"/>
      <c r="BF356" s="1833"/>
      <c r="BG356" s="1646"/>
    </row>
    <row customHeight="1" ht="11.25">
      <c r="A357" s="1177" t="s">
        <v>1088</v>
      </c>
      <c r="B357" s="1177"/>
      <c r="C357" s="1177"/>
      <c r="D357" s="1171"/>
      <c r="E357" s="1181"/>
      <c r="F357" s="1839"/>
      <c r="G357" s="1840"/>
      <c r="H357" s="2545" t="s">
        <v>1201</v>
      </c>
      <c r="I357" s="2546"/>
      <c r="J357" s="2515"/>
      <c r="K357" s="2547"/>
      <c r="L357" s="2137"/>
      <c r="M357" s="2138"/>
      <c r="N357" s="1186"/>
      <c r="O357" s="1187"/>
      <c r="P357" s="1179" t="s">
        <v>1131</v>
      </c>
      <c r="Q357" s="1187"/>
      <c r="R357" s="1187"/>
      <c r="S357" s="1187"/>
      <c r="T357" s="1187"/>
      <c r="U357" s="1187"/>
      <c r="V357" s="1187"/>
      <c r="W357" s="1187"/>
      <c r="X357" s="1187"/>
      <c r="Y357" s="1187"/>
      <c r="Z357" s="1187"/>
      <c r="AA357" s="1187"/>
      <c r="AB357" s="1187"/>
      <c r="AC357" s="1187"/>
      <c r="AD357" s="1187"/>
      <c r="AE357" s="1194"/>
      <c r="AF357" s="2536"/>
      <c r="AG357" s="2537"/>
      <c r="AH357" s="2537"/>
      <c r="AI357" s="2916"/>
      <c r="AJ357" s="2537"/>
      <c r="AK357" s="2537"/>
      <c r="AL357" s="1996"/>
      <c r="AM357" s="1833"/>
      <c r="AN357" s="1833"/>
      <c r="AO357" s="1833"/>
      <c r="AP357" s="1833"/>
      <c r="AQ357" s="1833"/>
      <c r="AR357" s="1833"/>
      <c r="AS357" s="1833"/>
      <c r="AT357" s="1833"/>
      <c r="AU357" s="1833"/>
      <c r="AV357" s="1833"/>
      <c r="AW357" s="1833"/>
      <c r="AX357" s="1833"/>
      <c r="AY357" s="1833"/>
      <c r="AZ357" s="1833"/>
      <c r="BA357" s="1833"/>
      <c r="BB357" s="1833"/>
      <c r="BC357" s="1833"/>
      <c r="BD357" s="1833"/>
      <c r="BE357" s="1833"/>
      <c r="BF357" s="1833"/>
      <c r="BG357" s="1646"/>
    </row>
    <row customHeight="1" ht="11.25">
      <c r="A358" s="1177" t="s">
        <v>1088</v>
      </c>
      <c r="B358" s="1177" t="s">
        <v>22</v>
      </c>
      <c r="C358" s="1177"/>
      <c r="D358" s="1171"/>
      <c r="E358" s="1181"/>
      <c r="F358" s="1839"/>
      <c r="G358" s="694" t="s">
        <v>105</v>
      </c>
      <c r="H358" s="2545" t="s">
        <v>1206</v>
      </c>
      <c r="I358" s="2546" t="s">
        <v>1120</v>
      </c>
      <c r="J358" s="2911" t="s">
        <v>22</v>
      </c>
      <c r="K358" s="2547" t="s">
        <v>1193</v>
      </c>
      <c r="L358" s="2137" t="s">
        <v>19</v>
      </c>
      <c r="M358" s="2138"/>
      <c r="N358" s="1994"/>
      <c r="O358" s="1188" t="s">
        <v>390</v>
      </c>
      <c r="P358" s="1189"/>
      <c r="Q358" s="1189"/>
      <c r="R358" s="1189"/>
      <c r="S358" s="1189"/>
      <c r="T358" s="1189"/>
      <c r="U358" s="1189"/>
      <c r="V358" s="1189"/>
      <c r="W358" s="1189"/>
      <c r="X358" s="1189"/>
      <c r="Y358" s="1189"/>
      <c r="Z358" s="1189"/>
      <c r="AA358" s="1189"/>
      <c r="AB358" s="1189"/>
      <c r="AC358" s="1189"/>
      <c r="AD358" s="1189"/>
      <c r="AE358" s="1189"/>
      <c r="AF358" s="2536">
        <v>2028</v>
      </c>
      <c r="AG358" s="2537" t="s">
        <v>1122</v>
      </c>
      <c r="AH358" s="2537" t="s">
        <v>1153</v>
      </c>
      <c r="AI358" s="2916"/>
      <c r="AJ358" s="2537" t="s">
        <v>1154</v>
      </c>
      <c r="AK358" s="2537" t="s">
        <v>1154</v>
      </c>
      <c r="AL358" s="1996"/>
      <c r="AM358" s="1833"/>
      <c r="AN358" s="1833"/>
      <c r="AO358" s="1833"/>
      <c r="AP358" s="1833"/>
      <c r="AQ358" s="1833"/>
      <c r="AR358" s="1833"/>
      <c r="AS358" s="1833"/>
      <c r="AT358" s="1833"/>
      <c r="AU358" s="1833"/>
      <c r="AV358" s="1833"/>
      <c r="AW358" s="1833"/>
      <c r="AX358" s="1833"/>
      <c r="AY358" s="1833"/>
      <c r="AZ358" s="1833"/>
      <c r="BA358" s="1833"/>
      <c r="BB358" s="1833"/>
      <c r="BC358" s="1833"/>
      <c r="BD358" s="1833"/>
      <c r="BE358" s="1833"/>
      <c r="BF358" s="1833"/>
      <c r="BG358" s="1646"/>
    </row>
    <row customHeight="1" ht="11.25">
      <c r="A359" s="1177" t="s">
        <v>1088</v>
      </c>
      <c r="B359" s="1177"/>
      <c r="C359" s="1177"/>
      <c r="D359" s="1171"/>
      <c r="E359" s="1181"/>
      <c r="F359" s="1839"/>
      <c r="G359" s="1840"/>
      <c r="H359" s="2545" t="s">
        <v>1204</v>
      </c>
      <c r="I359" s="2546"/>
      <c r="J359" s="2911"/>
      <c r="K359" s="2547"/>
      <c r="L359" s="2137"/>
      <c r="M359" s="2138"/>
      <c r="N359" s="2538"/>
      <c r="O359" s="2539">
        <v>1</v>
      </c>
      <c r="P359" s="2540" t="s">
        <v>63</v>
      </c>
      <c r="Q359" s="2913" t="s">
        <v>616</v>
      </c>
      <c r="R359" s="2914" t="s">
        <v>1124</v>
      </c>
      <c r="S359" s="2914" t="s">
        <v>101</v>
      </c>
      <c r="T359" s="2914" t="s">
        <v>101</v>
      </c>
      <c r="U359" s="2914" t="s">
        <v>102</v>
      </c>
      <c r="V359" s="2914" t="s">
        <v>1125</v>
      </c>
      <c r="W359" s="2914" t="s">
        <v>1126</v>
      </c>
      <c r="X359" s="2914" t="s">
        <v>1194</v>
      </c>
      <c r="Y359" s="2914" t="s">
        <v>1195</v>
      </c>
      <c r="Z359" s="1186"/>
      <c r="AA359" s="1187"/>
      <c r="AB359" s="1187"/>
      <c r="AC359" s="1191"/>
      <c r="AD359" s="1191"/>
      <c r="AE359" s="1192"/>
      <c r="AF359" s="2536"/>
      <c r="AG359" s="2537"/>
      <c r="AH359" s="2537"/>
      <c r="AI359" s="2916"/>
      <c r="AJ359" s="2537"/>
      <c r="AK359" s="2537"/>
      <c r="AL359" s="1996"/>
      <c r="AM359" s="1833"/>
      <c r="AN359" s="1833"/>
      <c r="AO359" s="1833"/>
      <c r="AP359" s="1833"/>
      <c r="AQ359" s="1833"/>
      <c r="AR359" s="1833"/>
      <c r="AS359" s="1833"/>
      <c r="AT359" s="1833"/>
      <c r="AU359" s="1833"/>
      <c r="AV359" s="1833"/>
      <c r="AW359" s="1833"/>
      <c r="AX359" s="1833"/>
      <c r="AY359" s="1833"/>
      <c r="AZ359" s="1833"/>
      <c r="BA359" s="1833"/>
      <c r="BB359" s="1833"/>
      <c r="BC359" s="1833"/>
      <c r="BD359" s="1833"/>
      <c r="BE359" s="1833"/>
      <c r="BF359" s="1833"/>
      <c r="BG359" s="1646"/>
    </row>
    <row customHeight="1" ht="11.25">
      <c r="A360" s="1177" t="s">
        <v>1088</v>
      </c>
      <c r="B360" s="1177"/>
      <c r="C360" s="1177"/>
      <c r="D360" s="1171"/>
      <c r="E360" s="1181"/>
      <c r="F360" s="1839"/>
      <c r="G360" s="1840"/>
      <c r="H360" s="2545" t="s">
        <v>1204</v>
      </c>
      <c r="I360" s="2546"/>
      <c r="J360" s="2911"/>
      <c r="K360" s="2547"/>
      <c r="L360" s="2137"/>
      <c r="M360" s="2138"/>
      <c r="N360" s="2538"/>
      <c r="O360" s="2539"/>
      <c r="P360" s="2541"/>
      <c r="Q360" s="2913"/>
      <c r="R360" s="2543"/>
      <c r="S360" s="2544"/>
      <c r="T360" s="2543"/>
      <c r="U360" s="2543"/>
      <c r="V360" s="2543"/>
      <c r="W360" s="2543"/>
      <c r="X360" s="2543"/>
      <c r="Y360" s="2543"/>
      <c r="Z360" s="1838"/>
      <c r="AA360" s="1804">
        <v>1</v>
      </c>
      <c r="AB360" s="1190" t="s">
        <v>1234</v>
      </c>
      <c r="AC360" s="1180">
        <v>3000</v>
      </c>
      <c r="AD360" s="1190" t="str">
        <f>AB360</f>
        <v>  Прочие</v>
      </c>
      <c r="AE360" s="1180">
        <v>0</v>
      </c>
      <c r="AF360" s="2536"/>
      <c r="AG360" s="2537"/>
      <c r="AH360" s="2537"/>
      <c r="AI360" s="2916"/>
      <c r="AJ360" s="2537"/>
      <c r="AK360" s="2537"/>
      <c r="AL360" s="1996"/>
      <c r="AM360" s="1833"/>
      <c r="AN360" s="1833"/>
      <c r="AO360" s="1833"/>
      <c r="AP360" s="1833"/>
      <c r="AQ360" s="1833"/>
      <c r="AR360" s="1833"/>
      <c r="AS360" s="1833"/>
      <c r="AT360" s="1833"/>
      <c r="AU360" s="1833"/>
      <c r="AV360" s="1833"/>
      <c r="AW360" s="1833"/>
      <c r="AX360" s="1833"/>
      <c r="AY360" s="1833"/>
      <c r="AZ360" s="1833"/>
      <c r="BA360" s="1833"/>
      <c r="BB360" s="1833"/>
      <c r="BC360" s="1833"/>
      <c r="BD360" s="1833"/>
      <c r="BE360" s="1833"/>
      <c r="BF360" s="1833"/>
      <c r="BG360" s="1646"/>
    </row>
    <row customHeight="1" ht="11.25">
      <c r="A361" s="1177" t="s">
        <v>1088</v>
      </c>
      <c r="B361" s="1177"/>
      <c r="C361" s="1177"/>
      <c r="D361" s="1171"/>
      <c r="E361" s="1181"/>
      <c r="F361" s="1839"/>
      <c r="G361" s="1840"/>
      <c r="H361" s="2545" t="s">
        <v>1204</v>
      </c>
      <c r="I361" s="2546"/>
      <c r="J361" s="2911"/>
      <c r="K361" s="2547"/>
      <c r="L361" s="2137"/>
      <c r="M361" s="2138"/>
      <c r="N361" s="2538"/>
      <c r="O361" s="2539"/>
      <c r="P361" s="2542"/>
      <c r="Q361" s="2913"/>
      <c r="R361" s="2543"/>
      <c r="S361" s="2544"/>
      <c r="T361" s="2543"/>
      <c r="U361" s="2543"/>
      <c r="V361" s="2543"/>
      <c r="W361" s="2543"/>
      <c r="X361" s="2543"/>
      <c r="Y361" s="2543"/>
      <c r="Z361" s="1186"/>
      <c r="AA361" s="1187"/>
      <c r="AB361" s="1252" t="s">
        <v>1130</v>
      </c>
      <c r="AC361" s="1191"/>
      <c r="AD361" s="1191"/>
      <c r="AE361" s="1193"/>
      <c r="AF361" s="2536"/>
      <c r="AG361" s="2537"/>
      <c r="AH361" s="2537"/>
      <c r="AI361" s="2916"/>
      <c r="AJ361" s="2537"/>
      <c r="AK361" s="2537"/>
      <c r="AL361" s="1996"/>
      <c r="AM361" s="1833"/>
      <c r="AN361" s="1833"/>
      <c r="AO361" s="1833"/>
      <c r="AP361" s="1833"/>
      <c r="AQ361" s="1833"/>
      <c r="AR361" s="1833"/>
      <c r="AS361" s="1833"/>
      <c r="AT361" s="1833"/>
      <c r="AU361" s="1833"/>
      <c r="AV361" s="1833"/>
      <c r="AW361" s="1833"/>
      <c r="AX361" s="1833"/>
      <c r="AY361" s="1833"/>
      <c r="AZ361" s="1833"/>
      <c r="BA361" s="1833"/>
      <c r="BB361" s="1833"/>
      <c r="BC361" s="1833"/>
      <c r="BD361" s="1833"/>
      <c r="BE361" s="1833"/>
      <c r="BF361" s="1833"/>
      <c r="BG361" s="1646"/>
    </row>
    <row customHeight="1" ht="11.25">
      <c r="A362" s="1177" t="s">
        <v>1088</v>
      </c>
      <c r="B362" s="1177"/>
      <c r="C362" s="1177"/>
      <c r="D362" s="1171"/>
      <c r="E362" s="1181"/>
      <c r="F362" s="1839"/>
      <c r="G362" s="1840"/>
      <c r="H362" s="2545" t="s">
        <v>1204</v>
      </c>
      <c r="I362" s="2546"/>
      <c r="J362" s="2911"/>
      <c r="K362" s="2547"/>
      <c r="L362" s="2137"/>
      <c r="M362" s="2138"/>
      <c r="N362" s="1186"/>
      <c r="O362" s="1187"/>
      <c r="P362" s="1179" t="s">
        <v>1131</v>
      </c>
      <c r="Q362" s="1187"/>
      <c r="R362" s="1187"/>
      <c r="S362" s="1187"/>
      <c r="T362" s="1187"/>
      <c r="U362" s="1187"/>
      <c r="V362" s="1187"/>
      <c r="W362" s="1187"/>
      <c r="X362" s="1187"/>
      <c r="Y362" s="1187"/>
      <c r="Z362" s="1187"/>
      <c r="AA362" s="1187"/>
      <c r="AB362" s="1187"/>
      <c r="AC362" s="1187"/>
      <c r="AD362" s="1187"/>
      <c r="AE362" s="1194"/>
      <c r="AF362" s="2536"/>
      <c r="AG362" s="2537"/>
      <c r="AH362" s="2537"/>
      <c r="AI362" s="2916"/>
      <c r="AJ362" s="2537"/>
      <c r="AK362" s="2537"/>
      <c r="AL362" s="1996"/>
      <c r="AM362" s="1833"/>
      <c r="AN362" s="1833"/>
      <c r="AO362" s="1833"/>
      <c r="AP362" s="1833"/>
      <c r="AQ362" s="1833"/>
      <c r="AR362" s="1833"/>
      <c r="AS362" s="1833"/>
      <c r="AT362" s="1833"/>
      <c r="AU362" s="1833"/>
      <c r="AV362" s="1833"/>
      <c r="AW362" s="1833"/>
      <c r="AX362" s="1833"/>
      <c r="AY362" s="1833"/>
      <c r="AZ362" s="1833"/>
      <c r="BA362" s="1833"/>
      <c r="BB362" s="1833"/>
      <c r="BC362" s="1833"/>
      <c r="BD362" s="1833"/>
      <c r="BE362" s="1833"/>
      <c r="BF362" s="1833"/>
      <c r="BG362" s="1646"/>
    </row>
    <row customHeight="1" ht="11.25">
      <c r="A363" s="1177" t="s">
        <v>1088</v>
      </c>
      <c r="B363" s="1177" t="s">
        <v>22</v>
      </c>
      <c r="C363" s="1177"/>
      <c r="D363" s="1171"/>
      <c r="E363" s="1181"/>
      <c r="F363" s="1839"/>
      <c r="G363" s="694" t="s">
        <v>105</v>
      </c>
      <c r="H363" s="2545" t="s">
        <v>1208</v>
      </c>
      <c r="I363" s="2546" t="s">
        <v>1120</v>
      </c>
      <c r="J363" s="2911" t="s">
        <v>22</v>
      </c>
      <c r="K363" s="2547" t="s">
        <v>1198</v>
      </c>
      <c r="L363" s="2137" t="s">
        <v>19</v>
      </c>
      <c r="M363" s="2138"/>
      <c r="N363" s="1994"/>
      <c r="O363" s="1188" t="s">
        <v>390</v>
      </c>
      <c r="P363" s="1189"/>
      <c r="Q363" s="1189"/>
      <c r="R363" s="1189"/>
      <c r="S363" s="1189"/>
      <c r="T363" s="1189"/>
      <c r="U363" s="1189"/>
      <c r="V363" s="1189"/>
      <c r="W363" s="1189"/>
      <c r="X363" s="1189"/>
      <c r="Y363" s="1189"/>
      <c r="Z363" s="1189"/>
      <c r="AA363" s="1189"/>
      <c r="AB363" s="1189"/>
      <c r="AC363" s="1189"/>
      <c r="AD363" s="1189"/>
      <c r="AE363" s="1189"/>
      <c r="AF363" s="2536">
        <v>2027</v>
      </c>
      <c r="AG363" s="2537" t="s">
        <v>1122</v>
      </c>
      <c r="AH363" s="2537" t="s">
        <v>1164</v>
      </c>
      <c r="AI363" s="2916"/>
      <c r="AJ363" s="2537" t="s">
        <v>1154</v>
      </c>
      <c r="AK363" s="2537" t="s">
        <v>1154</v>
      </c>
      <c r="AL363" s="1996"/>
      <c r="AM363" s="1833"/>
      <c r="AN363" s="1833"/>
      <c r="AO363" s="1833"/>
      <c r="AP363" s="1833"/>
      <c r="AQ363" s="1833"/>
      <c r="AR363" s="1833"/>
      <c r="AS363" s="1833"/>
      <c r="AT363" s="1833"/>
      <c r="AU363" s="1833"/>
      <c r="AV363" s="1833"/>
      <c r="AW363" s="1833"/>
      <c r="AX363" s="1833"/>
      <c r="AY363" s="1833"/>
      <c r="AZ363" s="1833"/>
      <c r="BA363" s="1833"/>
      <c r="BB363" s="1833"/>
      <c r="BC363" s="1833"/>
      <c r="BD363" s="1833"/>
      <c r="BE363" s="1833"/>
      <c r="BF363" s="1833"/>
      <c r="BG363" s="1646"/>
    </row>
    <row customHeight="1" ht="11.25">
      <c r="A364" s="1177" t="s">
        <v>1088</v>
      </c>
      <c r="B364" s="1177"/>
      <c r="C364" s="1177"/>
      <c r="D364" s="1171"/>
      <c r="E364" s="1181"/>
      <c r="F364" s="1839"/>
      <c r="G364" s="1840"/>
      <c r="H364" s="2545" t="s">
        <v>1206</v>
      </c>
      <c r="I364" s="2546"/>
      <c r="J364" s="2911"/>
      <c r="K364" s="2547"/>
      <c r="L364" s="2137"/>
      <c r="M364" s="2138"/>
      <c r="N364" s="2538"/>
      <c r="O364" s="2539">
        <v>1</v>
      </c>
      <c r="P364" s="2540" t="s">
        <v>63</v>
      </c>
      <c r="Q364" s="2913" t="s">
        <v>614</v>
      </c>
      <c r="R364" s="2914" t="s">
        <v>1124</v>
      </c>
      <c r="S364" s="2914" t="s">
        <v>101</v>
      </c>
      <c r="T364" s="2914" t="s">
        <v>101</v>
      </c>
      <c r="U364" s="2914" t="s">
        <v>102</v>
      </c>
      <c r="V364" s="2914" t="s">
        <v>1125</v>
      </c>
      <c r="W364" s="2914" t="s">
        <v>1126</v>
      </c>
      <c r="X364" s="2914" t="s">
        <v>1127</v>
      </c>
      <c r="Y364" s="2914" t="s">
        <v>1128</v>
      </c>
      <c r="Z364" s="1186"/>
      <c r="AA364" s="1187"/>
      <c r="AB364" s="1187"/>
      <c r="AC364" s="1191"/>
      <c r="AD364" s="1191"/>
      <c r="AE364" s="1192"/>
      <c r="AF364" s="2536"/>
      <c r="AG364" s="2537"/>
      <c r="AH364" s="2537"/>
      <c r="AI364" s="2916"/>
      <c r="AJ364" s="2537"/>
      <c r="AK364" s="2537"/>
      <c r="AL364" s="1996"/>
      <c r="AM364" s="1833"/>
      <c r="AN364" s="1833"/>
      <c r="AO364" s="1833"/>
      <c r="AP364" s="1833"/>
      <c r="AQ364" s="1833"/>
      <c r="AR364" s="1833"/>
      <c r="AS364" s="1833"/>
      <c r="AT364" s="1833"/>
      <c r="AU364" s="1833"/>
      <c r="AV364" s="1833"/>
      <c r="AW364" s="1833"/>
      <c r="AX364" s="1833"/>
      <c r="AY364" s="1833"/>
      <c r="AZ364" s="1833"/>
      <c r="BA364" s="1833"/>
      <c r="BB364" s="1833"/>
      <c r="BC364" s="1833"/>
      <c r="BD364" s="1833"/>
      <c r="BE364" s="1833"/>
      <c r="BF364" s="1833"/>
      <c r="BG364" s="1646"/>
    </row>
    <row customHeight="1" ht="11.25">
      <c r="A365" s="1177" t="s">
        <v>1088</v>
      </c>
      <c r="B365" s="1177"/>
      <c r="C365" s="1177"/>
      <c r="D365" s="1171"/>
      <c r="E365" s="1181"/>
      <c r="F365" s="1839"/>
      <c r="G365" s="1840"/>
      <c r="H365" s="2545" t="s">
        <v>1206</v>
      </c>
      <c r="I365" s="2546"/>
      <c r="J365" s="2911"/>
      <c r="K365" s="2547"/>
      <c r="L365" s="2137"/>
      <c r="M365" s="2138"/>
      <c r="N365" s="2538"/>
      <c r="O365" s="2539"/>
      <c r="P365" s="2541"/>
      <c r="Q365" s="2913"/>
      <c r="R365" s="2543"/>
      <c r="S365" s="2544"/>
      <c r="T365" s="2543"/>
      <c r="U365" s="2543"/>
      <c r="V365" s="2543"/>
      <c r="W365" s="2543"/>
      <c r="X365" s="2543"/>
      <c r="Y365" s="2543"/>
      <c r="Z365" s="1838"/>
      <c r="AA365" s="1804">
        <v>1</v>
      </c>
      <c r="AB365" s="1190" t="s">
        <v>1159</v>
      </c>
      <c r="AC365" s="1180">
        <v>75056.11</v>
      </c>
      <c r="AD365" s="1190" t="str">
        <f>AB365</f>
        <v>      Прочие амортизационные отчисления</v>
      </c>
      <c r="AE365" s="1180">
        <v>0</v>
      </c>
      <c r="AF365" s="2536"/>
      <c r="AG365" s="2537"/>
      <c r="AH365" s="2537"/>
      <c r="AI365" s="2916"/>
      <c r="AJ365" s="2537"/>
      <c r="AK365" s="2537"/>
      <c r="AL365" s="1996"/>
      <c r="AM365" s="1833"/>
      <c r="AN365" s="1833"/>
      <c r="AO365" s="1833"/>
      <c r="AP365" s="1833"/>
      <c r="AQ365" s="1833"/>
      <c r="AR365" s="1833"/>
      <c r="AS365" s="1833"/>
      <c r="AT365" s="1833"/>
      <c r="AU365" s="1833"/>
      <c r="AV365" s="1833"/>
      <c r="AW365" s="1833"/>
      <c r="AX365" s="1833"/>
      <c r="AY365" s="1833"/>
      <c r="AZ365" s="1833"/>
      <c r="BA365" s="1833"/>
      <c r="BB365" s="1833"/>
      <c r="BC365" s="1833"/>
      <c r="BD365" s="1833"/>
      <c r="BE365" s="1833"/>
      <c r="BF365" s="1833"/>
      <c r="BG365" s="1646"/>
    </row>
    <row customHeight="1" ht="11.25">
      <c r="A366" s="1177" t="s">
        <v>1088</v>
      </c>
      <c r="B366" s="1177"/>
      <c r="C366" s="1177"/>
      <c r="D366" s="1171"/>
      <c r="E366" s="1181"/>
      <c r="F366" s="1839"/>
      <c r="G366" s="1840"/>
      <c r="H366" s="2545" t="s">
        <v>1206</v>
      </c>
      <c r="I366" s="2546"/>
      <c r="J366" s="2911"/>
      <c r="K366" s="2547"/>
      <c r="L366" s="2137"/>
      <c r="M366" s="2138"/>
      <c r="N366" s="2538"/>
      <c r="O366" s="2539"/>
      <c r="P366" s="2542"/>
      <c r="Q366" s="2913"/>
      <c r="R366" s="2543"/>
      <c r="S366" s="2544"/>
      <c r="T366" s="2543"/>
      <c r="U366" s="2543"/>
      <c r="V366" s="2543"/>
      <c r="W366" s="2543"/>
      <c r="X366" s="2543"/>
      <c r="Y366" s="2543"/>
      <c r="Z366" s="1186"/>
      <c r="AA366" s="1187"/>
      <c r="AB366" s="1252" t="s">
        <v>1130</v>
      </c>
      <c r="AC366" s="1191"/>
      <c r="AD366" s="1191"/>
      <c r="AE366" s="1193"/>
      <c r="AF366" s="2536"/>
      <c r="AG366" s="2537"/>
      <c r="AH366" s="2537"/>
      <c r="AI366" s="2916"/>
      <c r="AJ366" s="2537"/>
      <c r="AK366" s="2537"/>
      <c r="AL366" s="1996"/>
      <c r="AM366" s="1833"/>
      <c r="AN366" s="1833"/>
      <c r="AO366" s="1833"/>
      <c r="AP366" s="1833"/>
      <c r="AQ366" s="1833"/>
      <c r="AR366" s="1833"/>
      <c r="AS366" s="1833"/>
      <c r="AT366" s="1833"/>
      <c r="AU366" s="1833"/>
      <c r="AV366" s="1833"/>
      <c r="AW366" s="1833"/>
      <c r="AX366" s="1833"/>
      <c r="AY366" s="1833"/>
      <c r="AZ366" s="1833"/>
      <c r="BA366" s="1833"/>
      <c r="BB366" s="1833"/>
      <c r="BC366" s="1833"/>
      <c r="BD366" s="1833"/>
      <c r="BE366" s="1833"/>
      <c r="BF366" s="1833"/>
      <c r="BG366" s="1646"/>
    </row>
    <row customHeight="1" ht="11.25">
      <c r="A367" s="1177" t="s">
        <v>1088</v>
      </c>
      <c r="B367" s="1177"/>
      <c r="C367" s="1177"/>
      <c r="D367" s="1171"/>
      <c r="E367" s="1181"/>
      <c r="F367" s="1839"/>
      <c r="G367" s="1840"/>
      <c r="H367" s="2545" t="s">
        <v>1206</v>
      </c>
      <c r="I367" s="2546"/>
      <c r="J367" s="2911"/>
      <c r="K367" s="2547"/>
      <c r="L367" s="2137"/>
      <c r="M367" s="2138"/>
      <c r="N367" s="1186"/>
      <c r="O367" s="1187"/>
      <c r="P367" s="1179" t="s">
        <v>1131</v>
      </c>
      <c r="Q367" s="1187"/>
      <c r="R367" s="1187"/>
      <c r="S367" s="1187"/>
      <c r="T367" s="1187"/>
      <c r="U367" s="1187"/>
      <c r="V367" s="1187"/>
      <c r="W367" s="1187"/>
      <c r="X367" s="1187"/>
      <c r="Y367" s="1187"/>
      <c r="Z367" s="1187"/>
      <c r="AA367" s="1187"/>
      <c r="AB367" s="1187"/>
      <c r="AC367" s="1187"/>
      <c r="AD367" s="1187"/>
      <c r="AE367" s="1194"/>
      <c r="AF367" s="2536"/>
      <c r="AG367" s="2537"/>
      <c r="AH367" s="2537"/>
      <c r="AI367" s="2916"/>
      <c r="AJ367" s="2537"/>
      <c r="AK367" s="2537"/>
      <c r="AL367" s="1996"/>
      <c r="AM367" s="1833"/>
      <c r="AN367" s="1833"/>
      <c r="AO367" s="1833"/>
      <c r="AP367" s="1833"/>
      <c r="AQ367" s="1833"/>
      <c r="AR367" s="1833"/>
      <c r="AS367" s="1833"/>
      <c r="AT367" s="1833"/>
      <c r="AU367" s="1833"/>
      <c r="AV367" s="1833"/>
      <c r="AW367" s="1833"/>
      <c r="AX367" s="1833"/>
      <c r="AY367" s="1833"/>
      <c r="AZ367" s="1833"/>
      <c r="BA367" s="1833"/>
      <c r="BB367" s="1833"/>
      <c r="BC367" s="1833"/>
      <c r="BD367" s="1833"/>
      <c r="BE367" s="1833"/>
      <c r="BF367" s="1833"/>
      <c r="BG367" s="1646"/>
    </row>
    <row customHeight="1" ht="11.25">
      <c r="A368" s="1177" t="s">
        <v>1088</v>
      </c>
      <c r="B368" s="1177" t="s">
        <v>22</v>
      </c>
      <c r="C368" s="1177"/>
      <c r="D368" s="1171"/>
      <c r="E368" s="1181"/>
      <c r="F368" s="1839"/>
      <c r="G368" s="694" t="s">
        <v>105</v>
      </c>
      <c r="H368" s="2545" t="s">
        <v>1212</v>
      </c>
      <c r="I368" s="2546" t="s">
        <v>1120</v>
      </c>
      <c r="J368" s="2911" t="s">
        <v>22</v>
      </c>
      <c r="K368" s="2547" t="s">
        <v>1200</v>
      </c>
      <c r="L368" s="2137" t="s">
        <v>19</v>
      </c>
      <c r="M368" s="2138"/>
      <c r="N368" s="1994"/>
      <c r="O368" s="1188" t="s">
        <v>390</v>
      </c>
      <c r="P368" s="1189"/>
      <c r="Q368" s="1189"/>
      <c r="R368" s="1189"/>
      <c r="S368" s="1189"/>
      <c r="T368" s="1189"/>
      <c r="U368" s="1189"/>
      <c r="V368" s="1189"/>
      <c r="W368" s="1189"/>
      <c r="X368" s="1189"/>
      <c r="Y368" s="1189"/>
      <c r="Z368" s="1189"/>
      <c r="AA368" s="1189"/>
      <c r="AB368" s="1189"/>
      <c r="AC368" s="1189"/>
      <c r="AD368" s="1189"/>
      <c r="AE368" s="1189"/>
      <c r="AF368" s="2536">
        <v>2026</v>
      </c>
      <c r="AG368" s="2537" t="s">
        <v>1122</v>
      </c>
      <c r="AH368" s="2537" t="s">
        <v>1169</v>
      </c>
      <c r="AI368" s="2916"/>
      <c r="AJ368" s="2537" t="s">
        <v>1154</v>
      </c>
      <c r="AK368" s="2537" t="s">
        <v>1154</v>
      </c>
      <c r="AL368" s="1996"/>
      <c r="AM368" s="1833"/>
      <c r="AN368" s="1833"/>
      <c r="AO368" s="1833"/>
      <c r="AP368" s="1833"/>
      <c r="AQ368" s="1833"/>
      <c r="AR368" s="1833"/>
      <c r="AS368" s="1833"/>
      <c r="AT368" s="1833"/>
      <c r="AU368" s="1833"/>
      <c r="AV368" s="1833"/>
      <c r="AW368" s="1833"/>
      <c r="AX368" s="1833"/>
      <c r="AY368" s="1833"/>
      <c r="AZ368" s="1833"/>
      <c r="BA368" s="1833"/>
      <c r="BB368" s="1833"/>
      <c r="BC368" s="1833"/>
      <c r="BD368" s="1833"/>
      <c r="BE368" s="1833"/>
      <c r="BF368" s="1833"/>
      <c r="BG368" s="1646"/>
    </row>
    <row customHeight="1" ht="11.25">
      <c r="A369" s="1177" t="s">
        <v>1088</v>
      </c>
      <c r="B369" s="1177"/>
      <c r="C369" s="1177"/>
      <c r="D369" s="1171"/>
      <c r="E369" s="1181"/>
      <c r="F369" s="1839"/>
      <c r="G369" s="1840"/>
      <c r="H369" s="2545" t="s">
        <v>1208</v>
      </c>
      <c r="I369" s="2546"/>
      <c r="J369" s="2911"/>
      <c r="K369" s="2547"/>
      <c r="L369" s="2137"/>
      <c r="M369" s="2138"/>
      <c r="N369" s="2538"/>
      <c r="O369" s="2539">
        <v>1</v>
      </c>
      <c r="P369" s="2540" t="s">
        <v>63</v>
      </c>
      <c r="Q369" s="2913" t="s">
        <v>614</v>
      </c>
      <c r="R369" s="2914" t="s">
        <v>1124</v>
      </c>
      <c r="S369" s="2914" t="s">
        <v>101</v>
      </c>
      <c r="T369" s="2914" t="s">
        <v>101</v>
      </c>
      <c r="U369" s="2914" t="s">
        <v>102</v>
      </c>
      <c r="V369" s="2914" t="s">
        <v>1125</v>
      </c>
      <c r="W369" s="2914" t="s">
        <v>1126</v>
      </c>
      <c r="X369" s="2914" t="s">
        <v>1127</v>
      </c>
      <c r="Y369" s="2914" t="s">
        <v>1128</v>
      </c>
      <c r="Z369" s="1186"/>
      <c r="AA369" s="1187"/>
      <c r="AB369" s="1187"/>
      <c r="AC369" s="1191"/>
      <c r="AD369" s="1191"/>
      <c r="AE369" s="1192"/>
      <c r="AF369" s="2536"/>
      <c r="AG369" s="2537"/>
      <c r="AH369" s="2537"/>
      <c r="AI369" s="2916"/>
      <c r="AJ369" s="2537"/>
      <c r="AK369" s="2537"/>
      <c r="AL369" s="1996"/>
      <c r="AM369" s="1833"/>
      <c r="AN369" s="1833"/>
      <c r="AO369" s="1833"/>
      <c r="AP369" s="1833"/>
      <c r="AQ369" s="1833"/>
      <c r="AR369" s="1833"/>
      <c r="AS369" s="1833"/>
      <c r="AT369" s="1833"/>
      <c r="AU369" s="1833"/>
      <c r="AV369" s="1833"/>
      <c r="AW369" s="1833"/>
      <c r="AX369" s="1833"/>
      <c r="AY369" s="1833"/>
      <c r="AZ369" s="1833"/>
      <c r="BA369" s="1833"/>
      <c r="BB369" s="1833"/>
      <c r="BC369" s="1833"/>
      <c r="BD369" s="1833"/>
      <c r="BE369" s="1833"/>
      <c r="BF369" s="1833"/>
      <c r="BG369" s="1646"/>
    </row>
    <row customHeight="1" ht="11.25">
      <c r="A370" s="1177" t="s">
        <v>1088</v>
      </c>
      <c r="B370" s="1177"/>
      <c r="C370" s="1177"/>
      <c r="D370" s="1171"/>
      <c r="E370" s="1181"/>
      <c r="F370" s="1839"/>
      <c r="G370" s="1840"/>
      <c r="H370" s="2545" t="s">
        <v>1208</v>
      </c>
      <c r="I370" s="2546"/>
      <c r="J370" s="2911"/>
      <c r="K370" s="2547"/>
      <c r="L370" s="2137"/>
      <c r="M370" s="2138"/>
      <c r="N370" s="2538"/>
      <c r="O370" s="2539"/>
      <c r="P370" s="2541"/>
      <c r="Q370" s="2913"/>
      <c r="R370" s="2543"/>
      <c r="S370" s="2544"/>
      <c r="T370" s="2543"/>
      <c r="U370" s="2543"/>
      <c r="V370" s="2543"/>
      <c r="W370" s="2543"/>
      <c r="X370" s="2543"/>
      <c r="Y370" s="2543"/>
      <c r="Z370" s="1838"/>
      <c r="AA370" s="1804">
        <v>1</v>
      </c>
      <c r="AB370" s="1190" t="s">
        <v>1234</v>
      </c>
      <c r="AC370" s="1180">
        <v>9930.69</v>
      </c>
      <c r="AD370" s="1190" t="str">
        <f>AB370</f>
        <v>  Прочие</v>
      </c>
      <c r="AE370" s="1180">
        <v>0</v>
      </c>
      <c r="AF370" s="2536"/>
      <c r="AG370" s="2537"/>
      <c r="AH370" s="2537"/>
      <c r="AI370" s="2916"/>
      <c r="AJ370" s="2537"/>
      <c r="AK370" s="2537"/>
      <c r="AL370" s="1996"/>
      <c r="AM370" s="1833"/>
      <c r="AN370" s="1833"/>
      <c r="AO370" s="1833"/>
      <c r="AP370" s="1833"/>
      <c r="AQ370" s="1833"/>
      <c r="AR370" s="1833"/>
      <c r="AS370" s="1833"/>
      <c r="AT370" s="1833"/>
      <c r="AU370" s="1833"/>
      <c r="AV370" s="1833"/>
      <c r="AW370" s="1833"/>
      <c r="AX370" s="1833"/>
      <c r="AY370" s="1833"/>
      <c r="AZ370" s="1833"/>
      <c r="BA370" s="1833"/>
      <c r="BB370" s="1833"/>
      <c r="BC370" s="1833"/>
      <c r="BD370" s="1833"/>
      <c r="BE370" s="1833"/>
      <c r="BF370" s="1833"/>
      <c r="BG370" s="1646"/>
    </row>
    <row customHeight="1" ht="11.25">
      <c r="A371" s="1177" t="s">
        <v>1088</v>
      </c>
      <c r="B371" s="1177"/>
      <c r="C371" s="1177"/>
      <c r="D371" s="1171"/>
      <c r="E371" s="1181"/>
      <c r="F371" s="1840"/>
      <c r="G371" s="1840"/>
      <c r="H371" s="1840"/>
      <c r="I371" s="1840"/>
      <c r="J371" s="1840"/>
      <c r="K371" s="1840"/>
      <c r="L371" s="1840"/>
      <c r="M371" s="1840"/>
      <c r="N371" s="1840"/>
      <c r="O371" s="1840"/>
      <c r="P371" s="1840"/>
      <c r="Q371" s="1840"/>
      <c r="R371" s="1840"/>
      <c r="S371" s="1840"/>
      <c r="T371" s="1840"/>
      <c r="U371" s="1840"/>
      <c r="V371" s="1840"/>
      <c r="W371" s="1840"/>
      <c r="X371" s="1840"/>
      <c r="Y371" s="1840"/>
      <c r="Z371" s="694" t="s">
        <v>105</v>
      </c>
      <c r="AA371" s="1824" t="s">
        <v>104</v>
      </c>
      <c r="AB371" s="1190" t="s">
        <v>1159</v>
      </c>
      <c r="AC371" s="1180">
        <f>89733.43536-500</f>
        <v>89233.43536</v>
      </c>
      <c r="AD371" s="1190" t="str">
        <f>AB371</f>
        <v>      Прочие амортизационные отчисления</v>
      </c>
      <c r="AE371" s="1180">
        <v>0</v>
      </c>
      <c r="AF371" s="2097"/>
      <c r="AG371" s="1769"/>
      <c r="AH371" s="1769"/>
      <c r="AI371" s="2097"/>
      <c r="AJ371" s="1769"/>
      <c r="AK371" s="1995"/>
      <c r="AL371" s="1996"/>
      <c r="AM371" s="1833"/>
      <c r="AN371" s="1833"/>
      <c r="AO371" s="1833"/>
      <c r="AP371" s="1833"/>
      <c r="AQ371" s="1833"/>
      <c r="AR371" s="1833"/>
      <c r="AS371" s="1833"/>
      <c r="AT371" s="1833"/>
      <c r="AU371" s="1833"/>
      <c r="AV371" s="1833"/>
      <c r="AW371" s="1833"/>
      <c r="AX371" s="1833"/>
      <c r="AY371" s="1833"/>
      <c r="AZ371" s="1833"/>
      <c r="BA371" s="1833"/>
      <c r="BB371" s="1833"/>
      <c r="BC371" s="1833"/>
      <c r="BD371" s="1833"/>
      <c r="BE371" s="1833"/>
      <c r="BF371" s="1833"/>
      <c r="BG371" s="1646"/>
    </row>
    <row customHeight="1" ht="11.25">
      <c r="A372" s="1177" t="s">
        <v>1088</v>
      </c>
      <c r="B372" s="1177"/>
      <c r="C372" s="1177"/>
      <c r="D372" s="1171"/>
      <c r="E372" s="1181"/>
      <c r="F372" s="1839"/>
      <c r="G372" s="1840"/>
      <c r="H372" s="2545" t="s">
        <v>1208</v>
      </c>
      <c r="I372" s="2546"/>
      <c r="J372" s="2911"/>
      <c r="K372" s="2547"/>
      <c r="L372" s="2137"/>
      <c r="M372" s="2138"/>
      <c r="N372" s="2538"/>
      <c r="O372" s="2539"/>
      <c r="P372" s="2542"/>
      <c r="Q372" s="2913"/>
      <c r="R372" s="2543"/>
      <c r="S372" s="2544"/>
      <c r="T372" s="2543"/>
      <c r="U372" s="2543"/>
      <c r="V372" s="2543"/>
      <c r="W372" s="2543"/>
      <c r="X372" s="2543"/>
      <c r="Y372" s="2543"/>
      <c r="Z372" s="1186"/>
      <c r="AA372" s="1187"/>
      <c r="AB372" s="1252" t="s">
        <v>1130</v>
      </c>
      <c r="AC372" s="1191"/>
      <c r="AD372" s="1191"/>
      <c r="AE372" s="1193"/>
      <c r="AF372" s="2536"/>
      <c r="AG372" s="2537"/>
      <c r="AH372" s="2537"/>
      <c r="AI372" s="2916"/>
      <c r="AJ372" s="2537"/>
      <c r="AK372" s="2537"/>
      <c r="AL372" s="1996"/>
      <c r="AM372" s="1833"/>
      <c r="AN372" s="1833"/>
      <c r="AO372" s="1833"/>
      <c r="AP372" s="1833"/>
      <c r="AQ372" s="1833"/>
      <c r="AR372" s="1833"/>
      <c r="AS372" s="1833"/>
      <c r="AT372" s="1833"/>
      <c r="AU372" s="1833"/>
      <c r="AV372" s="1833"/>
      <c r="AW372" s="1833"/>
      <c r="AX372" s="1833"/>
      <c r="AY372" s="1833"/>
      <c r="AZ372" s="1833"/>
      <c r="BA372" s="1833"/>
      <c r="BB372" s="1833"/>
      <c r="BC372" s="1833"/>
      <c r="BD372" s="1833"/>
      <c r="BE372" s="1833"/>
      <c r="BF372" s="1833"/>
      <c r="BG372" s="1646"/>
    </row>
    <row customHeight="1" ht="11.25">
      <c r="A373" s="1177" t="s">
        <v>1088</v>
      </c>
      <c r="B373" s="1177"/>
      <c r="C373" s="1177"/>
      <c r="D373" s="1171"/>
      <c r="E373" s="1181"/>
      <c r="F373" s="1839"/>
      <c r="G373" s="1840"/>
      <c r="H373" s="2545" t="s">
        <v>1208</v>
      </c>
      <c r="I373" s="2546"/>
      <c r="J373" s="2911"/>
      <c r="K373" s="2547"/>
      <c r="L373" s="2137"/>
      <c r="M373" s="2138"/>
      <c r="N373" s="1186"/>
      <c r="O373" s="1187"/>
      <c r="P373" s="1179" t="s">
        <v>1131</v>
      </c>
      <c r="Q373" s="1187"/>
      <c r="R373" s="1187"/>
      <c r="S373" s="1187"/>
      <c r="T373" s="1187"/>
      <c r="U373" s="1187"/>
      <c r="V373" s="1187"/>
      <c r="W373" s="1187"/>
      <c r="X373" s="1187"/>
      <c r="Y373" s="1187"/>
      <c r="Z373" s="1187"/>
      <c r="AA373" s="1187"/>
      <c r="AB373" s="1187"/>
      <c r="AC373" s="1187"/>
      <c r="AD373" s="1187"/>
      <c r="AE373" s="1194"/>
      <c r="AF373" s="2536"/>
      <c r="AG373" s="2537"/>
      <c r="AH373" s="2537"/>
      <c r="AI373" s="2916"/>
      <c r="AJ373" s="2537"/>
      <c r="AK373" s="2537"/>
      <c r="AL373" s="1996"/>
      <c r="AM373" s="1833"/>
      <c r="AN373" s="1833"/>
      <c r="AO373" s="1833"/>
      <c r="AP373" s="1833"/>
      <c r="AQ373" s="1833"/>
      <c r="AR373" s="1833"/>
      <c r="AS373" s="1833"/>
      <c r="AT373" s="1833"/>
      <c r="AU373" s="1833"/>
      <c r="AV373" s="1833"/>
      <c r="AW373" s="1833"/>
      <c r="AX373" s="1833"/>
      <c r="AY373" s="1833"/>
      <c r="AZ373" s="1833"/>
      <c r="BA373" s="1833"/>
      <c r="BB373" s="1833"/>
      <c r="BC373" s="1833"/>
      <c r="BD373" s="1833"/>
      <c r="BE373" s="1833"/>
      <c r="BF373" s="1833"/>
      <c r="BG373" s="1646"/>
    </row>
    <row customHeight="1" ht="11.25">
      <c r="A374" s="1177" t="s">
        <v>1088</v>
      </c>
      <c r="B374" s="1177" t="s">
        <v>22</v>
      </c>
      <c r="C374" s="1177"/>
      <c r="D374" s="1171"/>
      <c r="E374" s="1181"/>
      <c r="F374" s="1839"/>
      <c r="G374" s="694" t="s">
        <v>105</v>
      </c>
      <c r="H374" s="2545" t="s">
        <v>1215</v>
      </c>
      <c r="I374" s="2546" t="s">
        <v>1120</v>
      </c>
      <c r="J374" s="2911" t="s">
        <v>22</v>
      </c>
      <c r="K374" s="2547" t="s">
        <v>1247</v>
      </c>
      <c r="L374" s="2137" t="s">
        <v>19</v>
      </c>
      <c r="M374" s="2138"/>
      <c r="N374" s="1994"/>
      <c r="O374" s="1188" t="s">
        <v>390</v>
      </c>
      <c r="P374" s="1189"/>
      <c r="Q374" s="1189"/>
      <c r="R374" s="1189"/>
      <c r="S374" s="1189"/>
      <c r="T374" s="1189"/>
      <c r="U374" s="1189"/>
      <c r="V374" s="1189"/>
      <c r="W374" s="1189"/>
      <c r="X374" s="1189"/>
      <c r="Y374" s="1189"/>
      <c r="Z374" s="1189"/>
      <c r="AA374" s="1189"/>
      <c r="AB374" s="1189"/>
      <c r="AC374" s="1189"/>
      <c r="AD374" s="1189"/>
      <c r="AE374" s="1189"/>
      <c r="AF374" s="2536">
        <v>2026</v>
      </c>
      <c r="AG374" s="2537" t="s">
        <v>1122</v>
      </c>
      <c r="AH374" s="2537" t="s">
        <v>1169</v>
      </c>
      <c r="AI374" s="2916"/>
      <c r="AJ374" s="2537" t="s">
        <v>1154</v>
      </c>
      <c r="AK374" s="2537" t="s">
        <v>1154</v>
      </c>
      <c r="AL374" s="1996"/>
      <c r="AM374" s="1833"/>
      <c r="AN374" s="1833"/>
      <c r="AO374" s="1833"/>
      <c r="AP374" s="1833"/>
      <c r="AQ374" s="1833"/>
      <c r="AR374" s="1833"/>
      <c r="AS374" s="1833"/>
      <c r="AT374" s="1833"/>
      <c r="AU374" s="1833"/>
      <c r="AV374" s="1833"/>
      <c r="AW374" s="1833"/>
      <c r="AX374" s="1833"/>
      <c r="AY374" s="1833"/>
      <c r="AZ374" s="1833"/>
      <c r="BA374" s="1833"/>
      <c r="BB374" s="1833"/>
      <c r="BC374" s="1833"/>
      <c r="BD374" s="1833"/>
      <c r="BE374" s="1833"/>
      <c r="BF374" s="1833"/>
      <c r="BG374" s="1646"/>
    </row>
    <row customHeight="1" ht="11.25">
      <c r="A375" s="1177" t="s">
        <v>1088</v>
      </c>
      <c r="B375" s="1177"/>
      <c r="C375" s="1177"/>
      <c r="D375" s="1171"/>
      <c r="E375" s="1181"/>
      <c r="F375" s="1839"/>
      <c r="G375" s="1840"/>
      <c r="H375" s="2545" t="s">
        <v>1212</v>
      </c>
      <c r="I375" s="2546"/>
      <c r="J375" s="2911"/>
      <c r="K375" s="2547"/>
      <c r="L375" s="2137"/>
      <c r="M375" s="2138"/>
      <c r="N375" s="2538"/>
      <c r="O375" s="2539">
        <v>1</v>
      </c>
      <c r="P375" s="2540" t="s">
        <v>63</v>
      </c>
      <c r="Q375" s="2913" t="s">
        <v>1238</v>
      </c>
      <c r="R375" s="2914" t="s">
        <v>1124</v>
      </c>
      <c r="S375" s="2914" t="s">
        <v>101</v>
      </c>
      <c r="T375" s="2914" t="s">
        <v>101</v>
      </c>
      <c r="U375" s="2914" t="s">
        <v>102</v>
      </c>
      <c r="V375" s="2914" t="s">
        <v>1125</v>
      </c>
      <c r="W375" s="2914" t="s">
        <v>1126</v>
      </c>
      <c r="X375" s="2914" t="s">
        <v>1239</v>
      </c>
      <c r="Y375" s="2914" t="s">
        <v>93</v>
      </c>
      <c r="Z375" s="1186"/>
      <c r="AA375" s="1187"/>
      <c r="AB375" s="1187"/>
      <c r="AC375" s="1191"/>
      <c r="AD375" s="1191"/>
      <c r="AE375" s="1192"/>
      <c r="AF375" s="2536"/>
      <c r="AG375" s="2537"/>
      <c r="AH375" s="2537"/>
      <c r="AI375" s="2916"/>
      <c r="AJ375" s="2537"/>
      <c r="AK375" s="2537"/>
      <c r="AL375" s="1996"/>
      <c r="AM375" s="1833"/>
      <c r="AN375" s="1833"/>
      <c r="AO375" s="1833"/>
      <c r="AP375" s="1833"/>
      <c r="AQ375" s="1833"/>
      <c r="AR375" s="1833"/>
      <c r="AS375" s="1833"/>
      <c r="AT375" s="1833"/>
      <c r="AU375" s="1833"/>
      <c r="AV375" s="1833"/>
      <c r="AW375" s="1833"/>
      <c r="AX375" s="1833"/>
      <c r="AY375" s="1833"/>
      <c r="AZ375" s="1833"/>
      <c r="BA375" s="1833"/>
      <c r="BB375" s="1833"/>
      <c r="BC375" s="1833"/>
      <c r="BD375" s="1833"/>
      <c r="BE375" s="1833"/>
      <c r="BF375" s="1833"/>
      <c r="BG375" s="1646"/>
    </row>
    <row customHeight="1" ht="11.25">
      <c r="A376" s="1177" t="s">
        <v>1088</v>
      </c>
      <c r="B376" s="1177"/>
      <c r="C376" s="1177"/>
      <c r="D376" s="1171"/>
      <c r="E376" s="1181"/>
      <c r="F376" s="1839"/>
      <c r="G376" s="1840"/>
      <c r="H376" s="2545" t="s">
        <v>1212</v>
      </c>
      <c r="I376" s="2546"/>
      <c r="J376" s="2911"/>
      <c r="K376" s="2547"/>
      <c r="L376" s="2137"/>
      <c r="M376" s="2138"/>
      <c r="N376" s="2538"/>
      <c r="O376" s="2539"/>
      <c r="P376" s="2541"/>
      <c r="Q376" s="2913"/>
      <c r="R376" s="2543"/>
      <c r="S376" s="2544"/>
      <c r="T376" s="2543"/>
      <c r="U376" s="2543"/>
      <c r="V376" s="2543"/>
      <c r="W376" s="2543"/>
      <c r="X376" s="2543"/>
      <c r="Y376" s="2543"/>
      <c r="Z376" s="1838"/>
      <c r="AA376" s="1804">
        <v>1</v>
      </c>
      <c r="AB376" s="1190" t="s">
        <v>1234</v>
      </c>
      <c r="AC376" s="1180">
        <v>1465.713</v>
      </c>
      <c r="AD376" s="1190" t="str">
        <f>AB376</f>
        <v>  Прочие</v>
      </c>
      <c r="AE376" s="1180">
        <v>0</v>
      </c>
      <c r="AF376" s="2536"/>
      <c r="AG376" s="2537"/>
      <c r="AH376" s="2537"/>
      <c r="AI376" s="2916"/>
      <c r="AJ376" s="2537"/>
      <c r="AK376" s="2537"/>
      <c r="AL376" s="1996"/>
      <c r="AM376" s="1833"/>
      <c r="AN376" s="1833"/>
      <c r="AO376" s="1833"/>
      <c r="AP376" s="1833"/>
      <c r="AQ376" s="1833"/>
      <c r="AR376" s="1833"/>
      <c r="AS376" s="1833"/>
      <c r="AT376" s="1833"/>
      <c r="AU376" s="1833"/>
      <c r="AV376" s="1833"/>
      <c r="AW376" s="1833"/>
      <c r="AX376" s="1833"/>
      <c r="AY376" s="1833"/>
      <c r="AZ376" s="1833"/>
      <c r="BA376" s="1833"/>
      <c r="BB376" s="1833"/>
      <c r="BC376" s="1833"/>
      <c r="BD376" s="1833"/>
      <c r="BE376" s="1833"/>
      <c r="BF376" s="1833"/>
      <c r="BG376" s="1646"/>
    </row>
    <row customHeight="1" ht="11.25">
      <c r="A377" s="1177" t="s">
        <v>1088</v>
      </c>
      <c r="B377" s="1177"/>
      <c r="C377" s="1177"/>
      <c r="D377" s="1171"/>
      <c r="E377" s="1181"/>
      <c r="F377" s="1839"/>
      <c r="G377" s="1840"/>
      <c r="H377" s="2545" t="s">
        <v>1212</v>
      </c>
      <c r="I377" s="2546"/>
      <c r="J377" s="2911"/>
      <c r="K377" s="2547"/>
      <c r="L377" s="2137"/>
      <c r="M377" s="2138"/>
      <c r="N377" s="2538"/>
      <c r="O377" s="2539"/>
      <c r="P377" s="2542"/>
      <c r="Q377" s="2913"/>
      <c r="R377" s="2543"/>
      <c r="S377" s="2544"/>
      <c r="T377" s="2543"/>
      <c r="U377" s="2543"/>
      <c r="V377" s="2543"/>
      <c r="W377" s="2543"/>
      <c r="X377" s="2543"/>
      <c r="Y377" s="2543"/>
      <c r="Z377" s="1186"/>
      <c r="AA377" s="1187"/>
      <c r="AB377" s="1252" t="s">
        <v>1130</v>
      </c>
      <c r="AC377" s="1191"/>
      <c r="AD377" s="1191"/>
      <c r="AE377" s="1193"/>
      <c r="AF377" s="2536"/>
      <c r="AG377" s="2537"/>
      <c r="AH377" s="2537"/>
      <c r="AI377" s="2916"/>
      <c r="AJ377" s="2537"/>
      <c r="AK377" s="2537"/>
      <c r="AL377" s="1996"/>
      <c r="AM377" s="1833"/>
      <c r="AN377" s="1833"/>
      <c r="AO377" s="1833"/>
      <c r="AP377" s="1833"/>
      <c r="AQ377" s="1833"/>
      <c r="AR377" s="1833"/>
      <c r="AS377" s="1833"/>
      <c r="AT377" s="1833"/>
      <c r="AU377" s="1833"/>
      <c r="AV377" s="1833"/>
      <c r="AW377" s="1833"/>
      <c r="AX377" s="1833"/>
      <c r="AY377" s="1833"/>
      <c r="AZ377" s="1833"/>
      <c r="BA377" s="1833"/>
      <c r="BB377" s="1833"/>
      <c r="BC377" s="1833"/>
      <c r="BD377" s="1833"/>
      <c r="BE377" s="1833"/>
      <c r="BF377" s="1833"/>
      <c r="BG377" s="1646"/>
    </row>
    <row customHeight="1" ht="11.25">
      <c r="A378" s="1177" t="s">
        <v>1088</v>
      </c>
      <c r="B378" s="1177"/>
      <c r="C378" s="1177"/>
      <c r="D378" s="1171"/>
      <c r="E378" s="1181"/>
      <c r="F378" s="1839"/>
      <c r="G378" s="1840"/>
      <c r="H378" s="2545" t="s">
        <v>1212</v>
      </c>
      <c r="I378" s="2546"/>
      <c r="J378" s="2911"/>
      <c r="K378" s="2547"/>
      <c r="L378" s="2137"/>
      <c r="M378" s="2138"/>
      <c r="N378" s="1186"/>
      <c r="O378" s="1187"/>
      <c r="P378" s="1179" t="s">
        <v>1131</v>
      </c>
      <c r="Q378" s="1187"/>
      <c r="R378" s="1187"/>
      <c r="S378" s="1187"/>
      <c r="T378" s="1187"/>
      <c r="U378" s="1187"/>
      <c r="V378" s="1187"/>
      <c r="W378" s="1187"/>
      <c r="X378" s="1187"/>
      <c r="Y378" s="1187"/>
      <c r="Z378" s="1187"/>
      <c r="AA378" s="1187"/>
      <c r="AB378" s="1187"/>
      <c r="AC378" s="1187"/>
      <c r="AD378" s="1187"/>
      <c r="AE378" s="1194"/>
      <c r="AF378" s="2536"/>
      <c r="AG378" s="2537"/>
      <c r="AH378" s="2537"/>
      <c r="AI378" s="2916"/>
      <c r="AJ378" s="2537"/>
      <c r="AK378" s="2537"/>
      <c r="AL378" s="1996"/>
      <c r="AM378" s="1833"/>
      <c r="AN378" s="1833"/>
      <c r="AO378" s="1833"/>
      <c r="AP378" s="1833"/>
      <c r="AQ378" s="1833"/>
      <c r="AR378" s="1833"/>
      <c r="AS378" s="1833"/>
      <c r="AT378" s="1833"/>
      <c r="AU378" s="1833"/>
      <c r="AV378" s="1833"/>
      <c r="AW378" s="1833"/>
      <c r="AX378" s="1833"/>
      <c r="AY378" s="1833"/>
      <c r="AZ378" s="1833"/>
      <c r="BA378" s="1833"/>
      <c r="BB378" s="1833"/>
      <c r="BC378" s="1833"/>
      <c r="BD378" s="1833"/>
      <c r="BE378" s="1833"/>
      <c r="BF378" s="1833"/>
      <c r="BG378" s="1646"/>
    </row>
    <row customHeight="1" ht="11.25">
      <c r="A379" s="1177" t="s">
        <v>1088</v>
      </c>
      <c r="B379" s="1177" t="s">
        <v>22</v>
      </c>
      <c r="C379" s="1177"/>
      <c r="D379" s="1171"/>
      <c r="E379" s="1181"/>
      <c r="F379" s="1839"/>
      <c r="G379" s="694" t="s">
        <v>105</v>
      </c>
      <c r="H379" s="2545" t="s">
        <v>1217</v>
      </c>
      <c r="I379" s="2546" t="s">
        <v>1120</v>
      </c>
      <c r="J379" s="2911" t="s">
        <v>22</v>
      </c>
      <c r="K379" s="2547" t="s">
        <v>1248</v>
      </c>
      <c r="L379" s="2137" t="s">
        <v>19</v>
      </c>
      <c r="M379" s="2138"/>
      <c r="N379" s="1994"/>
      <c r="O379" s="1188" t="s">
        <v>390</v>
      </c>
      <c r="P379" s="1189"/>
      <c r="Q379" s="1189"/>
      <c r="R379" s="1189"/>
      <c r="S379" s="1189"/>
      <c r="T379" s="1189"/>
      <c r="U379" s="1189"/>
      <c r="V379" s="1189"/>
      <c r="W379" s="1189"/>
      <c r="X379" s="1189"/>
      <c r="Y379" s="1189"/>
      <c r="Z379" s="1189"/>
      <c r="AA379" s="1189"/>
      <c r="AB379" s="1189"/>
      <c r="AC379" s="1189"/>
      <c r="AD379" s="1189"/>
      <c r="AE379" s="1189"/>
      <c r="AF379" s="2536">
        <v>2026</v>
      </c>
      <c r="AG379" s="2537" t="s">
        <v>1122</v>
      </c>
      <c r="AH379" s="2537" t="s">
        <v>1169</v>
      </c>
      <c r="AI379" s="2916"/>
      <c r="AJ379" s="2537" t="s">
        <v>1154</v>
      </c>
      <c r="AK379" s="2537" t="s">
        <v>1154</v>
      </c>
      <c r="AL379" s="1996"/>
      <c r="AM379" s="1833"/>
      <c r="AN379" s="1833"/>
      <c r="AO379" s="1833"/>
      <c r="AP379" s="1833"/>
      <c r="AQ379" s="1833"/>
      <c r="AR379" s="1833"/>
      <c r="AS379" s="1833"/>
      <c r="AT379" s="1833"/>
      <c r="AU379" s="1833"/>
      <c r="AV379" s="1833"/>
      <c r="AW379" s="1833"/>
      <c r="AX379" s="1833"/>
      <c r="AY379" s="1833"/>
      <c r="AZ379" s="1833"/>
      <c r="BA379" s="1833"/>
      <c r="BB379" s="1833"/>
      <c r="BC379" s="1833"/>
      <c r="BD379" s="1833"/>
      <c r="BE379" s="1833"/>
      <c r="BF379" s="1833"/>
      <c r="BG379" s="1646"/>
    </row>
    <row customHeight="1" ht="11.25">
      <c r="A380" s="1177" t="s">
        <v>1088</v>
      </c>
      <c r="B380" s="1177"/>
      <c r="C380" s="1177"/>
      <c r="D380" s="1171"/>
      <c r="E380" s="1181"/>
      <c r="F380" s="1839"/>
      <c r="G380" s="1840"/>
      <c r="H380" s="2545" t="s">
        <v>1215</v>
      </c>
      <c r="I380" s="2546"/>
      <c r="J380" s="2911"/>
      <c r="K380" s="2547"/>
      <c r="L380" s="2137"/>
      <c r="M380" s="2138"/>
      <c r="N380" s="2538"/>
      <c r="O380" s="2539">
        <v>1</v>
      </c>
      <c r="P380" s="2540" t="s">
        <v>63</v>
      </c>
      <c r="Q380" s="2913" t="s">
        <v>616</v>
      </c>
      <c r="R380" s="2914" t="s">
        <v>1124</v>
      </c>
      <c r="S380" s="2914" t="s">
        <v>101</v>
      </c>
      <c r="T380" s="2914" t="s">
        <v>101</v>
      </c>
      <c r="U380" s="2914" t="s">
        <v>102</v>
      </c>
      <c r="V380" s="2914" t="s">
        <v>1125</v>
      </c>
      <c r="W380" s="2914" t="s">
        <v>1126</v>
      </c>
      <c r="X380" s="2914" t="s">
        <v>1194</v>
      </c>
      <c r="Y380" s="2914" t="s">
        <v>1195</v>
      </c>
      <c r="Z380" s="1186"/>
      <c r="AA380" s="1187"/>
      <c r="AB380" s="1187"/>
      <c r="AC380" s="1191"/>
      <c r="AD380" s="1191"/>
      <c r="AE380" s="1192"/>
      <c r="AF380" s="2536"/>
      <c r="AG380" s="2537"/>
      <c r="AH380" s="2537"/>
      <c r="AI380" s="2916"/>
      <c r="AJ380" s="2537"/>
      <c r="AK380" s="2537"/>
      <c r="AL380" s="1996"/>
      <c r="AM380" s="1833"/>
      <c r="AN380" s="1833"/>
      <c r="AO380" s="1833"/>
      <c r="AP380" s="1833"/>
      <c r="AQ380" s="1833"/>
      <c r="AR380" s="1833"/>
      <c r="AS380" s="1833"/>
      <c r="AT380" s="1833"/>
      <c r="AU380" s="1833"/>
      <c r="AV380" s="1833"/>
      <c r="AW380" s="1833"/>
      <c r="AX380" s="1833"/>
      <c r="AY380" s="1833"/>
      <c r="AZ380" s="1833"/>
      <c r="BA380" s="1833"/>
      <c r="BB380" s="1833"/>
      <c r="BC380" s="1833"/>
      <c r="BD380" s="1833"/>
      <c r="BE380" s="1833"/>
      <c r="BF380" s="1833"/>
      <c r="BG380" s="1646"/>
    </row>
    <row customHeight="1" ht="11.25">
      <c r="A381" s="1177" t="s">
        <v>1088</v>
      </c>
      <c r="B381" s="1177"/>
      <c r="C381" s="1177"/>
      <c r="D381" s="1171"/>
      <c r="E381" s="1181"/>
      <c r="F381" s="1839"/>
      <c r="G381" s="1840"/>
      <c r="H381" s="2545" t="s">
        <v>1215</v>
      </c>
      <c r="I381" s="2546"/>
      <c r="J381" s="2911"/>
      <c r="K381" s="2547"/>
      <c r="L381" s="2137"/>
      <c r="M381" s="2138"/>
      <c r="N381" s="2538"/>
      <c r="O381" s="2539"/>
      <c r="P381" s="2541"/>
      <c r="Q381" s="2913"/>
      <c r="R381" s="2543"/>
      <c r="S381" s="2544"/>
      <c r="T381" s="2543"/>
      <c r="U381" s="2543"/>
      <c r="V381" s="2543"/>
      <c r="W381" s="2543"/>
      <c r="X381" s="2543"/>
      <c r="Y381" s="2543"/>
      <c r="Z381" s="1838"/>
      <c r="AA381" s="1804">
        <v>1</v>
      </c>
      <c r="AB381" s="1190" t="s">
        <v>1159</v>
      </c>
      <c r="AC381" s="1180">
        <v>308.60925</v>
      </c>
      <c r="AD381" s="1190" t="str">
        <f>AB381</f>
        <v>      Прочие амортизационные отчисления</v>
      </c>
      <c r="AE381" s="1180">
        <v>0</v>
      </c>
      <c r="AF381" s="2536"/>
      <c r="AG381" s="2537"/>
      <c r="AH381" s="2537"/>
      <c r="AI381" s="2916"/>
      <c r="AJ381" s="2537"/>
      <c r="AK381" s="2537"/>
      <c r="AL381" s="1996"/>
      <c r="AM381" s="1833"/>
      <c r="AN381" s="1833"/>
      <c r="AO381" s="1833"/>
      <c r="AP381" s="1833"/>
      <c r="AQ381" s="1833"/>
      <c r="AR381" s="1833"/>
      <c r="AS381" s="1833"/>
      <c r="AT381" s="1833"/>
      <c r="AU381" s="1833"/>
      <c r="AV381" s="1833"/>
      <c r="AW381" s="1833"/>
      <c r="AX381" s="1833"/>
      <c r="AY381" s="1833"/>
      <c r="AZ381" s="1833"/>
      <c r="BA381" s="1833"/>
      <c r="BB381" s="1833"/>
      <c r="BC381" s="1833"/>
      <c r="BD381" s="1833"/>
      <c r="BE381" s="1833"/>
      <c r="BF381" s="1833"/>
      <c r="BG381" s="1646"/>
    </row>
    <row customHeight="1" ht="11.25">
      <c r="A382" s="1177" t="s">
        <v>1088</v>
      </c>
      <c r="B382" s="1177"/>
      <c r="C382" s="1177"/>
      <c r="D382" s="1171"/>
      <c r="E382" s="1181"/>
      <c r="F382" s="1839"/>
      <c r="G382" s="1840"/>
      <c r="H382" s="2545" t="s">
        <v>1215</v>
      </c>
      <c r="I382" s="2546"/>
      <c r="J382" s="2911"/>
      <c r="K382" s="2547"/>
      <c r="L382" s="2137"/>
      <c r="M382" s="2138"/>
      <c r="N382" s="2538"/>
      <c r="O382" s="2539"/>
      <c r="P382" s="2542"/>
      <c r="Q382" s="2913"/>
      <c r="R382" s="2543"/>
      <c r="S382" s="2544"/>
      <c r="T382" s="2543"/>
      <c r="U382" s="2543"/>
      <c r="V382" s="2543"/>
      <c r="W382" s="2543"/>
      <c r="X382" s="2543"/>
      <c r="Y382" s="2543"/>
      <c r="Z382" s="1186"/>
      <c r="AA382" s="1187"/>
      <c r="AB382" s="1252" t="s">
        <v>1130</v>
      </c>
      <c r="AC382" s="1191"/>
      <c r="AD382" s="1191"/>
      <c r="AE382" s="1193"/>
      <c r="AF382" s="2536"/>
      <c r="AG382" s="2537"/>
      <c r="AH382" s="2537"/>
      <c r="AI382" s="2916"/>
      <c r="AJ382" s="2537"/>
      <c r="AK382" s="2537"/>
      <c r="AL382" s="1996"/>
      <c r="AM382" s="1833"/>
      <c r="AN382" s="1833"/>
      <c r="AO382" s="1833"/>
      <c r="AP382" s="1833"/>
      <c r="AQ382" s="1833"/>
      <c r="AR382" s="1833"/>
      <c r="AS382" s="1833"/>
      <c r="AT382" s="1833"/>
      <c r="AU382" s="1833"/>
      <c r="AV382" s="1833"/>
      <c r="AW382" s="1833"/>
      <c r="AX382" s="1833"/>
      <c r="AY382" s="1833"/>
      <c r="AZ382" s="1833"/>
      <c r="BA382" s="1833"/>
      <c r="BB382" s="1833"/>
      <c r="BC382" s="1833"/>
      <c r="BD382" s="1833"/>
      <c r="BE382" s="1833"/>
      <c r="BF382" s="1833"/>
      <c r="BG382" s="1646"/>
    </row>
    <row customHeight="1" ht="11.25">
      <c r="A383" s="1177" t="s">
        <v>1088</v>
      </c>
      <c r="B383" s="1177"/>
      <c r="C383" s="1177"/>
      <c r="D383" s="1171"/>
      <c r="E383" s="1181"/>
      <c r="F383" s="1839"/>
      <c r="G383" s="1840"/>
      <c r="H383" s="2545" t="s">
        <v>1215</v>
      </c>
      <c r="I383" s="2546"/>
      <c r="J383" s="2911"/>
      <c r="K383" s="2547"/>
      <c r="L383" s="2137"/>
      <c r="M383" s="2138"/>
      <c r="N383" s="1186"/>
      <c r="O383" s="1187"/>
      <c r="P383" s="1179" t="s">
        <v>1131</v>
      </c>
      <c r="Q383" s="1187"/>
      <c r="R383" s="1187"/>
      <c r="S383" s="1187"/>
      <c r="T383" s="1187"/>
      <c r="U383" s="1187"/>
      <c r="V383" s="1187"/>
      <c r="W383" s="1187"/>
      <c r="X383" s="1187"/>
      <c r="Y383" s="1187"/>
      <c r="Z383" s="1187"/>
      <c r="AA383" s="1187"/>
      <c r="AB383" s="1187"/>
      <c r="AC383" s="1187"/>
      <c r="AD383" s="1187"/>
      <c r="AE383" s="1194"/>
      <c r="AF383" s="2536"/>
      <c r="AG383" s="2537"/>
      <c r="AH383" s="2537"/>
      <c r="AI383" s="2916"/>
      <c r="AJ383" s="2537"/>
      <c r="AK383" s="2537"/>
      <c r="AL383" s="1996"/>
      <c r="AM383" s="1833"/>
      <c r="AN383" s="1833"/>
      <c r="AO383" s="1833"/>
      <c r="AP383" s="1833"/>
      <c r="AQ383" s="1833"/>
      <c r="AR383" s="1833"/>
      <c r="AS383" s="1833"/>
      <c r="AT383" s="1833"/>
      <c r="AU383" s="1833"/>
      <c r="AV383" s="1833"/>
      <c r="AW383" s="1833"/>
      <c r="AX383" s="1833"/>
      <c r="AY383" s="1833"/>
      <c r="AZ383" s="1833"/>
      <c r="BA383" s="1833"/>
      <c r="BB383" s="1833"/>
      <c r="BC383" s="1833"/>
      <c r="BD383" s="1833"/>
      <c r="BE383" s="1833"/>
      <c r="BF383" s="1833"/>
      <c r="BG383" s="1646"/>
    </row>
    <row customHeight="1" ht="11.25">
      <c r="A384" s="1177" t="s">
        <v>1088</v>
      </c>
      <c r="B384" s="1177" t="s">
        <v>22</v>
      </c>
      <c r="C384" s="1177"/>
      <c r="D384" s="1171"/>
      <c r="E384" s="1181"/>
      <c r="F384" s="1839"/>
      <c r="G384" s="694" t="s">
        <v>105</v>
      </c>
      <c r="H384" s="2545" t="s">
        <v>1219</v>
      </c>
      <c r="I384" s="2546" t="s">
        <v>1120</v>
      </c>
      <c r="J384" s="2911" t="s">
        <v>22</v>
      </c>
      <c r="K384" s="2547" t="s">
        <v>1207</v>
      </c>
      <c r="L384" s="2137" t="s">
        <v>19</v>
      </c>
      <c r="M384" s="2138"/>
      <c r="N384" s="1994"/>
      <c r="O384" s="1188" t="s">
        <v>390</v>
      </c>
      <c r="P384" s="1189"/>
      <c r="Q384" s="1189"/>
      <c r="R384" s="1189"/>
      <c r="S384" s="1189"/>
      <c r="T384" s="1189"/>
      <c r="U384" s="1189"/>
      <c r="V384" s="1189"/>
      <c r="W384" s="1189"/>
      <c r="X384" s="1189"/>
      <c r="Y384" s="1189"/>
      <c r="Z384" s="1189"/>
      <c r="AA384" s="1189"/>
      <c r="AB384" s="1189"/>
      <c r="AC384" s="1189"/>
      <c r="AD384" s="1189"/>
      <c r="AE384" s="1189"/>
      <c r="AF384" s="2536">
        <v>2026</v>
      </c>
      <c r="AG384" s="2537" t="s">
        <v>1122</v>
      </c>
      <c r="AH384" s="2537" t="s">
        <v>1169</v>
      </c>
      <c r="AI384" s="2916"/>
      <c r="AJ384" s="2537" t="s">
        <v>1154</v>
      </c>
      <c r="AK384" s="2537" t="s">
        <v>1154</v>
      </c>
      <c r="AL384" s="1996"/>
      <c r="AM384" s="1833"/>
      <c r="AN384" s="1833"/>
      <c r="AO384" s="1833"/>
      <c r="AP384" s="1833"/>
      <c r="AQ384" s="1833"/>
      <c r="AR384" s="1833"/>
      <c r="AS384" s="1833"/>
      <c r="AT384" s="1833"/>
      <c r="AU384" s="1833"/>
      <c r="AV384" s="1833"/>
      <c r="AW384" s="1833"/>
      <c r="AX384" s="1833"/>
      <c r="AY384" s="1833"/>
      <c r="AZ384" s="1833"/>
      <c r="BA384" s="1833"/>
      <c r="BB384" s="1833"/>
      <c r="BC384" s="1833"/>
      <c r="BD384" s="1833"/>
      <c r="BE384" s="1833"/>
      <c r="BF384" s="1833"/>
      <c r="BG384" s="1646"/>
    </row>
    <row customHeight="1" ht="11.25">
      <c r="A385" s="1177" t="s">
        <v>1088</v>
      </c>
      <c r="B385" s="1177"/>
      <c r="C385" s="1177"/>
      <c r="D385" s="1171"/>
      <c r="E385" s="1181"/>
      <c r="F385" s="1839"/>
      <c r="G385" s="1840"/>
      <c r="H385" s="2545" t="s">
        <v>1217</v>
      </c>
      <c r="I385" s="2546"/>
      <c r="J385" s="2911"/>
      <c r="K385" s="2547"/>
      <c r="L385" s="2137"/>
      <c r="M385" s="2138"/>
      <c r="N385" s="2538"/>
      <c r="O385" s="2539">
        <v>1</v>
      </c>
      <c r="P385" s="2540" t="s">
        <v>63</v>
      </c>
      <c r="Q385" s="2913" t="s">
        <v>633</v>
      </c>
      <c r="R385" s="2914" t="s">
        <v>1124</v>
      </c>
      <c r="S385" s="2914" t="s">
        <v>101</v>
      </c>
      <c r="T385" s="2914" t="s">
        <v>101</v>
      </c>
      <c r="U385" s="2914" t="s">
        <v>102</v>
      </c>
      <c r="V385" s="2914" t="s">
        <v>1125</v>
      </c>
      <c r="W385" s="2914" t="s">
        <v>1126</v>
      </c>
      <c r="X385" s="2914" t="s">
        <v>1170</v>
      </c>
      <c r="Y385" s="2914" t="s">
        <v>1171</v>
      </c>
      <c r="Z385" s="1186"/>
      <c r="AA385" s="1187"/>
      <c r="AB385" s="1187"/>
      <c r="AC385" s="1191"/>
      <c r="AD385" s="1191"/>
      <c r="AE385" s="1192"/>
      <c r="AF385" s="2536"/>
      <c r="AG385" s="2537"/>
      <c r="AH385" s="2537"/>
      <c r="AI385" s="2916"/>
      <c r="AJ385" s="2537"/>
      <c r="AK385" s="2537"/>
      <c r="AL385" s="1996"/>
      <c r="AM385" s="1833"/>
      <c r="AN385" s="1833"/>
      <c r="AO385" s="1833"/>
      <c r="AP385" s="1833"/>
      <c r="AQ385" s="1833"/>
      <c r="AR385" s="1833"/>
      <c r="AS385" s="1833"/>
      <c r="AT385" s="1833"/>
      <c r="AU385" s="1833"/>
      <c r="AV385" s="1833"/>
      <c r="AW385" s="1833"/>
      <c r="AX385" s="1833"/>
      <c r="AY385" s="1833"/>
      <c r="AZ385" s="1833"/>
      <c r="BA385" s="1833"/>
      <c r="BB385" s="1833"/>
      <c r="BC385" s="1833"/>
      <c r="BD385" s="1833"/>
      <c r="BE385" s="1833"/>
      <c r="BF385" s="1833"/>
      <c r="BG385" s="1646"/>
    </row>
    <row customHeight="1" ht="11.25">
      <c r="A386" s="1177" t="s">
        <v>1088</v>
      </c>
      <c r="B386" s="1177"/>
      <c r="C386" s="1177"/>
      <c r="D386" s="1171"/>
      <c r="E386" s="1181"/>
      <c r="F386" s="1839"/>
      <c r="G386" s="1840"/>
      <c r="H386" s="2545" t="s">
        <v>1217</v>
      </c>
      <c r="I386" s="2546"/>
      <c r="J386" s="2911"/>
      <c r="K386" s="2547"/>
      <c r="L386" s="2137"/>
      <c r="M386" s="2138"/>
      <c r="N386" s="2538"/>
      <c r="O386" s="2539"/>
      <c r="P386" s="2541"/>
      <c r="Q386" s="2913"/>
      <c r="R386" s="2543"/>
      <c r="S386" s="2544"/>
      <c r="T386" s="2543"/>
      <c r="U386" s="2543"/>
      <c r="V386" s="2543"/>
      <c r="W386" s="2543"/>
      <c r="X386" s="2543"/>
      <c r="Y386" s="2543"/>
      <c r="Z386" s="1838"/>
      <c r="AA386" s="1804">
        <v>1</v>
      </c>
      <c r="AB386" s="1190" t="s">
        <v>1234</v>
      </c>
      <c r="AC386" s="1180">
        <v>4701.21</v>
      </c>
      <c r="AD386" s="1190" t="str">
        <f>AB386</f>
        <v>  Прочие</v>
      </c>
      <c r="AE386" s="1180">
        <v>0</v>
      </c>
      <c r="AF386" s="2536"/>
      <c r="AG386" s="2537"/>
      <c r="AH386" s="2537"/>
      <c r="AI386" s="2916"/>
      <c r="AJ386" s="2537"/>
      <c r="AK386" s="2537"/>
      <c r="AL386" s="1996"/>
      <c r="AM386" s="1833"/>
      <c r="AN386" s="1833"/>
      <c r="AO386" s="1833"/>
      <c r="AP386" s="1833"/>
      <c r="AQ386" s="1833"/>
      <c r="AR386" s="1833"/>
      <c r="AS386" s="1833"/>
      <c r="AT386" s="1833"/>
      <c r="AU386" s="1833"/>
      <c r="AV386" s="1833"/>
      <c r="AW386" s="1833"/>
      <c r="AX386" s="1833"/>
      <c r="AY386" s="1833"/>
      <c r="AZ386" s="1833"/>
      <c r="BA386" s="1833"/>
      <c r="BB386" s="1833"/>
      <c r="BC386" s="1833"/>
      <c r="BD386" s="1833"/>
      <c r="BE386" s="1833"/>
      <c r="BF386" s="1833"/>
      <c r="BG386" s="1646"/>
    </row>
    <row customHeight="1" ht="11.25">
      <c r="A387" s="1177" t="s">
        <v>1088</v>
      </c>
      <c r="B387" s="1177"/>
      <c r="C387" s="1177"/>
      <c r="D387" s="1171"/>
      <c r="E387" s="1181"/>
      <c r="F387" s="1839"/>
      <c r="G387" s="1840"/>
      <c r="H387" s="2545" t="s">
        <v>1217</v>
      </c>
      <c r="I387" s="2546"/>
      <c r="J387" s="2911"/>
      <c r="K387" s="2547"/>
      <c r="L387" s="2137"/>
      <c r="M387" s="2138"/>
      <c r="N387" s="2538"/>
      <c r="O387" s="2539"/>
      <c r="P387" s="2542"/>
      <c r="Q387" s="2913"/>
      <c r="R387" s="2543"/>
      <c r="S387" s="2544"/>
      <c r="T387" s="2543"/>
      <c r="U387" s="2543"/>
      <c r="V387" s="2543"/>
      <c r="W387" s="2543"/>
      <c r="X387" s="2543"/>
      <c r="Y387" s="2543"/>
      <c r="Z387" s="1186"/>
      <c r="AA387" s="1187"/>
      <c r="AB387" s="1252" t="s">
        <v>1130</v>
      </c>
      <c r="AC387" s="1191"/>
      <c r="AD387" s="1191"/>
      <c r="AE387" s="1193"/>
      <c r="AF387" s="2536"/>
      <c r="AG387" s="2537"/>
      <c r="AH387" s="2537"/>
      <c r="AI387" s="2916"/>
      <c r="AJ387" s="2537"/>
      <c r="AK387" s="2537"/>
      <c r="AL387" s="1996"/>
      <c r="AM387" s="1833"/>
      <c r="AN387" s="1833"/>
      <c r="AO387" s="1833"/>
      <c r="AP387" s="1833"/>
      <c r="AQ387" s="1833"/>
      <c r="AR387" s="1833"/>
      <c r="AS387" s="1833"/>
      <c r="AT387" s="1833"/>
      <c r="AU387" s="1833"/>
      <c r="AV387" s="1833"/>
      <c r="AW387" s="1833"/>
      <c r="AX387" s="1833"/>
      <c r="AY387" s="1833"/>
      <c r="AZ387" s="1833"/>
      <c r="BA387" s="1833"/>
      <c r="BB387" s="1833"/>
      <c r="BC387" s="1833"/>
      <c r="BD387" s="1833"/>
      <c r="BE387" s="1833"/>
      <c r="BF387" s="1833"/>
      <c r="BG387" s="1646"/>
    </row>
    <row customHeight="1" ht="11.25">
      <c r="A388" s="1177" t="s">
        <v>1088</v>
      </c>
      <c r="B388" s="1177"/>
      <c r="C388" s="1177"/>
      <c r="D388" s="1171"/>
      <c r="E388" s="1181"/>
      <c r="F388" s="1839"/>
      <c r="G388" s="1840"/>
      <c r="H388" s="2545" t="s">
        <v>1217</v>
      </c>
      <c r="I388" s="2546"/>
      <c r="J388" s="2911"/>
      <c r="K388" s="2547"/>
      <c r="L388" s="2137"/>
      <c r="M388" s="2138"/>
      <c r="N388" s="1186"/>
      <c r="O388" s="1187"/>
      <c r="P388" s="1179" t="s">
        <v>1131</v>
      </c>
      <c r="Q388" s="1187"/>
      <c r="R388" s="1187"/>
      <c r="S388" s="1187"/>
      <c r="T388" s="1187"/>
      <c r="U388" s="1187"/>
      <c r="V388" s="1187"/>
      <c r="W388" s="1187"/>
      <c r="X388" s="1187"/>
      <c r="Y388" s="1187"/>
      <c r="Z388" s="1187"/>
      <c r="AA388" s="1187"/>
      <c r="AB388" s="1187"/>
      <c r="AC388" s="1187"/>
      <c r="AD388" s="1187"/>
      <c r="AE388" s="1194"/>
      <c r="AF388" s="2536"/>
      <c r="AG388" s="2537"/>
      <c r="AH388" s="2537"/>
      <c r="AI388" s="2916"/>
      <c r="AJ388" s="2537"/>
      <c r="AK388" s="2537"/>
      <c r="AL388" s="1996"/>
      <c r="AM388" s="1833"/>
      <c r="AN388" s="1833"/>
      <c r="AO388" s="1833"/>
      <c r="AP388" s="1833"/>
      <c r="AQ388" s="1833"/>
      <c r="AR388" s="1833"/>
      <c r="AS388" s="1833"/>
      <c r="AT388" s="1833"/>
      <c r="AU388" s="1833"/>
      <c r="AV388" s="1833"/>
      <c r="AW388" s="1833"/>
      <c r="AX388" s="1833"/>
      <c r="AY388" s="1833"/>
      <c r="AZ388" s="1833"/>
      <c r="BA388" s="1833"/>
      <c r="BB388" s="1833"/>
      <c r="BC388" s="1833"/>
      <c r="BD388" s="1833"/>
      <c r="BE388" s="1833"/>
      <c r="BF388" s="1833"/>
      <c r="BG388" s="1646"/>
    </row>
    <row customHeight="1" ht="12">
      <c r="A389" s="1177" t="s">
        <v>1088</v>
      </c>
      <c r="B389" s="1177"/>
      <c r="C389" s="1177"/>
      <c r="D389" s="1171"/>
      <c r="E389" s="1181"/>
      <c r="F389" s="2567"/>
      <c r="G389" s="1201"/>
      <c r="H389" s="1201"/>
      <c r="I389" s="2565" t="s">
        <v>1132</v>
      </c>
      <c r="J389" s="2565"/>
      <c r="K389" s="2565"/>
      <c r="L389" s="1184"/>
      <c r="M389" s="1184"/>
      <c r="N389" s="1185"/>
      <c r="O389" s="1185"/>
      <c r="P389" s="1185"/>
      <c r="Q389" s="1185"/>
      <c r="R389" s="1185"/>
      <c r="S389" s="1185"/>
      <c r="T389" s="1185"/>
      <c r="U389" s="1185"/>
      <c r="V389" s="1185"/>
      <c r="W389" s="1185"/>
      <c r="X389" s="1185"/>
      <c r="Y389" s="1185"/>
      <c r="Z389" s="1185"/>
      <c r="AA389" s="1185"/>
      <c r="AB389" s="1185"/>
      <c r="AC389" s="1185"/>
      <c r="AD389" s="1185"/>
      <c r="AE389" s="1185"/>
      <c r="AF389" s="1185"/>
      <c r="AG389" s="1184"/>
      <c r="AH389" s="1184"/>
      <c r="AI389" s="1185"/>
      <c r="AJ389" s="1184"/>
      <c r="AK389" s="1185"/>
      <c r="AL389" s="1996"/>
      <c r="AM389" s="1833"/>
      <c r="AN389" s="1833"/>
      <c r="AO389" s="1833"/>
      <c r="AP389" s="1833"/>
      <c r="AQ389" s="1833"/>
      <c r="AR389" s="1833"/>
      <c r="AS389" s="1833"/>
      <c r="AT389" s="1833"/>
      <c r="AU389" s="1833"/>
      <c r="AV389" s="1833"/>
      <c r="AW389" s="1833"/>
      <c r="AX389" s="1833"/>
      <c r="AY389" s="1833"/>
      <c r="AZ389" s="1833"/>
      <c r="BA389" s="1833"/>
      <c r="BB389" s="1833"/>
      <c r="BC389" s="1833"/>
      <c r="BD389" s="1833"/>
      <c r="BE389" s="1833"/>
      <c r="BF389" s="1833"/>
      <c r="BG389" s="1646"/>
    </row>
    <row customHeight="1" ht="0.75">
      <c r="A390" s="1177" t="s">
        <v>1088</v>
      </c>
      <c r="B390" s="1177"/>
      <c r="C390" s="1177"/>
      <c r="D390" s="1171"/>
      <c r="E390" s="1181"/>
      <c r="F390" s="2566">
        <v>2027</v>
      </c>
      <c r="G390" s="2545"/>
      <c r="H390" s="2570" t="s">
        <v>390</v>
      </c>
      <c r="I390" s="2571"/>
      <c r="J390" s="2572"/>
      <c r="K390" s="2572"/>
      <c r="L390" s="2564"/>
      <c r="M390" s="2298"/>
      <c r="N390" s="2044"/>
      <c r="O390" s="2043"/>
      <c r="P390" s="2044"/>
      <c r="Q390" s="2044"/>
      <c r="R390" s="2044"/>
      <c r="S390" s="2044"/>
      <c r="T390" s="2044"/>
      <c r="U390" s="2044"/>
      <c r="V390" s="2044"/>
      <c r="W390" s="2044"/>
      <c r="X390" s="2044"/>
      <c r="Y390" s="2044"/>
      <c r="Z390" s="2044"/>
      <c r="AA390" s="2044"/>
      <c r="AB390" s="2044"/>
      <c r="AC390" s="2044"/>
      <c r="AD390" s="2044"/>
      <c r="AE390" s="2044"/>
      <c r="AF390" s="2568"/>
      <c r="AG390" s="2564"/>
      <c r="AH390" s="2564"/>
      <c r="AI390" s="2568"/>
      <c r="AJ390" s="2564"/>
      <c r="AK390" s="2564"/>
      <c r="AL390" s="1996"/>
      <c r="AM390" s="1833"/>
      <c r="AN390" s="1833"/>
      <c r="AO390" s="1833"/>
      <c r="AP390" s="1833"/>
      <c r="AQ390" s="1833"/>
      <c r="AR390" s="1833"/>
      <c r="AS390" s="1833"/>
      <c r="AT390" s="1833"/>
      <c r="AU390" s="1833"/>
      <c r="AV390" s="1833"/>
      <c r="AW390" s="1833"/>
      <c r="AX390" s="1833"/>
      <c r="AY390" s="1833"/>
      <c r="AZ390" s="1833"/>
      <c r="BA390" s="1833"/>
      <c r="BB390" s="1833"/>
      <c r="BC390" s="1833"/>
      <c r="BD390" s="1833"/>
      <c r="BE390" s="1833"/>
      <c r="BF390" s="1833"/>
      <c r="BG390" s="1646"/>
    </row>
    <row customHeight="1" ht="0.75">
      <c r="A391" s="1177" t="s">
        <v>1088</v>
      </c>
      <c r="B391" s="1177"/>
      <c r="C391" s="1177"/>
      <c r="D391" s="1171"/>
      <c r="E391" s="1181"/>
      <c r="F391" s="2566"/>
      <c r="G391" s="2545"/>
      <c r="H391" s="2570"/>
      <c r="I391" s="2571"/>
      <c r="J391" s="2572"/>
      <c r="K391" s="2572"/>
      <c r="L391" s="2564"/>
      <c r="M391" s="2298"/>
      <c r="N391" s="2573"/>
      <c r="O391" s="2574"/>
      <c r="P391" s="2618"/>
      <c r="Q391" s="2569"/>
      <c r="R391" s="2569"/>
      <c r="S391" s="2569"/>
      <c r="T391" s="2569"/>
      <c r="U391" s="2569"/>
      <c r="V391" s="2569"/>
      <c r="W391" s="2569"/>
      <c r="X391" s="2569"/>
      <c r="Y391" s="2569"/>
      <c r="Z391" s="2045"/>
      <c r="AA391" s="2046"/>
      <c r="AB391" s="2046"/>
      <c r="AC391" s="2047"/>
      <c r="AD391" s="2047"/>
      <c r="AE391" s="2048"/>
      <c r="AF391" s="2568"/>
      <c r="AG391" s="2564"/>
      <c r="AH391" s="2564"/>
      <c r="AI391" s="2568"/>
      <c r="AJ391" s="2564"/>
      <c r="AK391" s="2564"/>
      <c r="AL391" s="1996"/>
      <c r="AM391" s="1833"/>
      <c r="AN391" s="1833"/>
      <c r="AO391" s="1833"/>
      <c r="AP391" s="1833"/>
      <c r="AQ391" s="1833"/>
      <c r="AR391" s="1833"/>
      <c r="AS391" s="1833"/>
      <c r="AT391" s="1833"/>
      <c r="AU391" s="1833"/>
      <c r="AV391" s="1833"/>
      <c r="AW391" s="1833"/>
      <c r="AX391" s="1833"/>
      <c r="AY391" s="1833"/>
      <c r="AZ391" s="1833"/>
      <c r="BA391" s="1833"/>
      <c r="BB391" s="1833"/>
      <c r="BC391" s="1833"/>
      <c r="BD391" s="1833"/>
      <c r="BE391" s="1833"/>
      <c r="BF391" s="1833"/>
      <c r="BG391" s="1646"/>
    </row>
    <row customHeight="1" ht="0.75">
      <c r="A392" s="1177" t="s">
        <v>1088</v>
      </c>
      <c r="B392" s="1177"/>
      <c r="C392" s="1177"/>
      <c r="D392" s="1171"/>
      <c r="E392" s="1181"/>
      <c r="F392" s="2566"/>
      <c r="G392" s="2545"/>
      <c r="H392" s="2570"/>
      <c r="I392" s="2571"/>
      <c r="J392" s="2572"/>
      <c r="K392" s="2572"/>
      <c r="L392" s="2564"/>
      <c r="M392" s="2298"/>
      <c r="N392" s="2573"/>
      <c r="O392" s="2574"/>
      <c r="P392" s="2619"/>
      <c r="Q392" s="2569"/>
      <c r="R392" s="2569"/>
      <c r="S392" s="2569"/>
      <c r="T392" s="2569"/>
      <c r="U392" s="2569"/>
      <c r="V392" s="2569"/>
      <c r="W392" s="2569"/>
      <c r="X392" s="2569"/>
      <c r="Y392" s="2569"/>
      <c r="Z392" s="2049"/>
      <c r="AA392" s="2050"/>
      <c r="AB392" s="2051"/>
      <c r="AC392" s="2052"/>
      <c r="AD392" s="2051"/>
      <c r="AE392" s="2052"/>
      <c r="AF392" s="2568"/>
      <c r="AG392" s="2564"/>
      <c r="AH392" s="2564"/>
      <c r="AI392" s="2568"/>
      <c r="AJ392" s="2564"/>
      <c r="AK392" s="2564"/>
      <c r="AL392" s="1996"/>
      <c r="AM392" s="1833"/>
      <c r="AN392" s="1833"/>
      <c r="AO392" s="1833"/>
      <c r="AP392" s="1833"/>
      <c r="AQ392" s="1833"/>
      <c r="AR392" s="1833"/>
      <c r="AS392" s="1833"/>
      <c r="AT392" s="1833"/>
      <c r="AU392" s="1833"/>
      <c r="AV392" s="1833"/>
      <c r="AW392" s="1833"/>
      <c r="AX392" s="1833"/>
      <c r="AY392" s="1833"/>
      <c r="AZ392" s="1833"/>
      <c r="BA392" s="1833"/>
      <c r="BB392" s="1833"/>
      <c r="BC392" s="1833"/>
      <c r="BD392" s="1833"/>
      <c r="BE392" s="1833"/>
      <c r="BF392" s="1833"/>
      <c r="BG392" s="1646"/>
    </row>
    <row customHeight="1" ht="0.75">
      <c r="A393" s="1177" t="s">
        <v>1088</v>
      </c>
      <c r="B393" s="1177"/>
      <c r="C393" s="1177"/>
      <c r="D393" s="1171"/>
      <c r="E393" s="1181"/>
      <c r="F393" s="2566"/>
      <c r="G393" s="2545"/>
      <c r="H393" s="2570"/>
      <c r="I393" s="2571"/>
      <c r="J393" s="2572"/>
      <c r="K393" s="2572"/>
      <c r="L393" s="2564"/>
      <c r="M393" s="2298"/>
      <c r="N393" s="2573"/>
      <c r="O393" s="2574"/>
      <c r="P393" s="2620"/>
      <c r="Q393" s="2569"/>
      <c r="R393" s="2569"/>
      <c r="S393" s="2569"/>
      <c r="T393" s="2569"/>
      <c r="U393" s="2569"/>
      <c r="V393" s="2569"/>
      <c r="W393" s="2569"/>
      <c r="X393" s="2569"/>
      <c r="Y393" s="2569"/>
      <c r="Z393" s="2045"/>
      <c r="AA393" s="2046"/>
      <c r="AB393" s="2053"/>
      <c r="AC393" s="2047"/>
      <c r="AD393" s="2047"/>
      <c r="AE393" s="2054"/>
      <c r="AF393" s="2568"/>
      <c r="AG393" s="2564"/>
      <c r="AH393" s="2564"/>
      <c r="AI393" s="2568"/>
      <c r="AJ393" s="2564"/>
      <c r="AK393" s="2564"/>
      <c r="AL393" s="1996"/>
      <c r="AM393" s="1833"/>
      <c r="AN393" s="1833"/>
      <c r="AO393" s="1833"/>
      <c r="AP393" s="1833"/>
      <c r="AQ393" s="1833"/>
      <c r="AR393" s="1833"/>
      <c r="AS393" s="1833"/>
      <c r="AT393" s="1833"/>
      <c r="AU393" s="1833"/>
      <c r="AV393" s="1833"/>
      <c r="AW393" s="1833"/>
      <c r="AX393" s="1833"/>
      <c r="AY393" s="1833"/>
      <c r="AZ393" s="1833"/>
      <c r="BA393" s="1833"/>
      <c r="BB393" s="1833"/>
      <c r="BC393" s="1833"/>
      <c r="BD393" s="1833"/>
      <c r="BE393" s="1833"/>
      <c r="BF393" s="1833"/>
      <c r="BG393" s="1646"/>
    </row>
    <row customHeight="1" ht="0.75">
      <c r="A394" s="1177" t="s">
        <v>1088</v>
      </c>
      <c r="B394" s="1177"/>
      <c r="C394" s="1177"/>
      <c r="D394" s="1171"/>
      <c r="E394" s="1181"/>
      <c r="F394" s="2566"/>
      <c r="G394" s="2545"/>
      <c r="H394" s="2570"/>
      <c r="I394" s="2571"/>
      <c r="J394" s="2572"/>
      <c r="K394" s="2572"/>
      <c r="L394" s="2564"/>
      <c r="M394" s="2298"/>
      <c r="N394" s="2046"/>
      <c r="O394" s="2046"/>
      <c r="P394" s="2053"/>
      <c r="Q394" s="2046"/>
      <c r="R394" s="2046"/>
      <c r="S394" s="2046"/>
      <c r="T394" s="2046"/>
      <c r="U394" s="2046"/>
      <c r="V394" s="2046"/>
      <c r="W394" s="2046"/>
      <c r="X394" s="2046"/>
      <c r="Y394" s="2046"/>
      <c r="Z394" s="2046"/>
      <c r="AA394" s="2046"/>
      <c r="AB394" s="2046"/>
      <c r="AC394" s="2046"/>
      <c r="AD394" s="2046"/>
      <c r="AE394" s="2055"/>
      <c r="AF394" s="2568"/>
      <c r="AG394" s="2564"/>
      <c r="AH394" s="2564"/>
      <c r="AI394" s="2568"/>
      <c r="AJ394" s="2564"/>
      <c r="AK394" s="2564"/>
      <c r="AL394" s="1996"/>
      <c r="AM394" s="1833"/>
      <c r="AN394" s="1833"/>
      <c r="AO394" s="1833"/>
      <c r="AP394" s="1833"/>
      <c r="AQ394" s="1833"/>
      <c r="AR394" s="1833"/>
      <c r="AS394" s="1833"/>
      <c r="AT394" s="1833"/>
      <c r="AU394" s="1833"/>
      <c r="AV394" s="1833"/>
      <c r="AW394" s="1833"/>
      <c r="AX394" s="1833"/>
      <c r="AY394" s="1833"/>
      <c r="AZ394" s="1833"/>
      <c r="BA394" s="1833"/>
      <c r="BB394" s="1833"/>
      <c r="BC394" s="1833"/>
      <c r="BD394" s="1833"/>
      <c r="BE394" s="1833"/>
      <c r="BF394" s="1833"/>
      <c r="BG394" s="1646"/>
    </row>
    <row customHeight="1" ht="11.25">
      <c r="A395" s="1177" t="s">
        <v>1088</v>
      </c>
      <c r="B395" s="1177" t="s">
        <v>1133</v>
      </c>
      <c r="C395" s="1177"/>
      <c r="D395" s="1171"/>
      <c r="E395" s="1181"/>
      <c r="F395" s="1839"/>
      <c r="G395" s="694" t="s">
        <v>105</v>
      </c>
      <c r="H395" s="2545" t="s">
        <v>120</v>
      </c>
      <c r="I395" s="2546" t="s">
        <v>1134</v>
      </c>
      <c r="J395" s="2515" t="s">
        <v>1135</v>
      </c>
      <c r="K395" s="2547" t="s">
        <v>1249</v>
      </c>
      <c r="L395" s="2137" t="s">
        <v>19</v>
      </c>
      <c r="M395" s="2138"/>
      <c r="N395" s="1994"/>
      <c r="O395" s="1188" t="s">
        <v>390</v>
      </c>
      <c r="P395" s="1189"/>
      <c r="Q395" s="1189"/>
      <c r="R395" s="1189"/>
      <c r="S395" s="1189"/>
      <c r="T395" s="1189"/>
      <c r="U395" s="1189"/>
      <c r="V395" s="1189"/>
      <c r="W395" s="1189"/>
      <c r="X395" s="1189"/>
      <c r="Y395" s="1189"/>
      <c r="Z395" s="1189"/>
      <c r="AA395" s="1189"/>
      <c r="AB395" s="1189"/>
      <c r="AC395" s="1189"/>
      <c r="AD395" s="1189"/>
      <c r="AE395" s="1189"/>
      <c r="AF395" s="2536">
        <v>2027</v>
      </c>
      <c r="AG395" s="2537" t="s">
        <v>1122</v>
      </c>
      <c r="AH395" s="2537" t="s">
        <v>1164</v>
      </c>
      <c r="AI395" s="2908"/>
      <c r="AJ395" s="2537" t="s">
        <v>1154</v>
      </c>
      <c r="AK395" s="2537" t="s">
        <v>1154</v>
      </c>
      <c r="AL395" s="1996"/>
      <c r="AM395" s="1833"/>
      <c r="AN395" s="1833"/>
      <c r="AO395" s="1833"/>
      <c r="AP395" s="1833"/>
      <c r="AQ395" s="1833"/>
      <c r="AR395" s="1833"/>
      <c r="AS395" s="1833"/>
      <c r="AT395" s="1833"/>
      <c r="AU395" s="1833"/>
      <c r="AV395" s="1833"/>
      <c r="AW395" s="1833"/>
      <c r="AX395" s="1833"/>
      <c r="AY395" s="1833"/>
      <c r="AZ395" s="1833"/>
      <c r="BA395" s="1833"/>
      <c r="BB395" s="1833"/>
      <c r="BC395" s="1833"/>
      <c r="BD395" s="1833"/>
      <c r="BE395" s="1833"/>
      <c r="BF395" s="1833"/>
      <c r="BG395" s="1646"/>
    </row>
    <row customHeight="1" ht="11.25">
      <c r="A396" s="1177" t="s">
        <v>1088</v>
      </c>
      <c r="B396" s="1177"/>
      <c r="C396" s="1177"/>
      <c r="D396" s="1171"/>
      <c r="E396" s="1181"/>
      <c r="F396" s="1839"/>
      <c r="G396" s="1840"/>
      <c r="H396" s="2545" t="s">
        <v>390</v>
      </c>
      <c r="I396" s="2546"/>
      <c r="J396" s="2515"/>
      <c r="K396" s="2547"/>
      <c r="L396" s="2137"/>
      <c r="M396" s="2138"/>
      <c r="N396" s="2538"/>
      <c r="O396" s="2539">
        <v>1</v>
      </c>
      <c r="P396" s="2540" t="s">
        <v>19</v>
      </c>
      <c r="Q396" s="2543" t="s">
        <v>22</v>
      </c>
      <c r="R396" s="2543" t="s">
        <v>22</v>
      </c>
      <c r="S396" s="2543" t="s">
        <v>22</v>
      </c>
      <c r="T396" s="2543" t="s">
        <v>22</v>
      </c>
      <c r="U396" s="2543" t="s">
        <v>22</v>
      </c>
      <c r="V396" s="2543" t="s">
        <v>22</v>
      </c>
      <c r="W396" s="2543" t="s">
        <v>22</v>
      </c>
      <c r="X396" s="2543" t="s">
        <v>22</v>
      </c>
      <c r="Y396" s="2543"/>
      <c r="Z396" s="1186"/>
      <c r="AA396" s="1187"/>
      <c r="AB396" s="1187"/>
      <c r="AC396" s="1191"/>
      <c r="AD396" s="1191"/>
      <c r="AE396" s="1192"/>
      <c r="AF396" s="2536"/>
      <c r="AG396" s="2537"/>
      <c r="AH396" s="2537"/>
      <c r="AI396" s="2908"/>
      <c r="AJ396" s="2537"/>
      <c r="AK396" s="2537"/>
      <c r="AL396" s="1996"/>
      <c r="AM396" s="1833"/>
      <c r="AN396" s="1833"/>
      <c r="AO396" s="1833"/>
      <c r="AP396" s="1833"/>
      <c r="AQ396" s="1833"/>
      <c r="AR396" s="1833"/>
      <c r="AS396" s="1833"/>
      <c r="AT396" s="1833"/>
      <c r="AU396" s="1833"/>
      <c r="AV396" s="1833"/>
      <c r="AW396" s="1833"/>
      <c r="AX396" s="1833"/>
      <c r="AY396" s="1833"/>
      <c r="AZ396" s="1833"/>
      <c r="BA396" s="1833"/>
      <c r="BB396" s="1833"/>
      <c r="BC396" s="1833"/>
      <c r="BD396" s="1833"/>
      <c r="BE396" s="1833"/>
      <c r="BF396" s="1833"/>
      <c r="BG396" s="1646"/>
    </row>
    <row customHeight="1" ht="11.25">
      <c r="A397" s="1177" t="s">
        <v>1088</v>
      </c>
      <c r="B397" s="1177"/>
      <c r="C397" s="1177"/>
      <c r="D397" s="1171"/>
      <c r="E397" s="1181"/>
      <c r="F397" s="1839"/>
      <c r="G397" s="1840"/>
      <c r="H397" s="2545" t="s">
        <v>390</v>
      </c>
      <c r="I397" s="2546"/>
      <c r="J397" s="2515"/>
      <c r="K397" s="2547"/>
      <c r="L397" s="2137"/>
      <c r="M397" s="2138"/>
      <c r="N397" s="2538"/>
      <c r="O397" s="2539"/>
      <c r="P397" s="2541"/>
      <c r="Q397" s="2543"/>
      <c r="R397" s="2543"/>
      <c r="S397" s="2544"/>
      <c r="T397" s="2543"/>
      <c r="U397" s="2543"/>
      <c r="V397" s="2543"/>
      <c r="W397" s="2543"/>
      <c r="X397" s="2543"/>
      <c r="Y397" s="2543"/>
      <c r="Z397" s="1838"/>
      <c r="AA397" s="1804">
        <v>1</v>
      </c>
      <c r="AB397" s="1190" t="s">
        <v>1139</v>
      </c>
      <c r="AC397" s="1180">
        <v>2158.86</v>
      </c>
      <c r="AD397" s="1190" t="str">
        <f>AB397</f>
        <v>  За счет платы за технологическое присоединение</v>
      </c>
      <c r="AE397" s="1180">
        <v>0</v>
      </c>
      <c r="AF397" s="2536"/>
      <c r="AG397" s="2537"/>
      <c r="AH397" s="2537"/>
      <c r="AI397" s="2908"/>
      <c r="AJ397" s="2537"/>
      <c r="AK397" s="2537"/>
      <c r="AL397" s="1996"/>
      <c r="AM397" s="1833"/>
      <c r="AN397" s="1833"/>
      <c r="AO397" s="1833"/>
      <c r="AP397" s="1833"/>
      <c r="AQ397" s="1833"/>
      <c r="AR397" s="1833"/>
      <c r="AS397" s="1833"/>
      <c r="AT397" s="1833"/>
      <c r="AU397" s="1833"/>
      <c r="AV397" s="1833"/>
      <c r="AW397" s="1833"/>
      <c r="AX397" s="1833"/>
      <c r="AY397" s="1833"/>
      <c r="AZ397" s="1833"/>
      <c r="BA397" s="1833"/>
      <c r="BB397" s="1833"/>
      <c r="BC397" s="1833"/>
      <c r="BD397" s="1833"/>
      <c r="BE397" s="1833"/>
      <c r="BF397" s="1833"/>
      <c r="BG397" s="1646"/>
    </row>
    <row customHeight="1" ht="11.25">
      <c r="A398" s="1177" t="s">
        <v>1088</v>
      </c>
      <c r="B398" s="1177"/>
      <c r="C398" s="1177"/>
      <c r="D398" s="1171"/>
      <c r="E398" s="1181"/>
      <c r="F398" s="1839"/>
      <c r="G398" s="1840"/>
      <c r="H398" s="2545" t="s">
        <v>390</v>
      </c>
      <c r="I398" s="2546"/>
      <c r="J398" s="2515"/>
      <c r="K398" s="2547"/>
      <c r="L398" s="2137"/>
      <c r="M398" s="2138"/>
      <c r="N398" s="2538"/>
      <c r="O398" s="2539"/>
      <c r="P398" s="2542"/>
      <c r="Q398" s="2543"/>
      <c r="R398" s="2543"/>
      <c r="S398" s="2544"/>
      <c r="T398" s="2543"/>
      <c r="U398" s="2543"/>
      <c r="V398" s="2543"/>
      <c r="W398" s="2543"/>
      <c r="X398" s="2543"/>
      <c r="Y398" s="2543"/>
      <c r="Z398" s="1186"/>
      <c r="AA398" s="1187"/>
      <c r="AB398" s="1252" t="s">
        <v>1130</v>
      </c>
      <c r="AC398" s="1191"/>
      <c r="AD398" s="1191"/>
      <c r="AE398" s="1193"/>
      <c r="AF398" s="2536"/>
      <c r="AG398" s="2537"/>
      <c r="AH398" s="2537"/>
      <c r="AI398" s="2908"/>
      <c r="AJ398" s="2537"/>
      <c r="AK398" s="2537"/>
      <c r="AL398" s="1996"/>
      <c r="AM398" s="1833"/>
      <c r="AN398" s="1833"/>
      <c r="AO398" s="1833"/>
      <c r="AP398" s="1833"/>
      <c r="AQ398" s="1833"/>
      <c r="AR398" s="1833"/>
      <c r="AS398" s="1833"/>
      <c r="AT398" s="1833"/>
      <c r="AU398" s="1833"/>
      <c r="AV398" s="1833"/>
      <c r="AW398" s="1833"/>
      <c r="AX398" s="1833"/>
      <c r="AY398" s="1833"/>
      <c r="AZ398" s="1833"/>
      <c r="BA398" s="1833"/>
      <c r="BB398" s="1833"/>
      <c r="BC398" s="1833"/>
      <c r="BD398" s="1833"/>
      <c r="BE398" s="1833"/>
      <c r="BF398" s="1833"/>
      <c r="BG398" s="1646"/>
    </row>
    <row customHeight="1" ht="11.25">
      <c r="A399" s="1177" t="s">
        <v>1088</v>
      </c>
      <c r="B399" s="1177"/>
      <c r="C399" s="1177"/>
      <c r="D399" s="1171"/>
      <c r="E399" s="1181"/>
      <c r="F399" s="1839"/>
      <c r="G399" s="1840"/>
      <c r="H399" s="2545" t="s">
        <v>390</v>
      </c>
      <c r="I399" s="2546"/>
      <c r="J399" s="2515"/>
      <c r="K399" s="2547"/>
      <c r="L399" s="2137"/>
      <c r="M399" s="2138"/>
      <c r="N399" s="1186"/>
      <c r="O399" s="1187"/>
      <c r="P399" s="1179" t="s">
        <v>1131</v>
      </c>
      <c r="Q399" s="1187"/>
      <c r="R399" s="1187"/>
      <c r="S399" s="1187"/>
      <c r="T399" s="1187"/>
      <c r="U399" s="1187"/>
      <c r="V399" s="1187"/>
      <c r="W399" s="1187"/>
      <c r="X399" s="1187"/>
      <c r="Y399" s="1187"/>
      <c r="Z399" s="1187"/>
      <c r="AA399" s="1187"/>
      <c r="AB399" s="1187"/>
      <c r="AC399" s="1187"/>
      <c r="AD399" s="1187"/>
      <c r="AE399" s="1194"/>
      <c r="AF399" s="2536"/>
      <c r="AG399" s="2537"/>
      <c r="AH399" s="2537"/>
      <c r="AI399" s="2908"/>
      <c r="AJ399" s="2537"/>
      <c r="AK399" s="2537"/>
      <c r="AL399" s="1996"/>
      <c r="AM399" s="1833"/>
      <c r="AN399" s="1833"/>
      <c r="AO399" s="1833"/>
      <c r="AP399" s="1833"/>
      <c r="AQ399" s="1833"/>
      <c r="AR399" s="1833"/>
      <c r="AS399" s="1833"/>
      <c r="AT399" s="1833"/>
      <c r="AU399" s="1833"/>
      <c r="AV399" s="1833"/>
      <c r="AW399" s="1833"/>
      <c r="AX399" s="1833"/>
      <c r="AY399" s="1833"/>
      <c r="AZ399" s="1833"/>
      <c r="BA399" s="1833"/>
      <c r="BB399" s="1833"/>
      <c r="BC399" s="1833"/>
      <c r="BD399" s="1833"/>
      <c r="BE399" s="1833"/>
      <c r="BF399" s="1833"/>
      <c r="BG399" s="1646"/>
    </row>
    <row customHeight="1" ht="11.25">
      <c r="A400" s="1177" t="s">
        <v>1088</v>
      </c>
      <c r="B400" s="1177" t="s">
        <v>1133</v>
      </c>
      <c r="C400" s="1177"/>
      <c r="D400" s="1171"/>
      <c r="E400" s="1181"/>
      <c r="F400" s="1839"/>
      <c r="G400" s="694" t="s">
        <v>105</v>
      </c>
      <c r="H400" s="2545" t="s">
        <v>104</v>
      </c>
      <c r="I400" s="2546" t="s">
        <v>1134</v>
      </c>
      <c r="J400" s="2515" t="s">
        <v>1135</v>
      </c>
      <c r="K400" s="2547" t="s">
        <v>1250</v>
      </c>
      <c r="L400" s="2137" t="s">
        <v>19</v>
      </c>
      <c r="M400" s="2138"/>
      <c r="N400" s="1994"/>
      <c r="O400" s="1188" t="s">
        <v>390</v>
      </c>
      <c r="P400" s="1189"/>
      <c r="Q400" s="1189"/>
      <c r="R400" s="1189"/>
      <c r="S400" s="1189"/>
      <c r="T400" s="1189"/>
      <c r="U400" s="1189"/>
      <c r="V400" s="1189"/>
      <c r="W400" s="1189"/>
      <c r="X400" s="1189"/>
      <c r="Y400" s="1189"/>
      <c r="Z400" s="1189"/>
      <c r="AA400" s="1189"/>
      <c r="AB400" s="1189"/>
      <c r="AC400" s="1189"/>
      <c r="AD400" s="1189"/>
      <c r="AE400" s="1189"/>
      <c r="AF400" s="2536">
        <v>2027</v>
      </c>
      <c r="AG400" s="2537" t="s">
        <v>1122</v>
      </c>
      <c r="AH400" s="2537" t="s">
        <v>1164</v>
      </c>
      <c r="AI400" s="2908"/>
      <c r="AJ400" s="2537" t="s">
        <v>1154</v>
      </c>
      <c r="AK400" s="2537" t="s">
        <v>1154</v>
      </c>
      <c r="AL400" s="1996"/>
      <c r="AM400" s="1833"/>
      <c r="AN400" s="1833"/>
      <c r="AO400" s="1833"/>
      <c r="AP400" s="1833"/>
      <c r="AQ400" s="1833"/>
      <c r="AR400" s="1833"/>
      <c r="AS400" s="1833"/>
      <c r="AT400" s="1833"/>
      <c r="AU400" s="1833"/>
      <c r="AV400" s="1833"/>
      <c r="AW400" s="1833"/>
      <c r="AX400" s="1833"/>
      <c r="AY400" s="1833"/>
      <c r="AZ400" s="1833"/>
      <c r="BA400" s="1833"/>
      <c r="BB400" s="1833"/>
      <c r="BC400" s="1833"/>
      <c r="BD400" s="1833"/>
      <c r="BE400" s="1833"/>
      <c r="BF400" s="1833"/>
      <c r="BG400" s="1646"/>
    </row>
    <row customHeight="1" ht="11.25">
      <c r="A401" s="1177" t="s">
        <v>1088</v>
      </c>
      <c r="B401" s="1177"/>
      <c r="C401" s="1177"/>
      <c r="D401" s="1171"/>
      <c r="E401" s="1181"/>
      <c r="F401" s="1839"/>
      <c r="G401" s="1840"/>
      <c r="H401" s="2545" t="s">
        <v>120</v>
      </c>
      <c r="I401" s="2546"/>
      <c r="J401" s="2515"/>
      <c r="K401" s="2547"/>
      <c r="L401" s="2137"/>
      <c r="M401" s="2138"/>
      <c r="N401" s="2538"/>
      <c r="O401" s="2539">
        <v>1</v>
      </c>
      <c r="P401" s="2540" t="s">
        <v>19</v>
      </c>
      <c r="Q401" s="2543" t="s">
        <v>22</v>
      </c>
      <c r="R401" s="2543" t="s">
        <v>22</v>
      </c>
      <c r="S401" s="2543" t="s">
        <v>22</v>
      </c>
      <c r="T401" s="2543" t="s">
        <v>22</v>
      </c>
      <c r="U401" s="2543" t="s">
        <v>22</v>
      </c>
      <c r="V401" s="2543" t="s">
        <v>22</v>
      </c>
      <c r="W401" s="2543" t="s">
        <v>22</v>
      </c>
      <c r="X401" s="2543" t="s">
        <v>22</v>
      </c>
      <c r="Y401" s="2543"/>
      <c r="Z401" s="1186"/>
      <c r="AA401" s="1187"/>
      <c r="AB401" s="1187"/>
      <c r="AC401" s="1191"/>
      <c r="AD401" s="1191"/>
      <c r="AE401" s="1192"/>
      <c r="AF401" s="2536"/>
      <c r="AG401" s="2537"/>
      <c r="AH401" s="2537"/>
      <c r="AI401" s="2908"/>
      <c r="AJ401" s="2537"/>
      <c r="AK401" s="2537"/>
      <c r="AL401" s="1996"/>
      <c r="AM401" s="1833"/>
      <c r="AN401" s="1833"/>
      <c r="AO401" s="1833"/>
      <c r="AP401" s="1833"/>
      <c r="AQ401" s="1833"/>
      <c r="AR401" s="1833"/>
      <c r="AS401" s="1833"/>
      <c r="AT401" s="1833"/>
      <c r="AU401" s="1833"/>
      <c r="AV401" s="1833"/>
      <c r="AW401" s="1833"/>
      <c r="AX401" s="1833"/>
      <c r="AY401" s="1833"/>
      <c r="AZ401" s="1833"/>
      <c r="BA401" s="1833"/>
      <c r="BB401" s="1833"/>
      <c r="BC401" s="1833"/>
      <c r="BD401" s="1833"/>
      <c r="BE401" s="1833"/>
      <c r="BF401" s="1833"/>
      <c r="BG401" s="1646"/>
    </row>
    <row customHeight="1" ht="11.25">
      <c r="A402" s="1177" t="s">
        <v>1088</v>
      </c>
      <c r="B402" s="1177"/>
      <c r="C402" s="1177"/>
      <c r="D402" s="1171"/>
      <c r="E402" s="1181"/>
      <c r="F402" s="1839"/>
      <c r="G402" s="1840"/>
      <c r="H402" s="2545" t="s">
        <v>120</v>
      </c>
      <c r="I402" s="2546"/>
      <c r="J402" s="2515"/>
      <c r="K402" s="2547"/>
      <c r="L402" s="2137"/>
      <c r="M402" s="2138"/>
      <c r="N402" s="2538"/>
      <c r="O402" s="2539"/>
      <c r="P402" s="2541"/>
      <c r="Q402" s="2543"/>
      <c r="R402" s="2543"/>
      <c r="S402" s="2544"/>
      <c r="T402" s="2543"/>
      <c r="U402" s="2543"/>
      <c r="V402" s="2543"/>
      <c r="W402" s="2543"/>
      <c r="X402" s="2543"/>
      <c r="Y402" s="2543"/>
      <c r="Z402" s="1838"/>
      <c r="AA402" s="1804">
        <v>1</v>
      </c>
      <c r="AB402" s="1190" t="s">
        <v>1139</v>
      </c>
      <c r="AC402" s="1180">
        <v>5689.3</v>
      </c>
      <c r="AD402" s="1190" t="str">
        <f>AB402</f>
        <v>  За счет платы за технологическое присоединение</v>
      </c>
      <c r="AE402" s="1180">
        <v>0</v>
      </c>
      <c r="AF402" s="2536"/>
      <c r="AG402" s="2537"/>
      <c r="AH402" s="2537"/>
      <c r="AI402" s="2908"/>
      <c r="AJ402" s="2537"/>
      <c r="AK402" s="2537"/>
      <c r="AL402" s="1996"/>
      <c r="AM402" s="1833"/>
      <c r="AN402" s="1833"/>
      <c r="AO402" s="1833"/>
      <c r="AP402" s="1833"/>
      <c r="AQ402" s="1833"/>
      <c r="AR402" s="1833"/>
      <c r="AS402" s="1833"/>
      <c r="AT402" s="1833"/>
      <c r="AU402" s="1833"/>
      <c r="AV402" s="1833"/>
      <c r="AW402" s="1833"/>
      <c r="AX402" s="1833"/>
      <c r="AY402" s="1833"/>
      <c r="AZ402" s="1833"/>
      <c r="BA402" s="1833"/>
      <c r="BB402" s="1833"/>
      <c r="BC402" s="1833"/>
      <c r="BD402" s="1833"/>
      <c r="BE402" s="1833"/>
      <c r="BF402" s="1833"/>
      <c r="BG402" s="1646"/>
    </row>
    <row customHeight="1" ht="11.25">
      <c r="A403" s="1177" t="s">
        <v>1088</v>
      </c>
      <c r="B403" s="1177"/>
      <c r="C403" s="1177"/>
      <c r="D403" s="1171"/>
      <c r="E403" s="1181"/>
      <c r="F403" s="1839"/>
      <c r="G403" s="1840"/>
      <c r="H403" s="2545" t="s">
        <v>120</v>
      </c>
      <c r="I403" s="2546"/>
      <c r="J403" s="2515"/>
      <c r="K403" s="2547"/>
      <c r="L403" s="2137"/>
      <c r="M403" s="2138"/>
      <c r="N403" s="2538"/>
      <c r="O403" s="2539"/>
      <c r="P403" s="2542"/>
      <c r="Q403" s="2543"/>
      <c r="R403" s="2543"/>
      <c r="S403" s="2544"/>
      <c r="T403" s="2543"/>
      <c r="U403" s="2543"/>
      <c r="V403" s="2543"/>
      <c r="W403" s="2543"/>
      <c r="X403" s="2543"/>
      <c r="Y403" s="2543"/>
      <c r="Z403" s="1186"/>
      <c r="AA403" s="1187"/>
      <c r="AB403" s="1252" t="s">
        <v>1130</v>
      </c>
      <c r="AC403" s="1191"/>
      <c r="AD403" s="1191"/>
      <c r="AE403" s="1193"/>
      <c r="AF403" s="2536"/>
      <c r="AG403" s="2537"/>
      <c r="AH403" s="2537"/>
      <c r="AI403" s="2908"/>
      <c r="AJ403" s="2537"/>
      <c r="AK403" s="2537"/>
      <c r="AL403" s="1996"/>
      <c r="AM403" s="1833"/>
      <c r="AN403" s="1833"/>
      <c r="AO403" s="1833"/>
      <c r="AP403" s="1833"/>
      <c r="AQ403" s="1833"/>
      <c r="AR403" s="1833"/>
      <c r="AS403" s="1833"/>
      <c r="AT403" s="1833"/>
      <c r="AU403" s="1833"/>
      <c r="AV403" s="1833"/>
      <c r="AW403" s="1833"/>
      <c r="AX403" s="1833"/>
      <c r="AY403" s="1833"/>
      <c r="AZ403" s="1833"/>
      <c r="BA403" s="1833"/>
      <c r="BB403" s="1833"/>
      <c r="BC403" s="1833"/>
      <c r="BD403" s="1833"/>
      <c r="BE403" s="1833"/>
      <c r="BF403" s="1833"/>
      <c r="BG403" s="1646"/>
    </row>
    <row customHeight="1" ht="11.25">
      <c r="A404" s="1177" t="s">
        <v>1088</v>
      </c>
      <c r="B404" s="1177"/>
      <c r="C404" s="1177"/>
      <c r="D404" s="1171"/>
      <c r="E404" s="1181"/>
      <c r="F404" s="1839"/>
      <c r="G404" s="1840"/>
      <c r="H404" s="2545" t="s">
        <v>120</v>
      </c>
      <c r="I404" s="2546"/>
      <c r="J404" s="2515"/>
      <c r="K404" s="2547"/>
      <c r="L404" s="2137"/>
      <c r="M404" s="2138"/>
      <c r="N404" s="1186"/>
      <c r="O404" s="1187"/>
      <c r="P404" s="1179" t="s">
        <v>1131</v>
      </c>
      <c r="Q404" s="1187"/>
      <c r="R404" s="1187"/>
      <c r="S404" s="1187"/>
      <c r="T404" s="1187"/>
      <c r="U404" s="1187"/>
      <c r="V404" s="1187"/>
      <c r="W404" s="1187"/>
      <c r="X404" s="1187"/>
      <c r="Y404" s="1187"/>
      <c r="Z404" s="1187"/>
      <c r="AA404" s="1187"/>
      <c r="AB404" s="1187"/>
      <c r="AC404" s="1187"/>
      <c r="AD404" s="1187"/>
      <c r="AE404" s="1194"/>
      <c r="AF404" s="2536"/>
      <c r="AG404" s="2537"/>
      <c r="AH404" s="2537"/>
      <c r="AI404" s="2908"/>
      <c r="AJ404" s="2537"/>
      <c r="AK404" s="2537"/>
      <c r="AL404" s="1996"/>
      <c r="AM404" s="1833"/>
      <c r="AN404" s="1833"/>
      <c r="AO404" s="1833"/>
      <c r="AP404" s="1833"/>
      <c r="AQ404" s="1833"/>
      <c r="AR404" s="1833"/>
      <c r="AS404" s="1833"/>
      <c r="AT404" s="1833"/>
      <c r="AU404" s="1833"/>
      <c r="AV404" s="1833"/>
      <c r="AW404" s="1833"/>
      <c r="AX404" s="1833"/>
      <c r="AY404" s="1833"/>
      <c r="AZ404" s="1833"/>
      <c r="BA404" s="1833"/>
      <c r="BB404" s="1833"/>
      <c r="BC404" s="1833"/>
      <c r="BD404" s="1833"/>
      <c r="BE404" s="1833"/>
      <c r="BF404" s="1833"/>
      <c r="BG404" s="1646"/>
    </row>
    <row customHeight="1" ht="11.25">
      <c r="A405" s="1177" t="s">
        <v>1088</v>
      </c>
      <c r="B405" s="1177" t="s">
        <v>1133</v>
      </c>
      <c r="C405" s="1177"/>
      <c r="D405" s="1171"/>
      <c r="E405" s="1181"/>
      <c r="F405" s="1839"/>
      <c r="G405" s="694" t="s">
        <v>105</v>
      </c>
      <c r="H405" s="2545" t="s">
        <v>91</v>
      </c>
      <c r="I405" s="2546" t="s">
        <v>1134</v>
      </c>
      <c r="J405" s="2515" t="s">
        <v>1135</v>
      </c>
      <c r="K405" s="2547" t="s">
        <v>1152</v>
      </c>
      <c r="L405" s="2137" t="s">
        <v>19</v>
      </c>
      <c r="M405" s="2138"/>
      <c r="N405" s="1994"/>
      <c r="O405" s="1188" t="s">
        <v>390</v>
      </c>
      <c r="P405" s="1189"/>
      <c r="Q405" s="1189"/>
      <c r="R405" s="1189"/>
      <c r="S405" s="1189"/>
      <c r="T405" s="1189"/>
      <c r="U405" s="1189"/>
      <c r="V405" s="1189"/>
      <c r="W405" s="1189"/>
      <c r="X405" s="1189"/>
      <c r="Y405" s="1189"/>
      <c r="Z405" s="1189"/>
      <c r="AA405" s="1189"/>
      <c r="AB405" s="1189"/>
      <c r="AC405" s="1189"/>
      <c r="AD405" s="1189"/>
      <c r="AE405" s="1189"/>
      <c r="AF405" s="2536">
        <v>2028</v>
      </c>
      <c r="AG405" s="2537" t="s">
        <v>1122</v>
      </c>
      <c r="AH405" s="2537" t="s">
        <v>1153</v>
      </c>
      <c r="AI405" s="2916"/>
      <c r="AJ405" s="2537" t="s">
        <v>1154</v>
      </c>
      <c r="AK405" s="2537" t="s">
        <v>1154</v>
      </c>
      <c r="AL405" s="1996"/>
      <c r="AM405" s="1833"/>
      <c r="AN405" s="1833"/>
      <c r="AO405" s="1833"/>
      <c r="AP405" s="1833"/>
      <c r="AQ405" s="1833"/>
      <c r="AR405" s="1833"/>
      <c r="AS405" s="1833"/>
      <c r="AT405" s="1833"/>
      <c r="AU405" s="1833"/>
      <c r="AV405" s="1833"/>
      <c r="AW405" s="1833"/>
      <c r="AX405" s="1833"/>
      <c r="AY405" s="1833"/>
      <c r="AZ405" s="1833"/>
      <c r="BA405" s="1833"/>
      <c r="BB405" s="1833"/>
      <c r="BC405" s="1833"/>
      <c r="BD405" s="1833"/>
      <c r="BE405" s="1833"/>
      <c r="BF405" s="1833"/>
      <c r="BG405" s="1646"/>
    </row>
    <row customHeight="1" ht="11.25">
      <c r="A406" s="1177" t="s">
        <v>1088</v>
      </c>
      <c r="B406" s="1177"/>
      <c r="C406" s="1177"/>
      <c r="D406" s="1171"/>
      <c r="E406" s="1181"/>
      <c r="F406" s="1839"/>
      <c r="G406" s="1840"/>
      <c r="H406" s="2545" t="s">
        <v>104</v>
      </c>
      <c r="I406" s="2546"/>
      <c r="J406" s="2515"/>
      <c r="K406" s="2547"/>
      <c r="L406" s="2137"/>
      <c r="M406" s="2138"/>
      <c r="N406" s="2538"/>
      <c r="O406" s="2539">
        <v>1</v>
      </c>
      <c r="P406" s="2540" t="s">
        <v>19</v>
      </c>
      <c r="Q406" s="2543" t="s">
        <v>22</v>
      </c>
      <c r="R406" s="2543" t="s">
        <v>22</v>
      </c>
      <c r="S406" s="2543" t="s">
        <v>22</v>
      </c>
      <c r="T406" s="2543" t="s">
        <v>22</v>
      </c>
      <c r="U406" s="2543" t="s">
        <v>22</v>
      </c>
      <c r="V406" s="2543" t="s">
        <v>22</v>
      </c>
      <c r="W406" s="2543" t="s">
        <v>22</v>
      </c>
      <c r="X406" s="2543" t="s">
        <v>22</v>
      </c>
      <c r="Y406" s="2543"/>
      <c r="Z406" s="1186"/>
      <c r="AA406" s="1187"/>
      <c r="AB406" s="1187"/>
      <c r="AC406" s="1191"/>
      <c r="AD406" s="1191"/>
      <c r="AE406" s="1192"/>
      <c r="AF406" s="2536"/>
      <c r="AG406" s="2537"/>
      <c r="AH406" s="2537"/>
      <c r="AI406" s="2916"/>
      <c r="AJ406" s="2537"/>
      <c r="AK406" s="2537"/>
      <c r="AL406" s="1996"/>
      <c r="AM406" s="1833"/>
      <c r="AN406" s="1833"/>
      <c r="AO406" s="1833"/>
      <c r="AP406" s="1833"/>
      <c r="AQ406" s="1833"/>
      <c r="AR406" s="1833"/>
      <c r="AS406" s="1833"/>
      <c r="AT406" s="1833"/>
      <c r="AU406" s="1833"/>
      <c r="AV406" s="1833"/>
      <c r="AW406" s="1833"/>
      <c r="AX406" s="1833"/>
      <c r="AY406" s="1833"/>
      <c r="AZ406" s="1833"/>
      <c r="BA406" s="1833"/>
      <c r="BB406" s="1833"/>
      <c r="BC406" s="1833"/>
      <c r="BD406" s="1833"/>
      <c r="BE406" s="1833"/>
      <c r="BF406" s="1833"/>
      <c r="BG406" s="1646"/>
    </row>
    <row customHeight="1" ht="11.25">
      <c r="A407" s="1177" t="s">
        <v>1088</v>
      </c>
      <c r="B407" s="1177"/>
      <c r="C407" s="1177"/>
      <c r="D407" s="1171"/>
      <c r="E407" s="1181"/>
      <c r="F407" s="1839"/>
      <c r="G407" s="1840"/>
      <c r="H407" s="2545" t="s">
        <v>104</v>
      </c>
      <c r="I407" s="2546"/>
      <c r="J407" s="2515"/>
      <c r="K407" s="2547"/>
      <c r="L407" s="2137"/>
      <c r="M407" s="2138"/>
      <c r="N407" s="2538"/>
      <c r="O407" s="2539"/>
      <c r="P407" s="2541"/>
      <c r="Q407" s="2543"/>
      <c r="R407" s="2543"/>
      <c r="S407" s="2544"/>
      <c r="T407" s="2543"/>
      <c r="U407" s="2543"/>
      <c r="V407" s="2543"/>
      <c r="W407" s="2543"/>
      <c r="X407" s="2543"/>
      <c r="Y407" s="2543"/>
      <c r="Z407" s="1838"/>
      <c r="AA407" s="1804">
        <v>1</v>
      </c>
      <c r="AB407" s="1190" t="s">
        <v>1139</v>
      </c>
      <c r="AC407" s="1180">
        <v>15363.55</v>
      </c>
      <c r="AD407" s="1190" t="str">
        <f>AB407</f>
        <v>  За счет платы за технологическое присоединение</v>
      </c>
      <c r="AE407" s="1180">
        <v>0</v>
      </c>
      <c r="AF407" s="2536"/>
      <c r="AG407" s="2537"/>
      <c r="AH407" s="2537"/>
      <c r="AI407" s="2916"/>
      <c r="AJ407" s="2537"/>
      <c r="AK407" s="2537"/>
      <c r="AL407" s="1996"/>
      <c r="AM407" s="1833"/>
      <c r="AN407" s="1833"/>
      <c r="AO407" s="1833"/>
      <c r="AP407" s="1833"/>
      <c r="AQ407" s="1833"/>
      <c r="AR407" s="1833"/>
      <c r="AS407" s="1833"/>
      <c r="AT407" s="1833"/>
      <c r="AU407" s="1833"/>
      <c r="AV407" s="1833"/>
      <c r="AW407" s="1833"/>
      <c r="AX407" s="1833"/>
      <c r="AY407" s="1833"/>
      <c r="AZ407" s="1833"/>
      <c r="BA407" s="1833"/>
      <c r="BB407" s="1833"/>
      <c r="BC407" s="1833"/>
      <c r="BD407" s="1833"/>
      <c r="BE407" s="1833"/>
      <c r="BF407" s="1833"/>
      <c r="BG407" s="1646"/>
    </row>
    <row customHeight="1" ht="11.25">
      <c r="A408" s="1177" t="s">
        <v>1088</v>
      </c>
      <c r="B408" s="1177"/>
      <c r="C408" s="1177"/>
      <c r="D408" s="1171"/>
      <c r="E408" s="1181"/>
      <c r="F408" s="1839"/>
      <c r="G408" s="1840"/>
      <c r="H408" s="2545" t="s">
        <v>104</v>
      </c>
      <c r="I408" s="2546"/>
      <c r="J408" s="2515"/>
      <c r="K408" s="2547"/>
      <c r="L408" s="2137"/>
      <c r="M408" s="2138"/>
      <c r="N408" s="2538"/>
      <c r="O408" s="2539"/>
      <c r="P408" s="2542"/>
      <c r="Q408" s="2543"/>
      <c r="R408" s="2543"/>
      <c r="S408" s="2544"/>
      <c r="T408" s="2543"/>
      <c r="U408" s="2543"/>
      <c r="V408" s="2543"/>
      <c r="W408" s="2543"/>
      <c r="X408" s="2543"/>
      <c r="Y408" s="2543"/>
      <c r="Z408" s="1186"/>
      <c r="AA408" s="1187"/>
      <c r="AB408" s="1252" t="s">
        <v>1130</v>
      </c>
      <c r="AC408" s="1191"/>
      <c r="AD408" s="1191"/>
      <c r="AE408" s="1193"/>
      <c r="AF408" s="2536"/>
      <c r="AG408" s="2537"/>
      <c r="AH408" s="2537"/>
      <c r="AI408" s="2916"/>
      <c r="AJ408" s="2537"/>
      <c r="AK408" s="2537"/>
      <c r="AL408" s="1996"/>
      <c r="AM408" s="1833"/>
      <c r="AN408" s="1833"/>
      <c r="AO408" s="1833"/>
      <c r="AP408" s="1833"/>
      <c r="AQ408" s="1833"/>
      <c r="AR408" s="1833"/>
      <c r="AS408" s="1833"/>
      <c r="AT408" s="1833"/>
      <c r="AU408" s="1833"/>
      <c r="AV408" s="1833"/>
      <c r="AW408" s="1833"/>
      <c r="AX408" s="1833"/>
      <c r="AY408" s="1833"/>
      <c r="AZ408" s="1833"/>
      <c r="BA408" s="1833"/>
      <c r="BB408" s="1833"/>
      <c r="BC408" s="1833"/>
      <c r="BD408" s="1833"/>
      <c r="BE408" s="1833"/>
      <c r="BF408" s="1833"/>
      <c r="BG408" s="1646"/>
    </row>
    <row customHeight="1" ht="11.25">
      <c r="A409" s="1177" t="s">
        <v>1088</v>
      </c>
      <c r="B409" s="1177"/>
      <c r="C409" s="1177"/>
      <c r="D409" s="1171"/>
      <c r="E409" s="1181"/>
      <c r="F409" s="1839"/>
      <c r="G409" s="1840"/>
      <c r="H409" s="2545" t="s">
        <v>104</v>
      </c>
      <c r="I409" s="2546"/>
      <c r="J409" s="2515"/>
      <c r="K409" s="2547"/>
      <c r="L409" s="2137"/>
      <c r="M409" s="2138"/>
      <c r="N409" s="1186"/>
      <c r="O409" s="1187"/>
      <c r="P409" s="1179" t="s">
        <v>1131</v>
      </c>
      <c r="Q409" s="1187"/>
      <c r="R409" s="1187"/>
      <c r="S409" s="1187"/>
      <c r="T409" s="1187"/>
      <c r="U409" s="1187"/>
      <c r="V409" s="1187"/>
      <c r="W409" s="1187"/>
      <c r="X409" s="1187"/>
      <c r="Y409" s="1187"/>
      <c r="Z409" s="1187"/>
      <c r="AA409" s="1187"/>
      <c r="AB409" s="1187"/>
      <c r="AC409" s="1187"/>
      <c r="AD409" s="1187"/>
      <c r="AE409" s="1194"/>
      <c r="AF409" s="2536"/>
      <c r="AG409" s="2537"/>
      <c r="AH409" s="2537"/>
      <c r="AI409" s="2916"/>
      <c r="AJ409" s="2537"/>
      <c r="AK409" s="2537"/>
      <c r="AL409" s="1996"/>
      <c r="AM409" s="1833"/>
      <c r="AN409" s="1833"/>
      <c r="AO409" s="1833"/>
      <c r="AP409" s="1833"/>
      <c r="AQ409" s="1833"/>
      <c r="AR409" s="1833"/>
      <c r="AS409" s="1833"/>
      <c r="AT409" s="1833"/>
      <c r="AU409" s="1833"/>
      <c r="AV409" s="1833"/>
      <c r="AW409" s="1833"/>
      <c r="AX409" s="1833"/>
      <c r="AY409" s="1833"/>
      <c r="AZ409" s="1833"/>
      <c r="BA409" s="1833"/>
      <c r="BB409" s="1833"/>
      <c r="BC409" s="1833"/>
      <c r="BD409" s="1833"/>
      <c r="BE409" s="1833"/>
      <c r="BF409" s="1833"/>
      <c r="BG409" s="1646"/>
    </row>
    <row customHeight="1" ht="11.25">
      <c r="A410" s="1177" t="s">
        <v>1088</v>
      </c>
      <c r="B410" s="1177" t="s">
        <v>1133</v>
      </c>
      <c r="C410" s="1177"/>
      <c r="D410" s="1171"/>
      <c r="E410" s="1181"/>
      <c r="F410" s="1839"/>
      <c r="G410" s="694" t="s">
        <v>105</v>
      </c>
      <c r="H410" s="2545" t="s">
        <v>92</v>
      </c>
      <c r="I410" s="2546" t="s">
        <v>1134</v>
      </c>
      <c r="J410" s="2515" t="s">
        <v>1251</v>
      </c>
      <c r="K410" s="2547" t="s">
        <v>1252</v>
      </c>
      <c r="L410" s="2137" t="s">
        <v>19</v>
      </c>
      <c r="M410" s="2138"/>
      <c r="N410" s="1994"/>
      <c r="O410" s="1188" t="s">
        <v>390</v>
      </c>
      <c r="P410" s="1189"/>
      <c r="Q410" s="1189"/>
      <c r="R410" s="1189"/>
      <c r="S410" s="1189"/>
      <c r="T410" s="1189"/>
      <c r="U410" s="1189"/>
      <c r="V410" s="1189"/>
      <c r="W410" s="1189"/>
      <c r="X410" s="1189"/>
      <c r="Y410" s="1189"/>
      <c r="Z410" s="1189"/>
      <c r="AA410" s="1189"/>
      <c r="AB410" s="1189"/>
      <c r="AC410" s="1189"/>
      <c r="AD410" s="1189"/>
      <c r="AE410" s="1189"/>
      <c r="AF410" s="2536">
        <v>2028</v>
      </c>
      <c r="AG410" s="2537" t="s">
        <v>1122</v>
      </c>
      <c r="AH410" s="2537" t="s">
        <v>1153</v>
      </c>
      <c r="AI410" s="2916"/>
      <c r="AJ410" s="2537" t="s">
        <v>1154</v>
      </c>
      <c r="AK410" s="2537" t="s">
        <v>1154</v>
      </c>
      <c r="AL410" s="1996"/>
      <c r="AM410" s="1833"/>
      <c r="AN410" s="1833"/>
      <c r="AO410" s="1833"/>
      <c r="AP410" s="1833"/>
      <c r="AQ410" s="1833"/>
      <c r="AR410" s="1833"/>
      <c r="AS410" s="1833"/>
      <c r="AT410" s="1833"/>
      <c r="AU410" s="1833"/>
      <c r="AV410" s="1833"/>
      <c r="AW410" s="1833"/>
      <c r="AX410" s="1833"/>
      <c r="AY410" s="1833"/>
      <c r="AZ410" s="1833"/>
      <c r="BA410" s="1833"/>
      <c r="BB410" s="1833"/>
      <c r="BC410" s="1833"/>
      <c r="BD410" s="1833"/>
      <c r="BE410" s="1833"/>
      <c r="BF410" s="1833"/>
      <c r="BG410" s="1646"/>
    </row>
    <row customHeight="1" ht="11.25">
      <c r="A411" s="1177" t="s">
        <v>1088</v>
      </c>
      <c r="B411" s="1177"/>
      <c r="C411" s="1177"/>
      <c r="D411" s="1171"/>
      <c r="E411" s="1181"/>
      <c r="F411" s="1839"/>
      <c r="G411" s="1840"/>
      <c r="H411" s="2545" t="s">
        <v>91</v>
      </c>
      <c r="I411" s="2546"/>
      <c r="J411" s="2515"/>
      <c r="K411" s="2547"/>
      <c r="L411" s="2137"/>
      <c r="M411" s="2138"/>
      <c r="N411" s="2538"/>
      <c r="O411" s="2539">
        <v>1</v>
      </c>
      <c r="P411" s="2540" t="s">
        <v>19</v>
      </c>
      <c r="Q411" s="2543" t="s">
        <v>22</v>
      </c>
      <c r="R411" s="2543" t="s">
        <v>22</v>
      </c>
      <c r="S411" s="2543" t="s">
        <v>22</v>
      </c>
      <c r="T411" s="2543" t="s">
        <v>22</v>
      </c>
      <c r="U411" s="2543" t="s">
        <v>22</v>
      </c>
      <c r="V411" s="2543" t="s">
        <v>22</v>
      </c>
      <c r="W411" s="2543" t="s">
        <v>22</v>
      </c>
      <c r="X411" s="2543" t="s">
        <v>22</v>
      </c>
      <c r="Y411" s="2543"/>
      <c r="Z411" s="1186"/>
      <c r="AA411" s="1187"/>
      <c r="AB411" s="1187"/>
      <c r="AC411" s="1191"/>
      <c r="AD411" s="1191"/>
      <c r="AE411" s="1192"/>
      <c r="AF411" s="2536"/>
      <c r="AG411" s="2537"/>
      <c r="AH411" s="2537"/>
      <c r="AI411" s="2916"/>
      <c r="AJ411" s="2537"/>
      <c r="AK411" s="2537"/>
      <c r="AL411" s="1996"/>
      <c r="AM411" s="1833"/>
      <c r="AN411" s="1833"/>
      <c r="AO411" s="1833"/>
      <c r="AP411" s="1833"/>
      <c r="AQ411" s="1833"/>
      <c r="AR411" s="1833"/>
      <c r="AS411" s="1833"/>
      <c r="AT411" s="1833"/>
      <c r="AU411" s="1833"/>
      <c r="AV411" s="1833"/>
      <c r="AW411" s="1833"/>
      <c r="AX411" s="1833"/>
      <c r="AY411" s="1833"/>
      <c r="AZ411" s="1833"/>
      <c r="BA411" s="1833"/>
      <c r="BB411" s="1833"/>
      <c r="BC411" s="1833"/>
      <c r="BD411" s="1833"/>
      <c r="BE411" s="1833"/>
      <c r="BF411" s="1833"/>
      <c r="BG411" s="1646"/>
    </row>
    <row customHeight="1" ht="11.25">
      <c r="A412" s="1177" t="s">
        <v>1088</v>
      </c>
      <c r="B412" s="1177"/>
      <c r="C412" s="1177"/>
      <c r="D412" s="1171"/>
      <c r="E412" s="1181"/>
      <c r="F412" s="1839"/>
      <c r="G412" s="1840"/>
      <c r="H412" s="2545" t="s">
        <v>91</v>
      </c>
      <c r="I412" s="2546"/>
      <c r="J412" s="2515"/>
      <c r="K412" s="2547"/>
      <c r="L412" s="2137"/>
      <c r="M412" s="2138"/>
      <c r="N412" s="2538"/>
      <c r="O412" s="2539"/>
      <c r="P412" s="2541"/>
      <c r="Q412" s="2543"/>
      <c r="R412" s="2543"/>
      <c r="S412" s="2544"/>
      <c r="T412" s="2543"/>
      <c r="U412" s="2543"/>
      <c r="V412" s="2543"/>
      <c r="W412" s="2543"/>
      <c r="X412" s="2543"/>
      <c r="Y412" s="2543"/>
      <c r="Z412" s="1838"/>
      <c r="AA412" s="1804">
        <v>1</v>
      </c>
      <c r="AB412" s="1190" t="s">
        <v>1234</v>
      </c>
      <c r="AC412" s="1180">
        <v>21710</v>
      </c>
      <c r="AD412" s="1190" t="str">
        <f>AB412</f>
        <v>  Прочие</v>
      </c>
      <c r="AE412" s="1180">
        <v>0</v>
      </c>
      <c r="AF412" s="2536"/>
      <c r="AG412" s="2537"/>
      <c r="AH412" s="2537"/>
      <c r="AI412" s="2916"/>
      <c r="AJ412" s="2537"/>
      <c r="AK412" s="2537"/>
      <c r="AL412" s="1996"/>
      <c r="AM412" s="1833"/>
      <c r="AN412" s="1833"/>
      <c r="AO412" s="1833"/>
      <c r="AP412" s="1833"/>
      <c r="AQ412" s="1833"/>
      <c r="AR412" s="1833"/>
      <c r="AS412" s="1833"/>
      <c r="AT412" s="1833"/>
      <c r="AU412" s="1833"/>
      <c r="AV412" s="1833"/>
      <c r="AW412" s="1833"/>
      <c r="AX412" s="1833"/>
      <c r="AY412" s="1833"/>
      <c r="AZ412" s="1833"/>
      <c r="BA412" s="1833"/>
      <c r="BB412" s="1833"/>
      <c r="BC412" s="1833"/>
      <c r="BD412" s="1833"/>
      <c r="BE412" s="1833"/>
      <c r="BF412" s="1833"/>
      <c r="BG412" s="1646"/>
    </row>
    <row customHeight="1" ht="11.25">
      <c r="A413" s="1177" t="s">
        <v>1088</v>
      </c>
      <c r="B413" s="1177"/>
      <c r="C413" s="1177"/>
      <c r="D413" s="1171"/>
      <c r="E413" s="1181"/>
      <c r="F413" s="1839"/>
      <c r="G413" s="1840"/>
      <c r="H413" s="2545" t="s">
        <v>91</v>
      </c>
      <c r="I413" s="2546"/>
      <c r="J413" s="2515"/>
      <c r="K413" s="2547"/>
      <c r="L413" s="2137"/>
      <c r="M413" s="2138"/>
      <c r="N413" s="2538"/>
      <c r="O413" s="2539"/>
      <c r="P413" s="2542"/>
      <c r="Q413" s="2543"/>
      <c r="R413" s="2543"/>
      <c r="S413" s="2544"/>
      <c r="T413" s="2543"/>
      <c r="U413" s="2543"/>
      <c r="V413" s="2543"/>
      <c r="W413" s="2543"/>
      <c r="X413" s="2543"/>
      <c r="Y413" s="2543"/>
      <c r="Z413" s="1186"/>
      <c r="AA413" s="1187"/>
      <c r="AB413" s="1252" t="s">
        <v>1130</v>
      </c>
      <c r="AC413" s="1191"/>
      <c r="AD413" s="1191"/>
      <c r="AE413" s="1193"/>
      <c r="AF413" s="2536"/>
      <c r="AG413" s="2537"/>
      <c r="AH413" s="2537"/>
      <c r="AI413" s="2916"/>
      <c r="AJ413" s="2537"/>
      <c r="AK413" s="2537"/>
      <c r="AL413" s="1996"/>
      <c r="AM413" s="1833"/>
      <c r="AN413" s="1833"/>
      <c r="AO413" s="1833"/>
      <c r="AP413" s="1833"/>
      <c r="AQ413" s="1833"/>
      <c r="AR413" s="1833"/>
      <c r="AS413" s="1833"/>
      <c r="AT413" s="1833"/>
      <c r="AU413" s="1833"/>
      <c r="AV413" s="1833"/>
      <c r="AW413" s="1833"/>
      <c r="AX413" s="1833"/>
      <c r="AY413" s="1833"/>
      <c r="AZ413" s="1833"/>
      <c r="BA413" s="1833"/>
      <c r="BB413" s="1833"/>
      <c r="BC413" s="1833"/>
      <c r="BD413" s="1833"/>
      <c r="BE413" s="1833"/>
      <c r="BF413" s="1833"/>
      <c r="BG413" s="1646"/>
    </row>
    <row customHeight="1" ht="11.25">
      <c r="A414" s="1177" t="s">
        <v>1088</v>
      </c>
      <c r="B414" s="1177"/>
      <c r="C414" s="1177"/>
      <c r="D414" s="1171"/>
      <c r="E414" s="1181"/>
      <c r="F414" s="1839"/>
      <c r="G414" s="1840"/>
      <c r="H414" s="2545" t="s">
        <v>91</v>
      </c>
      <c r="I414" s="2546"/>
      <c r="J414" s="2515"/>
      <c r="K414" s="2547"/>
      <c r="L414" s="2137"/>
      <c r="M414" s="2138"/>
      <c r="N414" s="1186"/>
      <c r="O414" s="1187"/>
      <c r="P414" s="1179" t="s">
        <v>1131</v>
      </c>
      <c r="Q414" s="1187"/>
      <c r="R414" s="1187"/>
      <c r="S414" s="1187"/>
      <c r="T414" s="1187"/>
      <c r="U414" s="1187"/>
      <c r="V414" s="1187"/>
      <c r="W414" s="1187"/>
      <c r="X414" s="1187"/>
      <c r="Y414" s="1187"/>
      <c r="Z414" s="1187"/>
      <c r="AA414" s="1187"/>
      <c r="AB414" s="1187"/>
      <c r="AC414" s="1187"/>
      <c r="AD414" s="1187"/>
      <c r="AE414" s="1194"/>
      <c r="AF414" s="2536"/>
      <c r="AG414" s="2537"/>
      <c r="AH414" s="2537"/>
      <c r="AI414" s="2916"/>
      <c r="AJ414" s="2537"/>
      <c r="AK414" s="2537"/>
      <c r="AL414" s="1996"/>
      <c r="AM414" s="1833"/>
      <c r="AN414" s="1833"/>
      <c r="AO414" s="1833"/>
      <c r="AP414" s="1833"/>
      <c r="AQ414" s="1833"/>
      <c r="AR414" s="1833"/>
      <c r="AS414" s="1833"/>
      <c r="AT414" s="1833"/>
      <c r="AU414" s="1833"/>
      <c r="AV414" s="1833"/>
      <c r="AW414" s="1833"/>
      <c r="AX414" s="1833"/>
      <c r="AY414" s="1833"/>
      <c r="AZ414" s="1833"/>
      <c r="BA414" s="1833"/>
      <c r="BB414" s="1833"/>
      <c r="BC414" s="1833"/>
      <c r="BD414" s="1833"/>
      <c r="BE414" s="1833"/>
      <c r="BF414" s="1833"/>
      <c r="BG414" s="1646"/>
    </row>
    <row customHeight="1" ht="11.25">
      <c r="A415" s="1177" t="s">
        <v>1088</v>
      </c>
      <c r="B415" s="1177" t="s">
        <v>1155</v>
      </c>
      <c r="C415" s="1177"/>
      <c r="D415" s="1171"/>
      <c r="E415" s="1181"/>
      <c r="F415" s="1839"/>
      <c r="G415" s="694" t="s">
        <v>105</v>
      </c>
      <c r="H415" s="2545" t="s">
        <v>121</v>
      </c>
      <c r="I415" s="2546" t="s">
        <v>1156</v>
      </c>
      <c r="J415" s="2515" t="s">
        <v>1160</v>
      </c>
      <c r="K415" s="2547" t="s">
        <v>1233</v>
      </c>
      <c r="L415" s="2137" t="s">
        <v>19</v>
      </c>
      <c r="M415" s="2138"/>
      <c r="N415" s="1994"/>
      <c r="O415" s="1188" t="s">
        <v>390</v>
      </c>
      <c r="P415" s="1189"/>
      <c r="Q415" s="1189"/>
      <c r="R415" s="1189"/>
      <c r="S415" s="1189"/>
      <c r="T415" s="1189"/>
      <c r="U415" s="1189"/>
      <c r="V415" s="1189"/>
      <c r="W415" s="1189"/>
      <c r="X415" s="1189"/>
      <c r="Y415" s="1189"/>
      <c r="Z415" s="1189"/>
      <c r="AA415" s="1189"/>
      <c r="AB415" s="1189"/>
      <c r="AC415" s="1189"/>
      <c r="AD415" s="1189"/>
      <c r="AE415" s="1189"/>
      <c r="AF415" s="2536">
        <v>2028</v>
      </c>
      <c r="AG415" s="2537" t="s">
        <v>1122</v>
      </c>
      <c r="AH415" s="2537" t="s">
        <v>1153</v>
      </c>
      <c r="AI415" s="2916"/>
      <c r="AJ415" s="2537" t="s">
        <v>1154</v>
      </c>
      <c r="AK415" s="2537" t="s">
        <v>1154</v>
      </c>
      <c r="AL415" s="1996"/>
      <c r="AM415" s="1833"/>
      <c r="AN415" s="1833"/>
      <c r="AO415" s="1833"/>
      <c r="AP415" s="1833"/>
      <c r="AQ415" s="1833"/>
      <c r="AR415" s="1833"/>
      <c r="AS415" s="1833"/>
      <c r="AT415" s="1833"/>
      <c r="AU415" s="1833"/>
      <c r="AV415" s="1833"/>
      <c r="AW415" s="1833"/>
      <c r="AX415" s="1833"/>
      <c r="AY415" s="1833"/>
      <c r="AZ415" s="1833"/>
      <c r="BA415" s="1833"/>
      <c r="BB415" s="1833"/>
      <c r="BC415" s="1833"/>
      <c r="BD415" s="1833"/>
      <c r="BE415" s="1833"/>
      <c r="BF415" s="1833"/>
      <c r="BG415" s="1646"/>
    </row>
    <row customHeight="1" ht="11.25">
      <c r="A416" s="1177" t="s">
        <v>1088</v>
      </c>
      <c r="B416" s="1177"/>
      <c r="C416" s="1177"/>
      <c r="D416" s="1171"/>
      <c r="E416" s="1181"/>
      <c r="F416" s="1839"/>
      <c r="G416" s="1840"/>
      <c r="H416" s="2545" t="s">
        <v>92</v>
      </c>
      <c r="I416" s="2546"/>
      <c r="J416" s="2515"/>
      <c r="K416" s="2547"/>
      <c r="L416" s="2137"/>
      <c r="M416" s="2138"/>
      <c r="N416" s="2538"/>
      <c r="O416" s="2539">
        <v>1</v>
      </c>
      <c r="P416" s="2540" t="s">
        <v>63</v>
      </c>
      <c r="Q416" s="2913" t="s">
        <v>616</v>
      </c>
      <c r="R416" s="2914" t="s">
        <v>1124</v>
      </c>
      <c r="S416" s="2914" t="s">
        <v>101</v>
      </c>
      <c r="T416" s="2914" t="s">
        <v>101</v>
      </c>
      <c r="U416" s="2914" t="s">
        <v>102</v>
      </c>
      <c r="V416" s="2914" t="s">
        <v>1125</v>
      </c>
      <c r="W416" s="2914" t="s">
        <v>1126</v>
      </c>
      <c r="X416" s="2914" t="s">
        <v>1194</v>
      </c>
      <c r="Y416" s="2914" t="s">
        <v>1195</v>
      </c>
      <c r="Z416" s="1186"/>
      <c r="AA416" s="1187"/>
      <c r="AB416" s="1187"/>
      <c r="AC416" s="1191"/>
      <c r="AD416" s="1191"/>
      <c r="AE416" s="1192"/>
      <c r="AF416" s="2536"/>
      <c r="AG416" s="2537"/>
      <c r="AH416" s="2537"/>
      <c r="AI416" s="2916"/>
      <c r="AJ416" s="2537"/>
      <c r="AK416" s="2537"/>
      <c r="AL416" s="1996"/>
      <c r="AM416" s="1833"/>
      <c r="AN416" s="1833"/>
      <c r="AO416" s="1833"/>
      <c r="AP416" s="1833"/>
      <c r="AQ416" s="1833"/>
      <c r="AR416" s="1833"/>
      <c r="AS416" s="1833"/>
      <c r="AT416" s="1833"/>
      <c r="AU416" s="1833"/>
      <c r="AV416" s="1833"/>
      <c r="AW416" s="1833"/>
      <c r="AX416" s="1833"/>
      <c r="AY416" s="1833"/>
      <c r="AZ416" s="1833"/>
      <c r="BA416" s="1833"/>
      <c r="BB416" s="1833"/>
      <c r="BC416" s="1833"/>
      <c r="BD416" s="1833"/>
      <c r="BE416" s="1833"/>
      <c r="BF416" s="1833"/>
      <c r="BG416" s="1646"/>
    </row>
    <row customHeight="1" ht="11.25">
      <c r="A417" s="1177" t="s">
        <v>1088</v>
      </c>
      <c r="B417" s="1177"/>
      <c r="C417" s="1177"/>
      <c r="D417" s="1171"/>
      <c r="E417" s="1181"/>
      <c r="F417" s="1839"/>
      <c r="G417" s="1840"/>
      <c r="H417" s="2545" t="s">
        <v>92</v>
      </c>
      <c r="I417" s="2546"/>
      <c r="J417" s="2515"/>
      <c r="K417" s="2547"/>
      <c r="L417" s="2137"/>
      <c r="M417" s="2138"/>
      <c r="N417" s="2538"/>
      <c r="O417" s="2539"/>
      <c r="P417" s="2541"/>
      <c r="Q417" s="2913"/>
      <c r="R417" s="2543"/>
      <c r="S417" s="2544"/>
      <c r="T417" s="2543"/>
      <c r="U417" s="2543"/>
      <c r="V417" s="2543"/>
      <c r="W417" s="2543"/>
      <c r="X417" s="2543"/>
      <c r="Y417" s="2543"/>
      <c r="Z417" s="1838"/>
      <c r="AA417" s="1804">
        <v>1</v>
      </c>
      <c r="AB417" s="1190" t="s">
        <v>1159</v>
      </c>
      <c r="AC417" s="1180">
        <v>5903.87</v>
      </c>
      <c r="AD417" s="1190" t="str">
        <f>AB417</f>
        <v>      Прочие амортизационные отчисления</v>
      </c>
      <c r="AE417" s="1180">
        <v>0</v>
      </c>
      <c r="AF417" s="2536"/>
      <c r="AG417" s="2537"/>
      <c r="AH417" s="2537"/>
      <c r="AI417" s="2916"/>
      <c r="AJ417" s="2537"/>
      <c r="AK417" s="2537"/>
      <c r="AL417" s="1996"/>
      <c r="AM417" s="1833"/>
      <c r="AN417" s="1833"/>
      <c r="AO417" s="1833"/>
      <c r="AP417" s="1833"/>
      <c r="AQ417" s="1833"/>
      <c r="AR417" s="1833"/>
      <c r="AS417" s="1833"/>
      <c r="AT417" s="1833"/>
      <c r="AU417" s="1833"/>
      <c r="AV417" s="1833"/>
      <c r="AW417" s="1833"/>
      <c r="AX417" s="1833"/>
      <c r="AY417" s="1833"/>
      <c r="AZ417" s="1833"/>
      <c r="BA417" s="1833"/>
      <c r="BB417" s="1833"/>
      <c r="BC417" s="1833"/>
      <c r="BD417" s="1833"/>
      <c r="BE417" s="1833"/>
      <c r="BF417" s="1833"/>
      <c r="BG417" s="1646"/>
    </row>
    <row customHeight="1" ht="11.25">
      <c r="A418" s="1177" t="s">
        <v>1088</v>
      </c>
      <c r="B418" s="1177"/>
      <c r="C418" s="1177"/>
      <c r="D418" s="1171"/>
      <c r="E418" s="1181"/>
      <c r="F418" s="1839"/>
      <c r="G418" s="1840"/>
      <c r="H418" s="2545" t="s">
        <v>92</v>
      </c>
      <c r="I418" s="2546"/>
      <c r="J418" s="2515"/>
      <c r="K418" s="2547"/>
      <c r="L418" s="2137"/>
      <c r="M418" s="2138"/>
      <c r="N418" s="2538"/>
      <c r="O418" s="2539"/>
      <c r="P418" s="2542"/>
      <c r="Q418" s="2913"/>
      <c r="R418" s="2543"/>
      <c r="S418" s="2544"/>
      <c r="T418" s="2543"/>
      <c r="U418" s="2543"/>
      <c r="V418" s="2543"/>
      <c r="W418" s="2543"/>
      <c r="X418" s="2543"/>
      <c r="Y418" s="2543"/>
      <c r="Z418" s="1186"/>
      <c r="AA418" s="1187"/>
      <c r="AB418" s="1252" t="s">
        <v>1130</v>
      </c>
      <c r="AC418" s="1191"/>
      <c r="AD418" s="1191"/>
      <c r="AE418" s="1193"/>
      <c r="AF418" s="2536"/>
      <c r="AG418" s="2537"/>
      <c r="AH418" s="2537"/>
      <c r="AI418" s="2916"/>
      <c r="AJ418" s="2537"/>
      <c r="AK418" s="2537"/>
      <c r="AL418" s="1996"/>
      <c r="AM418" s="1833"/>
      <c r="AN418" s="1833"/>
      <c r="AO418" s="1833"/>
      <c r="AP418" s="1833"/>
      <c r="AQ418" s="1833"/>
      <c r="AR418" s="1833"/>
      <c r="AS418" s="1833"/>
      <c r="AT418" s="1833"/>
      <c r="AU418" s="1833"/>
      <c r="AV418" s="1833"/>
      <c r="AW418" s="1833"/>
      <c r="AX418" s="1833"/>
      <c r="AY418" s="1833"/>
      <c r="AZ418" s="1833"/>
      <c r="BA418" s="1833"/>
      <c r="BB418" s="1833"/>
      <c r="BC418" s="1833"/>
      <c r="BD418" s="1833"/>
      <c r="BE418" s="1833"/>
      <c r="BF418" s="1833"/>
      <c r="BG418" s="1646"/>
    </row>
    <row customHeight="1" ht="11.25">
      <c r="A419" s="1177" t="s">
        <v>1088</v>
      </c>
      <c r="B419" s="1177"/>
      <c r="C419" s="1177"/>
      <c r="D419" s="1171"/>
      <c r="E419" s="1181"/>
      <c r="F419" s="1839"/>
      <c r="G419" s="1840"/>
      <c r="H419" s="2545" t="s">
        <v>92</v>
      </c>
      <c r="I419" s="2546"/>
      <c r="J419" s="2515"/>
      <c r="K419" s="2547"/>
      <c r="L419" s="2137"/>
      <c r="M419" s="2138"/>
      <c r="N419" s="1186"/>
      <c r="O419" s="1187"/>
      <c r="P419" s="1179" t="s">
        <v>1131</v>
      </c>
      <c r="Q419" s="1187"/>
      <c r="R419" s="1187"/>
      <c r="S419" s="1187"/>
      <c r="T419" s="1187"/>
      <c r="U419" s="1187"/>
      <c r="V419" s="1187"/>
      <c r="W419" s="1187"/>
      <c r="X419" s="1187"/>
      <c r="Y419" s="1187"/>
      <c r="Z419" s="1187"/>
      <c r="AA419" s="1187"/>
      <c r="AB419" s="1187"/>
      <c r="AC419" s="1187"/>
      <c r="AD419" s="1187"/>
      <c r="AE419" s="1194"/>
      <c r="AF419" s="2536"/>
      <c r="AG419" s="2537"/>
      <c r="AH419" s="2537"/>
      <c r="AI419" s="2916"/>
      <c r="AJ419" s="2537"/>
      <c r="AK419" s="2537"/>
      <c r="AL419" s="1996"/>
      <c r="AM419" s="1833"/>
      <c r="AN419" s="1833"/>
      <c r="AO419" s="1833"/>
      <c r="AP419" s="1833"/>
      <c r="AQ419" s="1833"/>
      <c r="AR419" s="1833"/>
      <c r="AS419" s="1833"/>
      <c r="AT419" s="1833"/>
      <c r="AU419" s="1833"/>
      <c r="AV419" s="1833"/>
      <c r="AW419" s="1833"/>
      <c r="AX419" s="1833"/>
      <c r="AY419" s="1833"/>
      <c r="AZ419" s="1833"/>
      <c r="BA419" s="1833"/>
      <c r="BB419" s="1833"/>
      <c r="BC419" s="1833"/>
      <c r="BD419" s="1833"/>
      <c r="BE419" s="1833"/>
      <c r="BF419" s="1833"/>
      <c r="BG419" s="1646"/>
    </row>
    <row customHeight="1" ht="11.25">
      <c r="A420" s="1177" t="s">
        <v>1088</v>
      </c>
      <c r="B420" s="1177" t="s">
        <v>1155</v>
      </c>
      <c r="C420" s="1177"/>
      <c r="D420" s="1171"/>
      <c r="E420" s="1181"/>
      <c r="F420" s="1839"/>
      <c r="G420" s="694" t="s">
        <v>105</v>
      </c>
      <c r="H420" s="2545" t="s">
        <v>93</v>
      </c>
      <c r="I420" s="2546" t="s">
        <v>1156</v>
      </c>
      <c r="J420" s="2515" t="s">
        <v>1160</v>
      </c>
      <c r="K420" s="2547" t="s">
        <v>1253</v>
      </c>
      <c r="L420" s="2137" t="s">
        <v>19</v>
      </c>
      <c r="M420" s="2138"/>
      <c r="N420" s="1994"/>
      <c r="O420" s="1188" t="s">
        <v>390</v>
      </c>
      <c r="P420" s="1189"/>
      <c r="Q420" s="1189"/>
      <c r="R420" s="1189"/>
      <c r="S420" s="1189"/>
      <c r="T420" s="1189"/>
      <c r="U420" s="1189"/>
      <c r="V420" s="1189"/>
      <c r="W420" s="1189"/>
      <c r="X420" s="1189"/>
      <c r="Y420" s="1189"/>
      <c r="Z420" s="1189"/>
      <c r="AA420" s="1189"/>
      <c r="AB420" s="1189"/>
      <c r="AC420" s="1189"/>
      <c r="AD420" s="1189"/>
      <c r="AE420" s="1189"/>
      <c r="AF420" s="2536">
        <v>2027</v>
      </c>
      <c r="AG420" s="2537" t="s">
        <v>1122</v>
      </c>
      <c r="AH420" s="2537" t="s">
        <v>1164</v>
      </c>
      <c r="AI420" s="2916"/>
      <c r="AJ420" s="2537" t="s">
        <v>1154</v>
      </c>
      <c r="AK420" s="2537" t="s">
        <v>1154</v>
      </c>
      <c r="AL420" s="1996"/>
      <c r="AM420" s="1833"/>
      <c r="AN420" s="1833"/>
      <c r="AO420" s="1833"/>
      <c r="AP420" s="1833"/>
      <c r="AQ420" s="1833"/>
      <c r="AR420" s="1833"/>
      <c r="AS420" s="1833"/>
      <c r="AT420" s="1833"/>
      <c r="AU420" s="1833"/>
      <c r="AV420" s="1833"/>
      <c r="AW420" s="1833"/>
      <c r="AX420" s="1833"/>
      <c r="AY420" s="1833"/>
      <c r="AZ420" s="1833"/>
      <c r="BA420" s="1833"/>
      <c r="BB420" s="1833"/>
      <c r="BC420" s="1833"/>
      <c r="BD420" s="1833"/>
      <c r="BE420" s="1833"/>
      <c r="BF420" s="1833"/>
      <c r="BG420" s="1646"/>
    </row>
    <row customHeight="1" ht="11.25">
      <c r="A421" s="1177" t="s">
        <v>1088</v>
      </c>
      <c r="B421" s="1177"/>
      <c r="C421" s="1177"/>
      <c r="D421" s="1171"/>
      <c r="E421" s="1181"/>
      <c r="F421" s="1839"/>
      <c r="G421" s="1840"/>
      <c r="H421" s="2545" t="s">
        <v>121</v>
      </c>
      <c r="I421" s="2546"/>
      <c r="J421" s="2515"/>
      <c r="K421" s="2547"/>
      <c r="L421" s="2137"/>
      <c r="M421" s="2138"/>
      <c r="N421" s="2538"/>
      <c r="O421" s="2539">
        <v>1</v>
      </c>
      <c r="P421" s="2540" t="s">
        <v>63</v>
      </c>
      <c r="Q421" s="2913" t="s">
        <v>634</v>
      </c>
      <c r="R421" s="2914" t="s">
        <v>1124</v>
      </c>
      <c r="S421" s="2914" t="s">
        <v>108</v>
      </c>
      <c r="T421" s="2914" t="s">
        <v>108</v>
      </c>
      <c r="U421" s="2914" t="s">
        <v>109</v>
      </c>
      <c r="V421" s="2914" t="s">
        <v>1174</v>
      </c>
      <c r="W421" s="2914" t="s">
        <v>1175</v>
      </c>
      <c r="X421" s="2914" t="s">
        <v>1211</v>
      </c>
      <c r="Y421" s="2914" t="s">
        <v>92</v>
      </c>
      <c r="Z421" s="1186"/>
      <c r="AA421" s="1187"/>
      <c r="AB421" s="1187"/>
      <c r="AC421" s="1191"/>
      <c r="AD421" s="1191"/>
      <c r="AE421" s="1192"/>
      <c r="AF421" s="2536"/>
      <c r="AG421" s="2537"/>
      <c r="AH421" s="2537"/>
      <c r="AI421" s="2916"/>
      <c r="AJ421" s="2537"/>
      <c r="AK421" s="2537"/>
      <c r="AL421" s="1996"/>
      <c r="AM421" s="1833"/>
      <c r="AN421" s="1833"/>
      <c r="AO421" s="1833"/>
      <c r="AP421" s="1833"/>
      <c r="AQ421" s="1833"/>
      <c r="AR421" s="1833"/>
      <c r="AS421" s="1833"/>
      <c r="AT421" s="1833"/>
      <c r="AU421" s="1833"/>
      <c r="AV421" s="1833"/>
      <c r="AW421" s="1833"/>
      <c r="AX421" s="1833"/>
      <c r="AY421" s="1833"/>
      <c r="AZ421" s="1833"/>
      <c r="BA421" s="1833"/>
      <c r="BB421" s="1833"/>
      <c r="BC421" s="1833"/>
      <c r="BD421" s="1833"/>
      <c r="BE421" s="1833"/>
      <c r="BF421" s="1833"/>
      <c r="BG421" s="1646"/>
    </row>
    <row customHeight="1" ht="11.25">
      <c r="A422" s="1177" t="s">
        <v>1088</v>
      </c>
      <c r="B422" s="1177"/>
      <c r="C422" s="1177"/>
      <c r="D422" s="1171"/>
      <c r="E422" s="1181"/>
      <c r="F422" s="1839"/>
      <c r="G422" s="1840"/>
      <c r="H422" s="2545" t="s">
        <v>121</v>
      </c>
      <c r="I422" s="2546"/>
      <c r="J422" s="2515"/>
      <c r="K422" s="2547"/>
      <c r="L422" s="2137"/>
      <c r="M422" s="2138"/>
      <c r="N422" s="2538"/>
      <c r="O422" s="2539"/>
      <c r="P422" s="2541"/>
      <c r="Q422" s="2913"/>
      <c r="R422" s="2543"/>
      <c r="S422" s="2544"/>
      <c r="T422" s="2543"/>
      <c r="U422" s="2543"/>
      <c r="V422" s="2543"/>
      <c r="W422" s="2543"/>
      <c r="X422" s="2543"/>
      <c r="Y422" s="2543"/>
      <c r="Z422" s="1838"/>
      <c r="AA422" s="1804">
        <v>1</v>
      </c>
      <c r="AB422" s="1190" t="s">
        <v>1234</v>
      </c>
      <c r="AC422" s="1180">
        <v>161808.9</v>
      </c>
      <c r="AD422" s="1190" t="str">
        <f>AB422</f>
        <v>  Прочие</v>
      </c>
      <c r="AE422" s="1180">
        <v>0</v>
      </c>
      <c r="AF422" s="2536"/>
      <c r="AG422" s="2537"/>
      <c r="AH422" s="2537"/>
      <c r="AI422" s="2916"/>
      <c r="AJ422" s="2537"/>
      <c r="AK422" s="2537"/>
      <c r="AL422" s="1996"/>
      <c r="AM422" s="1833"/>
      <c r="AN422" s="1833"/>
      <c r="AO422" s="1833"/>
      <c r="AP422" s="1833"/>
      <c r="AQ422" s="1833"/>
      <c r="AR422" s="1833"/>
      <c r="AS422" s="1833"/>
      <c r="AT422" s="1833"/>
      <c r="AU422" s="1833"/>
      <c r="AV422" s="1833"/>
      <c r="AW422" s="1833"/>
      <c r="AX422" s="1833"/>
      <c r="AY422" s="1833"/>
      <c r="AZ422" s="1833"/>
      <c r="BA422" s="1833"/>
      <c r="BB422" s="1833"/>
      <c r="BC422" s="1833"/>
      <c r="BD422" s="1833"/>
      <c r="BE422" s="1833"/>
      <c r="BF422" s="1833"/>
      <c r="BG422" s="1646"/>
    </row>
    <row customHeight="1" ht="11.25">
      <c r="A423" s="1177" t="s">
        <v>1088</v>
      </c>
      <c r="B423" s="1177"/>
      <c r="C423" s="1177"/>
      <c r="D423" s="1171"/>
      <c r="E423" s="1181"/>
      <c r="F423" s="1839"/>
      <c r="G423" s="1840"/>
      <c r="H423" s="2545" t="s">
        <v>121</v>
      </c>
      <c r="I423" s="2546"/>
      <c r="J423" s="2515"/>
      <c r="K423" s="2547"/>
      <c r="L423" s="2137"/>
      <c r="M423" s="2138"/>
      <c r="N423" s="2538"/>
      <c r="O423" s="2539"/>
      <c r="P423" s="2542"/>
      <c r="Q423" s="2913"/>
      <c r="R423" s="2543"/>
      <c r="S423" s="2544"/>
      <c r="T423" s="2543"/>
      <c r="U423" s="2543"/>
      <c r="V423" s="2543"/>
      <c r="W423" s="2543"/>
      <c r="X423" s="2543"/>
      <c r="Y423" s="2543"/>
      <c r="Z423" s="1186"/>
      <c r="AA423" s="1187"/>
      <c r="AB423" s="1252" t="s">
        <v>1130</v>
      </c>
      <c r="AC423" s="1191"/>
      <c r="AD423" s="1191"/>
      <c r="AE423" s="1193"/>
      <c r="AF423" s="2536"/>
      <c r="AG423" s="2537"/>
      <c r="AH423" s="2537"/>
      <c r="AI423" s="2916"/>
      <c r="AJ423" s="2537"/>
      <c r="AK423" s="2537"/>
      <c r="AL423" s="1996"/>
      <c r="AM423" s="1833"/>
      <c r="AN423" s="1833"/>
      <c r="AO423" s="1833"/>
      <c r="AP423" s="1833"/>
      <c r="AQ423" s="1833"/>
      <c r="AR423" s="1833"/>
      <c r="AS423" s="1833"/>
      <c r="AT423" s="1833"/>
      <c r="AU423" s="1833"/>
      <c r="AV423" s="1833"/>
      <c r="AW423" s="1833"/>
      <c r="AX423" s="1833"/>
      <c r="AY423" s="1833"/>
      <c r="AZ423" s="1833"/>
      <c r="BA423" s="1833"/>
      <c r="BB423" s="1833"/>
      <c r="BC423" s="1833"/>
      <c r="BD423" s="1833"/>
      <c r="BE423" s="1833"/>
      <c r="BF423" s="1833"/>
      <c r="BG423" s="1646"/>
    </row>
    <row customHeight="1" ht="11.25">
      <c r="A424" s="1177" t="s">
        <v>1088</v>
      </c>
      <c r="B424" s="1177"/>
      <c r="C424" s="1177"/>
      <c r="D424" s="1171"/>
      <c r="E424" s="1181"/>
      <c r="F424" s="1839"/>
      <c r="G424" s="1840"/>
      <c r="H424" s="2545" t="s">
        <v>121</v>
      </c>
      <c r="I424" s="2546"/>
      <c r="J424" s="2515"/>
      <c r="K424" s="2547"/>
      <c r="L424" s="2137"/>
      <c r="M424" s="2138"/>
      <c r="N424" s="1186"/>
      <c r="O424" s="1187"/>
      <c r="P424" s="1179" t="s">
        <v>1131</v>
      </c>
      <c r="Q424" s="1187"/>
      <c r="R424" s="1187"/>
      <c r="S424" s="1187"/>
      <c r="T424" s="1187"/>
      <c r="U424" s="1187"/>
      <c r="V424" s="1187"/>
      <c r="W424" s="1187"/>
      <c r="X424" s="1187"/>
      <c r="Y424" s="1187"/>
      <c r="Z424" s="1187"/>
      <c r="AA424" s="1187"/>
      <c r="AB424" s="1187"/>
      <c r="AC424" s="1187"/>
      <c r="AD424" s="1187"/>
      <c r="AE424" s="1194"/>
      <c r="AF424" s="2536"/>
      <c r="AG424" s="2537"/>
      <c r="AH424" s="2537"/>
      <c r="AI424" s="2916"/>
      <c r="AJ424" s="2537"/>
      <c r="AK424" s="2537"/>
      <c r="AL424" s="1996"/>
      <c r="AM424" s="1833"/>
      <c r="AN424" s="1833"/>
      <c r="AO424" s="1833"/>
      <c r="AP424" s="1833"/>
      <c r="AQ424" s="1833"/>
      <c r="AR424" s="1833"/>
      <c r="AS424" s="1833"/>
      <c r="AT424" s="1833"/>
      <c r="AU424" s="1833"/>
      <c r="AV424" s="1833"/>
      <c r="AW424" s="1833"/>
      <c r="AX424" s="1833"/>
      <c r="AY424" s="1833"/>
      <c r="AZ424" s="1833"/>
      <c r="BA424" s="1833"/>
      <c r="BB424" s="1833"/>
      <c r="BC424" s="1833"/>
      <c r="BD424" s="1833"/>
      <c r="BE424" s="1833"/>
      <c r="BF424" s="1833"/>
      <c r="BG424" s="1646"/>
    </row>
    <row customHeight="1" ht="11.25">
      <c r="A425" s="1177" t="s">
        <v>1088</v>
      </c>
      <c r="B425" s="1177" t="s">
        <v>1155</v>
      </c>
      <c r="C425" s="1177"/>
      <c r="D425" s="1171"/>
      <c r="E425" s="1181"/>
      <c r="F425" s="1839"/>
      <c r="G425" s="694" t="s">
        <v>105</v>
      </c>
      <c r="H425" s="2545" t="s">
        <v>94</v>
      </c>
      <c r="I425" s="2546" t="s">
        <v>1156</v>
      </c>
      <c r="J425" s="2515" t="s">
        <v>1160</v>
      </c>
      <c r="K425" s="2547" t="s">
        <v>1166</v>
      </c>
      <c r="L425" s="2137" t="s">
        <v>19</v>
      </c>
      <c r="M425" s="2138"/>
      <c r="N425" s="1994"/>
      <c r="O425" s="1188" t="s">
        <v>390</v>
      </c>
      <c r="P425" s="1189"/>
      <c r="Q425" s="1189"/>
      <c r="R425" s="1189"/>
      <c r="S425" s="1189"/>
      <c r="T425" s="1189"/>
      <c r="U425" s="1189"/>
      <c r="V425" s="1189"/>
      <c r="W425" s="1189"/>
      <c r="X425" s="1189"/>
      <c r="Y425" s="1189"/>
      <c r="Z425" s="1189"/>
      <c r="AA425" s="1189"/>
      <c r="AB425" s="1189"/>
      <c r="AC425" s="1189"/>
      <c r="AD425" s="1189"/>
      <c r="AE425" s="1189"/>
      <c r="AF425" s="2536">
        <v>2027</v>
      </c>
      <c r="AG425" s="2537" t="s">
        <v>1122</v>
      </c>
      <c r="AH425" s="2537" t="s">
        <v>1164</v>
      </c>
      <c r="AI425" s="2916"/>
      <c r="AJ425" s="2537" t="s">
        <v>1154</v>
      </c>
      <c r="AK425" s="2537" t="s">
        <v>1154</v>
      </c>
      <c r="AL425" s="1996"/>
      <c r="AM425" s="1833"/>
      <c r="AN425" s="1833"/>
      <c r="AO425" s="1833"/>
      <c r="AP425" s="1833"/>
      <c r="AQ425" s="1833"/>
      <c r="AR425" s="1833"/>
      <c r="AS425" s="1833"/>
      <c r="AT425" s="1833"/>
      <c r="AU425" s="1833"/>
      <c r="AV425" s="1833"/>
      <c r="AW425" s="1833"/>
      <c r="AX425" s="1833"/>
      <c r="AY425" s="1833"/>
      <c r="AZ425" s="1833"/>
      <c r="BA425" s="1833"/>
      <c r="BB425" s="1833"/>
      <c r="BC425" s="1833"/>
      <c r="BD425" s="1833"/>
      <c r="BE425" s="1833"/>
      <c r="BF425" s="1833"/>
      <c r="BG425" s="1646"/>
    </row>
    <row customHeight="1" ht="11.25">
      <c r="A426" s="1177" t="s">
        <v>1088</v>
      </c>
      <c r="B426" s="1177"/>
      <c r="C426" s="1177"/>
      <c r="D426" s="1171"/>
      <c r="E426" s="1181"/>
      <c r="F426" s="1839"/>
      <c r="G426" s="1840"/>
      <c r="H426" s="2545" t="s">
        <v>93</v>
      </c>
      <c r="I426" s="2546"/>
      <c r="J426" s="2515"/>
      <c r="K426" s="2547"/>
      <c r="L426" s="2137"/>
      <c r="M426" s="2138"/>
      <c r="N426" s="2538"/>
      <c r="O426" s="2539">
        <v>1</v>
      </c>
      <c r="P426" s="2540" t="s">
        <v>19</v>
      </c>
      <c r="Q426" s="2543" t="s">
        <v>22</v>
      </c>
      <c r="R426" s="2543" t="s">
        <v>22</v>
      </c>
      <c r="S426" s="2543" t="s">
        <v>22</v>
      </c>
      <c r="T426" s="2543" t="s">
        <v>22</v>
      </c>
      <c r="U426" s="2543" t="s">
        <v>22</v>
      </c>
      <c r="V426" s="2543" t="s">
        <v>22</v>
      </c>
      <c r="W426" s="2543" t="s">
        <v>22</v>
      </c>
      <c r="X426" s="2543" t="s">
        <v>22</v>
      </c>
      <c r="Y426" s="2543"/>
      <c r="Z426" s="1186"/>
      <c r="AA426" s="1187"/>
      <c r="AB426" s="1187"/>
      <c r="AC426" s="1191"/>
      <c r="AD426" s="1191"/>
      <c r="AE426" s="1192"/>
      <c r="AF426" s="2536"/>
      <c r="AG426" s="2537"/>
      <c r="AH426" s="2537"/>
      <c r="AI426" s="2916"/>
      <c r="AJ426" s="2537"/>
      <c r="AK426" s="2537"/>
      <c r="AL426" s="1996"/>
      <c r="AM426" s="1833"/>
      <c r="AN426" s="1833"/>
      <c r="AO426" s="1833"/>
      <c r="AP426" s="1833"/>
      <c r="AQ426" s="1833"/>
      <c r="AR426" s="1833"/>
      <c r="AS426" s="1833"/>
      <c r="AT426" s="1833"/>
      <c r="AU426" s="1833"/>
      <c r="AV426" s="1833"/>
      <c r="AW426" s="1833"/>
      <c r="AX426" s="1833"/>
      <c r="AY426" s="1833"/>
      <c r="AZ426" s="1833"/>
      <c r="BA426" s="1833"/>
      <c r="BB426" s="1833"/>
      <c r="BC426" s="1833"/>
      <c r="BD426" s="1833"/>
      <c r="BE426" s="1833"/>
      <c r="BF426" s="1833"/>
      <c r="BG426" s="1646"/>
    </row>
    <row customHeight="1" ht="11.25">
      <c r="A427" s="1177" t="s">
        <v>1088</v>
      </c>
      <c r="B427" s="1177"/>
      <c r="C427" s="1177"/>
      <c r="D427" s="1171"/>
      <c r="E427" s="1181"/>
      <c r="F427" s="1839"/>
      <c r="G427" s="1840"/>
      <c r="H427" s="2545" t="s">
        <v>93</v>
      </c>
      <c r="I427" s="2546"/>
      <c r="J427" s="2515"/>
      <c r="K427" s="2547"/>
      <c r="L427" s="2137"/>
      <c r="M427" s="2138"/>
      <c r="N427" s="2538"/>
      <c r="O427" s="2539"/>
      <c r="P427" s="2541"/>
      <c r="Q427" s="2543"/>
      <c r="R427" s="2543"/>
      <c r="S427" s="2544"/>
      <c r="T427" s="2543"/>
      <c r="U427" s="2543"/>
      <c r="V427" s="2543"/>
      <c r="W427" s="2543"/>
      <c r="X427" s="2543"/>
      <c r="Y427" s="2543"/>
      <c r="Z427" s="1838"/>
      <c r="AA427" s="1804">
        <v>1</v>
      </c>
      <c r="AB427" s="1190" t="s">
        <v>1234</v>
      </c>
      <c r="AC427" s="1180">
        <v>173485.83</v>
      </c>
      <c r="AD427" s="1190" t="str">
        <f>AB427</f>
        <v>  Прочие</v>
      </c>
      <c r="AE427" s="1180">
        <v>0</v>
      </c>
      <c r="AF427" s="2536"/>
      <c r="AG427" s="2537"/>
      <c r="AH427" s="2537"/>
      <c r="AI427" s="2916"/>
      <c r="AJ427" s="2537"/>
      <c r="AK427" s="2537"/>
      <c r="AL427" s="1996"/>
      <c r="AM427" s="1833"/>
      <c r="AN427" s="1833"/>
      <c r="AO427" s="1833"/>
      <c r="AP427" s="1833"/>
      <c r="AQ427" s="1833"/>
      <c r="AR427" s="1833"/>
      <c r="AS427" s="1833"/>
      <c r="AT427" s="1833"/>
      <c r="AU427" s="1833"/>
      <c r="AV427" s="1833"/>
      <c r="AW427" s="1833"/>
      <c r="AX427" s="1833"/>
      <c r="AY427" s="1833"/>
      <c r="AZ427" s="1833"/>
      <c r="BA427" s="1833"/>
      <c r="BB427" s="1833"/>
      <c r="BC427" s="1833"/>
      <c r="BD427" s="1833"/>
      <c r="BE427" s="1833"/>
      <c r="BF427" s="1833"/>
      <c r="BG427" s="1646"/>
    </row>
    <row customHeight="1" ht="11.25">
      <c r="A428" s="1177" t="s">
        <v>1088</v>
      </c>
      <c r="B428" s="1177"/>
      <c r="C428" s="1177"/>
      <c r="D428" s="1171"/>
      <c r="E428" s="1181"/>
      <c r="F428" s="1839"/>
      <c r="G428" s="1840"/>
      <c r="H428" s="2545" t="s">
        <v>93</v>
      </c>
      <c r="I428" s="2546"/>
      <c r="J428" s="2515"/>
      <c r="K428" s="2547"/>
      <c r="L428" s="2137"/>
      <c r="M428" s="2138"/>
      <c r="N428" s="2538"/>
      <c r="O428" s="2539"/>
      <c r="P428" s="2542"/>
      <c r="Q428" s="2543"/>
      <c r="R428" s="2543"/>
      <c r="S428" s="2544"/>
      <c r="T428" s="2543"/>
      <c r="U428" s="2543"/>
      <c r="V428" s="2543"/>
      <c r="W428" s="2543"/>
      <c r="X428" s="2543"/>
      <c r="Y428" s="2543"/>
      <c r="Z428" s="1186"/>
      <c r="AA428" s="1187"/>
      <c r="AB428" s="1252" t="s">
        <v>1130</v>
      </c>
      <c r="AC428" s="1191"/>
      <c r="AD428" s="1191"/>
      <c r="AE428" s="1193"/>
      <c r="AF428" s="2536"/>
      <c r="AG428" s="2537"/>
      <c r="AH428" s="2537"/>
      <c r="AI428" s="2916"/>
      <c r="AJ428" s="2537"/>
      <c r="AK428" s="2537"/>
      <c r="AL428" s="1996"/>
      <c r="AM428" s="1833"/>
      <c r="AN428" s="1833"/>
      <c r="AO428" s="1833"/>
      <c r="AP428" s="1833"/>
      <c r="AQ428" s="1833"/>
      <c r="AR428" s="1833"/>
      <c r="AS428" s="1833"/>
      <c r="AT428" s="1833"/>
      <c r="AU428" s="1833"/>
      <c r="AV428" s="1833"/>
      <c r="AW428" s="1833"/>
      <c r="AX428" s="1833"/>
      <c r="AY428" s="1833"/>
      <c r="AZ428" s="1833"/>
      <c r="BA428" s="1833"/>
      <c r="BB428" s="1833"/>
      <c r="BC428" s="1833"/>
      <c r="BD428" s="1833"/>
      <c r="BE428" s="1833"/>
      <c r="BF428" s="1833"/>
      <c r="BG428" s="1646"/>
    </row>
    <row customHeight="1" ht="11.25">
      <c r="A429" s="1177" t="s">
        <v>1088</v>
      </c>
      <c r="B429" s="1177"/>
      <c r="C429" s="1177"/>
      <c r="D429" s="1171"/>
      <c r="E429" s="1181"/>
      <c r="F429" s="1839"/>
      <c r="G429" s="1840"/>
      <c r="H429" s="2545" t="s">
        <v>93</v>
      </c>
      <c r="I429" s="2546"/>
      <c r="J429" s="2515"/>
      <c r="K429" s="2547"/>
      <c r="L429" s="2137"/>
      <c r="M429" s="2138"/>
      <c r="N429" s="1186"/>
      <c r="O429" s="1187"/>
      <c r="P429" s="1179" t="s">
        <v>1131</v>
      </c>
      <c r="Q429" s="1187"/>
      <c r="R429" s="1187"/>
      <c r="S429" s="1187"/>
      <c r="T429" s="1187"/>
      <c r="U429" s="1187"/>
      <c r="V429" s="1187"/>
      <c r="W429" s="1187"/>
      <c r="X429" s="1187"/>
      <c r="Y429" s="1187"/>
      <c r="Z429" s="1187"/>
      <c r="AA429" s="1187"/>
      <c r="AB429" s="1187"/>
      <c r="AC429" s="1187"/>
      <c r="AD429" s="1187"/>
      <c r="AE429" s="1194"/>
      <c r="AF429" s="2536"/>
      <c r="AG429" s="2537"/>
      <c r="AH429" s="2537"/>
      <c r="AI429" s="2916"/>
      <c r="AJ429" s="2537"/>
      <c r="AK429" s="2537"/>
      <c r="AL429" s="1996"/>
      <c r="AM429" s="1833"/>
      <c r="AN429" s="1833"/>
      <c r="AO429" s="1833"/>
      <c r="AP429" s="1833"/>
      <c r="AQ429" s="1833"/>
      <c r="AR429" s="1833"/>
      <c r="AS429" s="1833"/>
      <c r="AT429" s="1833"/>
      <c r="AU429" s="1833"/>
      <c r="AV429" s="1833"/>
      <c r="AW429" s="1833"/>
      <c r="AX429" s="1833"/>
      <c r="AY429" s="1833"/>
      <c r="AZ429" s="1833"/>
      <c r="BA429" s="1833"/>
      <c r="BB429" s="1833"/>
      <c r="BC429" s="1833"/>
      <c r="BD429" s="1833"/>
      <c r="BE429" s="1833"/>
      <c r="BF429" s="1833"/>
      <c r="BG429" s="1646"/>
    </row>
    <row customHeight="1" ht="11.25">
      <c r="A430" s="1177" t="s">
        <v>1088</v>
      </c>
      <c r="B430" s="1177" t="s">
        <v>1155</v>
      </c>
      <c r="C430" s="1177"/>
      <c r="D430" s="1171"/>
      <c r="E430" s="1181"/>
      <c r="F430" s="1839"/>
      <c r="G430" s="694" t="s">
        <v>105</v>
      </c>
      <c r="H430" s="2545" t="s">
        <v>122</v>
      </c>
      <c r="I430" s="2546" t="s">
        <v>1156</v>
      </c>
      <c r="J430" s="2515" t="s">
        <v>1160</v>
      </c>
      <c r="K430" s="2547" t="s">
        <v>1163</v>
      </c>
      <c r="L430" s="2137" t="s">
        <v>19</v>
      </c>
      <c r="M430" s="2138"/>
      <c r="N430" s="1994"/>
      <c r="O430" s="1188" t="s">
        <v>390</v>
      </c>
      <c r="P430" s="1189"/>
      <c r="Q430" s="1189"/>
      <c r="R430" s="1189"/>
      <c r="S430" s="1189"/>
      <c r="T430" s="1189"/>
      <c r="U430" s="1189"/>
      <c r="V430" s="1189"/>
      <c r="W430" s="1189"/>
      <c r="X430" s="1189"/>
      <c r="Y430" s="1189"/>
      <c r="Z430" s="1189"/>
      <c r="AA430" s="1189"/>
      <c r="AB430" s="1189"/>
      <c r="AC430" s="1189"/>
      <c r="AD430" s="1189"/>
      <c r="AE430" s="1189"/>
      <c r="AF430" s="2536">
        <v>2027</v>
      </c>
      <c r="AG430" s="2537" t="s">
        <v>1122</v>
      </c>
      <c r="AH430" s="2537" t="s">
        <v>1164</v>
      </c>
      <c r="AI430" s="2916"/>
      <c r="AJ430" s="2537" t="s">
        <v>1154</v>
      </c>
      <c r="AK430" s="2537" t="s">
        <v>1154</v>
      </c>
      <c r="AL430" s="1996"/>
      <c r="AM430" s="1833"/>
      <c r="AN430" s="1833"/>
      <c r="AO430" s="1833"/>
      <c r="AP430" s="1833"/>
      <c r="AQ430" s="1833"/>
      <c r="AR430" s="1833"/>
      <c r="AS430" s="1833"/>
      <c r="AT430" s="1833"/>
      <c r="AU430" s="1833"/>
      <c r="AV430" s="1833"/>
      <c r="AW430" s="1833"/>
      <c r="AX430" s="1833"/>
      <c r="AY430" s="1833"/>
      <c r="AZ430" s="1833"/>
      <c r="BA430" s="1833"/>
      <c r="BB430" s="1833"/>
      <c r="BC430" s="1833"/>
      <c r="BD430" s="1833"/>
      <c r="BE430" s="1833"/>
      <c r="BF430" s="1833"/>
      <c r="BG430" s="1646"/>
    </row>
    <row customHeight="1" ht="11.25">
      <c r="A431" s="1177" t="s">
        <v>1088</v>
      </c>
      <c r="B431" s="1177"/>
      <c r="C431" s="1177"/>
      <c r="D431" s="1171"/>
      <c r="E431" s="1181"/>
      <c r="F431" s="1839"/>
      <c r="G431" s="1840"/>
      <c r="H431" s="2545" t="s">
        <v>94</v>
      </c>
      <c r="I431" s="2546"/>
      <c r="J431" s="2515"/>
      <c r="K431" s="2547"/>
      <c r="L431" s="2137"/>
      <c r="M431" s="2138"/>
      <c r="N431" s="2538"/>
      <c r="O431" s="2539">
        <v>1</v>
      </c>
      <c r="P431" s="2540" t="s">
        <v>19</v>
      </c>
      <c r="Q431" s="2543" t="s">
        <v>22</v>
      </c>
      <c r="R431" s="2543" t="s">
        <v>22</v>
      </c>
      <c r="S431" s="2543" t="s">
        <v>22</v>
      </c>
      <c r="T431" s="2543" t="s">
        <v>22</v>
      </c>
      <c r="U431" s="2543" t="s">
        <v>22</v>
      </c>
      <c r="V431" s="2543" t="s">
        <v>22</v>
      </c>
      <c r="W431" s="2543" t="s">
        <v>22</v>
      </c>
      <c r="X431" s="2543" t="s">
        <v>22</v>
      </c>
      <c r="Y431" s="2543"/>
      <c r="Z431" s="1186"/>
      <c r="AA431" s="1187"/>
      <c r="AB431" s="1187"/>
      <c r="AC431" s="1191"/>
      <c r="AD431" s="1191"/>
      <c r="AE431" s="1192"/>
      <c r="AF431" s="2536"/>
      <c r="AG431" s="2537"/>
      <c r="AH431" s="2537"/>
      <c r="AI431" s="2916"/>
      <c r="AJ431" s="2537"/>
      <c r="AK431" s="2537"/>
      <c r="AL431" s="1996"/>
      <c r="AM431" s="1833"/>
      <c r="AN431" s="1833"/>
      <c r="AO431" s="1833"/>
      <c r="AP431" s="1833"/>
      <c r="AQ431" s="1833"/>
      <c r="AR431" s="1833"/>
      <c r="AS431" s="1833"/>
      <c r="AT431" s="1833"/>
      <c r="AU431" s="1833"/>
      <c r="AV431" s="1833"/>
      <c r="AW431" s="1833"/>
      <c r="AX431" s="1833"/>
      <c r="AY431" s="1833"/>
      <c r="AZ431" s="1833"/>
      <c r="BA431" s="1833"/>
      <c r="BB431" s="1833"/>
      <c r="BC431" s="1833"/>
      <c r="BD431" s="1833"/>
      <c r="BE431" s="1833"/>
      <c r="BF431" s="1833"/>
      <c r="BG431" s="1646"/>
    </row>
    <row customHeight="1" ht="11.25">
      <c r="A432" s="1177" t="s">
        <v>1088</v>
      </c>
      <c r="B432" s="1177"/>
      <c r="C432" s="1177"/>
      <c r="D432" s="1171"/>
      <c r="E432" s="1181"/>
      <c r="F432" s="1839"/>
      <c r="G432" s="1840"/>
      <c r="H432" s="2545" t="s">
        <v>94</v>
      </c>
      <c r="I432" s="2546"/>
      <c r="J432" s="2515"/>
      <c r="K432" s="2547"/>
      <c r="L432" s="2137"/>
      <c r="M432" s="2138"/>
      <c r="N432" s="2538"/>
      <c r="O432" s="2539"/>
      <c r="P432" s="2541"/>
      <c r="Q432" s="2543"/>
      <c r="R432" s="2543"/>
      <c r="S432" s="2544"/>
      <c r="T432" s="2543"/>
      <c r="U432" s="2543"/>
      <c r="V432" s="2543"/>
      <c r="W432" s="2543"/>
      <c r="X432" s="2543"/>
      <c r="Y432" s="2543"/>
      <c r="Z432" s="1838"/>
      <c r="AA432" s="1804">
        <v>1</v>
      </c>
      <c r="AB432" s="1190" t="s">
        <v>1234</v>
      </c>
      <c r="AC432" s="1180">
        <v>79891.98</v>
      </c>
      <c r="AD432" s="1190" t="str">
        <f>AB432</f>
        <v>  Прочие</v>
      </c>
      <c r="AE432" s="1180">
        <v>0</v>
      </c>
      <c r="AF432" s="2536"/>
      <c r="AG432" s="2537"/>
      <c r="AH432" s="2537"/>
      <c r="AI432" s="2916"/>
      <c r="AJ432" s="2537"/>
      <c r="AK432" s="2537"/>
      <c r="AL432" s="1996"/>
      <c r="AM432" s="1833"/>
      <c r="AN432" s="1833"/>
      <c r="AO432" s="1833"/>
      <c r="AP432" s="1833"/>
      <c r="AQ432" s="1833"/>
      <c r="AR432" s="1833"/>
      <c r="AS432" s="1833"/>
      <c r="AT432" s="1833"/>
      <c r="AU432" s="1833"/>
      <c r="AV432" s="1833"/>
      <c r="AW432" s="1833"/>
      <c r="AX432" s="1833"/>
      <c r="AY432" s="1833"/>
      <c r="AZ432" s="1833"/>
      <c r="BA432" s="1833"/>
      <c r="BB432" s="1833"/>
      <c r="BC432" s="1833"/>
      <c r="BD432" s="1833"/>
      <c r="BE432" s="1833"/>
      <c r="BF432" s="1833"/>
      <c r="BG432" s="1646"/>
    </row>
    <row customHeight="1" ht="11.25">
      <c r="A433" s="1177" t="s">
        <v>1088</v>
      </c>
      <c r="B433" s="1177"/>
      <c r="C433" s="1177"/>
      <c r="D433" s="1171"/>
      <c r="E433" s="1181"/>
      <c r="F433" s="1839"/>
      <c r="G433" s="1840"/>
      <c r="H433" s="2545" t="s">
        <v>94</v>
      </c>
      <c r="I433" s="2546"/>
      <c r="J433" s="2515"/>
      <c r="K433" s="2547"/>
      <c r="L433" s="2137"/>
      <c r="M433" s="2138"/>
      <c r="N433" s="2538"/>
      <c r="O433" s="2539"/>
      <c r="P433" s="2542"/>
      <c r="Q433" s="2543"/>
      <c r="R433" s="2543"/>
      <c r="S433" s="2544"/>
      <c r="T433" s="2543"/>
      <c r="U433" s="2543"/>
      <c r="V433" s="2543"/>
      <c r="W433" s="2543"/>
      <c r="X433" s="2543"/>
      <c r="Y433" s="2543"/>
      <c r="Z433" s="1186"/>
      <c r="AA433" s="1187"/>
      <c r="AB433" s="1252" t="s">
        <v>1130</v>
      </c>
      <c r="AC433" s="1191"/>
      <c r="AD433" s="1191"/>
      <c r="AE433" s="1193"/>
      <c r="AF433" s="2536"/>
      <c r="AG433" s="2537"/>
      <c r="AH433" s="2537"/>
      <c r="AI433" s="2916"/>
      <c r="AJ433" s="2537"/>
      <c r="AK433" s="2537"/>
      <c r="AL433" s="1996"/>
      <c r="AM433" s="1833"/>
      <c r="AN433" s="1833"/>
      <c r="AO433" s="1833"/>
      <c r="AP433" s="1833"/>
      <c r="AQ433" s="1833"/>
      <c r="AR433" s="1833"/>
      <c r="AS433" s="1833"/>
      <c r="AT433" s="1833"/>
      <c r="AU433" s="1833"/>
      <c r="AV433" s="1833"/>
      <c r="AW433" s="1833"/>
      <c r="AX433" s="1833"/>
      <c r="AY433" s="1833"/>
      <c r="AZ433" s="1833"/>
      <c r="BA433" s="1833"/>
      <c r="BB433" s="1833"/>
      <c r="BC433" s="1833"/>
      <c r="BD433" s="1833"/>
      <c r="BE433" s="1833"/>
      <c r="BF433" s="1833"/>
      <c r="BG433" s="1646"/>
    </row>
    <row customHeight="1" ht="11.25">
      <c r="A434" s="1177" t="s">
        <v>1088</v>
      </c>
      <c r="B434" s="1177"/>
      <c r="C434" s="1177"/>
      <c r="D434" s="1171"/>
      <c r="E434" s="1181"/>
      <c r="F434" s="1839"/>
      <c r="G434" s="1840"/>
      <c r="H434" s="2545" t="s">
        <v>94</v>
      </c>
      <c r="I434" s="2546"/>
      <c r="J434" s="2515"/>
      <c r="K434" s="2547"/>
      <c r="L434" s="2137"/>
      <c r="M434" s="2138"/>
      <c r="N434" s="1186"/>
      <c r="O434" s="1187"/>
      <c r="P434" s="1179" t="s">
        <v>1131</v>
      </c>
      <c r="Q434" s="1187"/>
      <c r="R434" s="1187"/>
      <c r="S434" s="1187"/>
      <c r="T434" s="1187"/>
      <c r="U434" s="1187"/>
      <c r="V434" s="1187"/>
      <c r="W434" s="1187"/>
      <c r="X434" s="1187"/>
      <c r="Y434" s="1187"/>
      <c r="Z434" s="1187"/>
      <c r="AA434" s="1187"/>
      <c r="AB434" s="1187"/>
      <c r="AC434" s="1187"/>
      <c r="AD434" s="1187"/>
      <c r="AE434" s="1194"/>
      <c r="AF434" s="2536"/>
      <c r="AG434" s="2537"/>
      <c r="AH434" s="2537"/>
      <c r="AI434" s="2916"/>
      <c r="AJ434" s="2537"/>
      <c r="AK434" s="2537"/>
      <c r="AL434" s="1996"/>
      <c r="AM434" s="1833"/>
      <c r="AN434" s="1833"/>
      <c r="AO434" s="1833"/>
      <c r="AP434" s="1833"/>
      <c r="AQ434" s="1833"/>
      <c r="AR434" s="1833"/>
      <c r="AS434" s="1833"/>
      <c r="AT434" s="1833"/>
      <c r="AU434" s="1833"/>
      <c r="AV434" s="1833"/>
      <c r="AW434" s="1833"/>
      <c r="AX434" s="1833"/>
      <c r="AY434" s="1833"/>
      <c r="AZ434" s="1833"/>
      <c r="BA434" s="1833"/>
      <c r="BB434" s="1833"/>
      <c r="BC434" s="1833"/>
      <c r="BD434" s="1833"/>
      <c r="BE434" s="1833"/>
      <c r="BF434" s="1833"/>
      <c r="BG434" s="1646"/>
    </row>
    <row customHeight="1" ht="11.25">
      <c r="A435" s="1177" t="s">
        <v>1088</v>
      </c>
      <c r="B435" s="1177" t="s">
        <v>1155</v>
      </c>
      <c r="C435" s="1177"/>
      <c r="D435" s="1171"/>
      <c r="E435" s="1181"/>
      <c r="F435" s="1839"/>
      <c r="G435" s="694" t="s">
        <v>105</v>
      </c>
      <c r="H435" s="2545" t="s">
        <v>164</v>
      </c>
      <c r="I435" s="2546" t="s">
        <v>1156</v>
      </c>
      <c r="J435" s="2515" t="s">
        <v>1160</v>
      </c>
      <c r="K435" s="2547" t="s">
        <v>1254</v>
      </c>
      <c r="L435" s="2137" t="s">
        <v>19</v>
      </c>
      <c r="M435" s="2138"/>
      <c r="N435" s="1994"/>
      <c r="O435" s="1188" t="s">
        <v>390</v>
      </c>
      <c r="P435" s="1189"/>
      <c r="Q435" s="1189"/>
      <c r="R435" s="1189"/>
      <c r="S435" s="1189"/>
      <c r="T435" s="1189"/>
      <c r="U435" s="1189"/>
      <c r="V435" s="1189"/>
      <c r="W435" s="1189"/>
      <c r="X435" s="1189"/>
      <c r="Y435" s="1189"/>
      <c r="Z435" s="1189"/>
      <c r="AA435" s="1189"/>
      <c r="AB435" s="1189"/>
      <c r="AC435" s="1189"/>
      <c r="AD435" s="1189"/>
      <c r="AE435" s="1189"/>
      <c r="AF435" s="2536">
        <v>2027</v>
      </c>
      <c r="AG435" s="2537" t="s">
        <v>1122</v>
      </c>
      <c r="AH435" s="2537" t="s">
        <v>1164</v>
      </c>
      <c r="AI435" s="2916"/>
      <c r="AJ435" s="2537" t="s">
        <v>1154</v>
      </c>
      <c r="AK435" s="2537" t="s">
        <v>1154</v>
      </c>
      <c r="AL435" s="1996"/>
      <c r="AM435" s="1833"/>
      <c r="AN435" s="1833"/>
      <c r="AO435" s="1833"/>
      <c r="AP435" s="1833"/>
      <c r="AQ435" s="1833"/>
      <c r="AR435" s="1833"/>
      <c r="AS435" s="1833"/>
      <c r="AT435" s="1833"/>
      <c r="AU435" s="1833"/>
      <c r="AV435" s="1833"/>
      <c r="AW435" s="1833"/>
      <c r="AX435" s="1833"/>
      <c r="AY435" s="1833"/>
      <c r="AZ435" s="1833"/>
      <c r="BA435" s="1833"/>
      <c r="BB435" s="1833"/>
      <c r="BC435" s="1833"/>
      <c r="BD435" s="1833"/>
      <c r="BE435" s="1833"/>
      <c r="BF435" s="1833"/>
      <c r="BG435" s="1646"/>
    </row>
    <row customHeight="1" ht="11.25">
      <c r="A436" s="1177" t="s">
        <v>1088</v>
      </c>
      <c r="B436" s="1177"/>
      <c r="C436" s="1177"/>
      <c r="D436" s="1171"/>
      <c r="E436" s="1181"/>
      <c r="F436" s="1839"/>
      <c r="G436" s="1840"/>
      <c r="H436" s="2545" t="s">
        <v>122</v>
      </c>
      <c r="I436" s="2546"/>
      <c r="J436" s="2515"/>
      <c r="K436" s="2547"/>
      <c r="L436" s="2137"/>
      <c r="M436" s="2138"/>
      <c r="N436" s="2538"/>
      <c r="O436" s="2539">
        <v>1</v>
      </c>
      <c r="P436" s="2540" t="s">
        <v>19</v>
      </c>
      <c r="Q436" s="2543" t="s">
        <v>22</v>
      </c>
      <c r="R436" s="2543" t="s">
        <v>22</v>
      </c>
      <c r="S436" s="2543" t="s">
        <v>22</v>
      </c>
      <c r="T436" s="2543" t="s">
        <v>22</v>
      </c>
      <c r="U436" s="2543" t="s">
        <v>22</v>
      </c>
      <c r="V436" s="2543" t="s">
        <v>22</v>
      </c>
      <c r="W436" s="2543" t="s">
        <v>22</v>
      </c>
      <c r="X436" s="2543" t="s">
        <v>22</v>
      </c>
      <c r="Y436" s="2543"/>
      <c r="Z436" s="1186"/>
      <c r="AA436" s="1187"/>
      <c r="AB436" s="1187"/>
      <c r="AC436" s="1191"/>
      <c r="AD436" s="1191"/>
      <c r="AE436" s="1192"/>
      <c r="AF436" s="2536"/>
      <c r="AG436" s="2537"/>
      <c r="AH436" s="2537"/>
      <c r="AI436" s="2916"/>
      <c r="AJ436" s="2537"/>
      <c r="AK436" s="2537"/>
      <c r="AL436" s="1996"/>
      <c r="AM436" s="1833"/>
      <c r="AN436" s="1833"/>
      <c r="AO436" s="1833"/>
      <c r="AP436" s="1833"/>
      <c r="AQ436" s="1833"/>
      <c r="AR436" s="1833"/>
      <c r="AS436" s="1833"/>
      <c r="AT436" s="1833"/>
      <c r="AU436" s="1833"/>
      <c r="AV436" s="1833"/>
      <c r="AW436" s="1833"/>
      <c r="AX436" s="1833"/>
      <c r="AY436" s="1833"/>
      <c r="AZ436" s="1833"/>
      <c r="BA436" s="1833"/>
      <c r="BB436" s="1833"/>
      <c r="BC436" s="1833"/>
      <c r="BD436" s="1833"/>
      <c r="BE436" s="1833"/>
      <c r="BF436" s="1833"/>
      <c r="BG436" s="1646"/>
    </row>
    <row customHeight="1" ht="11.25">
      <c r="A437" s="1177" t="s">
        <v>1088</v>
      </c>
      <c r="B437" s="1177"/>
      <c r="C437" s="1177"/>
      <c r="D437" s="1171"/>
      <c r="E437" s="1181"/>
      <c r="F437" s="1839"/>
      <c r="G437" s="1840"/>
      <c r="H437" s="2545" t="s">
        <v>122</v>
      </c>
      <c r="I437" s="2546"/>
      <c r="J437" s="2515"/>
      <c r="K437" s="2547"/>
      <c r="L437" s="2137"/>
      <c r="M437" s="2138"/>
      <c r="N437" s="2538"/>
      <c r="O437" s="2539"/>
      <c r="P437" s="2541"/>
      <c r="Q437" s="2543"/>
      <c r="R437" s="2543"/>
      <c r="S437" s="2544"/>
      <c r="T437" s="2543"/>
      <c r="U437" s="2543"/>
      <c r="V437" s="2543"/>
      <c r="W437" s="2543"/>
      <c r="X437" s="2543"/>
      <c r="Y437" s="2543"/>
      <c r="Z437" s="1838"/>
      <c r="AA437" s="1804">
        <v>1</v>
      </c>
      <c r="AB437" s="1190" t="s">
        <v>1234</v>
      </c>
      <c r="AC437" s="1180">
        <v>193247.27</v>
      </c>
      <c r="AD437" s="1190" t="str">
        <f>AB437</f>
        <v>  Прочие</v>
      </c>
      <c r="AE437" s="1180">
        <v>0</v>
      </c>
      <c r="AF437" s="2536"/>
      <c r="AG437" s="2537"/>
      <c r="AH437" s="2537"/>
      <c r="AI437" s="2916"/>
      <c r="AJ437" s="2537"/>
      <c r="AK437" s="2537"/>
      <c r="AL437" s="1996"/>
      <c r="AM437" s="1833"/>
      <c r="AN437" s="1833"/>
      <c r="AO437" s="1833"/>
      <c r="AP437" s="1833"/>
      <c r="AQ437" s="1833"/>
      <c r="AR437" s="1833"/>
      <c r="AS437" s="1833"/>
      <c r="AT437" s="1833"/>
      <c r="AU437" s="1833"/>
      <c r="AV437" s="1833"/>
      <c r="AW437" s="1833"/>
      <c r="AX437" s="1833"/>
      <c r="AY437" s="1833"/>
      <c r="AZ437" s="1833"/>
      <c r="BA437" s="1833"/>
      <c r="BB437" s="1833"/>
      <c r="BC437" s="1833"/>
      <c r="BD437" s="1833"/>
      <c r="BE437" s="1833"/>
      <c r="BF437" s="1833"/>
      <c r="BG437" s="1646"/>
    </row>
    <row customHeight="1" ht="11.25">
      <c r="A438" s="1177" t="s">
        <v>1088</v>
      </c>
      <c r="B438" s="1177"/>
      <c r="C438" s="1177"/>
      <c r="D438" s="1171"/>
      <c r="E438" s="1181"/>
      <c r="F438" s="1839"/>
      <c r="G438" s="1840"/>
      <c r="H438" s="2545" t="s">
        <v>122</v>
      </c>
      <c r="I438" s="2546"/>
      <c r="J438" s="2515"/>
      <c r="K438" s="2547"/>
      <c r="L438" s="2137"/>
      <c r="M438" s="2138"/>
      <c r="N438" s="2538"/>
      <c r="O438" s="2539"/>
      <c r="P438" s="2542"/>
      <c r="Q438" s="2543"/>
      <c r="R438" s="2543"/>
      <c r="S438" s="2544"/>
      <c r="T438" s="2543"/>
      <c r="U438" s="2543"/>
      <c r="V438" s="2543"/>
      <c r="W438" s="2543"/>
      <c r="X438" s="2543"/>
      <c r="Y438" s="2543"/>
      <c r="Z438" s="1186"/>
      <c r="AA438" s="1187"/>
      <c r="AB438" s="1252" t="s">
        <v>1130</v>
      </c>
      <c r="AC438" s="1191"/>
      <c r="AD438" s="1191"/>
      <c r="AE438" s="1193"/>
      <c r="AF438" s="2536"/>
      <c r="AG438" s="2537"/>
      <c r="AH438" s="2537"/>
      <c r="AI438" s="2916"/>
      <c r="AJ438" s="2537"/>
      <c r="AK438" s="2537"/>
      <c r="AL438" s="1996"/>
      <c r="AM438" s="1833"/>
      <c r="AN438" s="1833"/>
      <c r="AO438" s="1833"/>
      <c r="AP438" s="1833"/>
      <c r="AQ438" s="1833"/>
      <c r="AR438" s="1833"/>
      <c r="AS438" s="1833"/>
      <c r="AT438" s="1833"/>
      <c r="AU438" s="1833"/>
      <c r="AV438" s="1833"/>
      <c r="AW438" s="1833"/>
      <c r="AX438" s="1833"/>
      <c r="AY438" s="1833"/>
      <c r="AZ438" s="1833"/>
      <c r="BA438" s="1833"/>
      <c r="BB438" s="1833"/>
      <c r="BC438" s="1833"/>
      <c r="BD438" s="1833"/>
      <c r="BE438" s="1833"/>
      <c r="BF438" s="1833"/>
      <c r="BG438" s="1646"/>
    </row>
    <row customHeight="1" ht="11.25">
      <c r="A439" s="1177" t="s">
        <v>1088</v>
      </c>
      <c r="B439" s="1177"/>
      <c r="C439" s="1177"/>
      <c r="D439" s="1171"/>
      <c r="E439" s="1181"/>
      <c r="F439" s="1839"/>
      <c r="G439" s="1840"/>
      <c r="H439" s="2545" t="s">
        <v>122</v>
      </c>
      <c r="I439" s="2546"/>
      <c r="J439" s="2515"/>
      <c r="K439" s="2547"/>
      <c r="L439" s="2137"/>
      <c r="M439" s="2138"/>
      <c r="N439" s="1186"/>
      <c r="O439" s="1187"/>
      <c r="P439" s="1179" t="s">
        <v>1131</v>
      </c>
      <c r="Q439" s="1187"/>
      <c r="R439" s="1187"/>
      <c r="S439" s="1187"/>
      <c r="T439" s="1187"/>
      <c r="U439" s="1187"/>
      <c r="V439" s="1187"/>
      <c r="W439" s="1187"/>
      <c r="X439" s="1187"/>
      <c r="Y439" s="1187"/>
      <c r="Z439" s="1187"/>
      <c r="AA439" s="1187"/>
      <c r="AB439" s="1187"/>
      <c r="AC439" s="1187"/>
      <c r="AD439" s="1187"/>
      <c r="AE439" s="1194"/>
      <c r="AF439" s="2536"/>
      <c r="AG439" s="2537"/>
      <c r="AH439" s="2537"/>
      <c r="AI439" s="2916"/>
      <c r="AJ439" s="2537"/>
      <c r="AK439" s="2537"/>
      <c r="AL439" s="1996"/>
      <c r="AM439" s="1833"/>
      <c r="AN439" s="1833"/>
      <c r="AO439" s="1833"/>
      <c r="AP439" s="1833"/>
      <c r="AQ439" s="1833"/>
      <c r="AR439" s="1833"/>
      <c r="AS439" s="1833"/>
      <c r="AT439" s="1833"/>
      <c r="AU439" s="1833"/>
      <c r="AV439" s="1833"/>
      <c r="AW439" s="1833"/>
      <c r="AX439" s="1833"/>
      <c r="AY439" s="1833"/>
      <c r="AZ439" s="1833"/>
      <c r="BA439" s="1833"/>
      <c r="BB439" s="1833"/>
      <c r="BC439" s="1833"/>
      <c r="BD439" s="1833"/>
      <c r="BE439" s="1833"/>
      <c r="BF439" s="1833"/>
      <c r="BG439" s="1646"/>
    </row>
    <row customHeight="1" ht="11.25">
      <c r="A440" s="1177" t="s">
        <v>1088</v>
      </c>
      <c r="B440" s="1177" t="s">
        <v>1155</v>
      </c>
      <c r="C440" s="1177"/>
      <c r="D440" s="1171"/>
      <c r="E440" s="1181"/>
      <c r="F440" s="1839"/>
      <c r="G440" s="694" t="s">
        <v>105</v>
      </c>
      <c r="H440" s="2545" t="s">
        <v>165</v>
      </c>
      <c r="I440" s="2546" t="s">
        <v>1156</v>
      </c>
      <c r="J440" s="2515" t="s">
        <v>1160</v>
      </c>
      <c r="K440" s="2547" t="s">
        <v>1255</v>
      </c>
      <c r="L440" s="2137" t="s">
        <v>19</v>
      </c>
      <c r="M440" s="2138"/>
      <c r="N440" s="1994"/>
      <c r="O440" s="1188" t="s">
        <v>390</v>
      </c>
      <c r="P440" s="1189"/>
      <c r="Q440" s="1189"/>
      <c r="R440" s="1189"/>
      <c r="S440" s="1189"/>
      <c r="T440" s="1189"/>
      <c r="U440" s="1189"/>
      <c r="V440" s="1189"/>
      <c r="W440" s="1189"/>
      <c r="X440" s="1189"/>
      <c r="Y440" s="1189"/>
      <c r="Z440" s="1189"/>
      <c r="AA440" s="1189"/>
      <c r="AB440" s="1189"/>
      <c r="AC440" s="1189"/>
      <c r="AD440" s="1189"/>
      <c r="AE440" s="1189"/>
      <c r="AF440" s="2536">
        <v>2027</v>
      </c>
      <c r="AG440" s="2537" t="s">
        <v>1122</v>
      </c>
      <c r="AH440" s="2537" t="s">
        <v>1164</v>
      </c>
      <c r="AI440" s="2916"/>
      <c r="AJ440" s="2537" t="s">
        <v>1154</v>
      </c>
      <c r="AK440" s="2537" t="s">
        <v>1154</v>
      </c>
      <c r="AL440" s="1996"/>
      <c r="AM440" s="1833"/>
      <c r="AN440" s="1833"/>
      <c r="AO440" s="1833"/>
      <c r="AP440" s="1833"/>
      <c r="AQ440" s="1833"/>
      <c r="AR440" s="1833"/>
      <c r="AS440" s="1833"/>
      <c r="AT440" s="1833"/>
      <c r="AU440" s="1833"/>
      <c r="AV440" s="1833"/>
      <c r="AW440" s="1833"/>
      <c r="AX440" s="1833"/>
      <c r="AY440" s="1833"/>
      <c r="AZ440" s="1833"/>
      <c r="BA440" s="1833"/>
      <c r="BB440" s="1833"/>
      <c r="BC440" s="1833"/>
      <c r="BD440" s="1833"/>
      <c r="BE440" s="1833"/>
      <c r="BF440" s="1833"/>
      <c r="BG440" s="1646"/>
    </row>
    <row customHeight="1" ht="11.25">
      <c r="A441" s="1177" t="s">
        <v>1088</v>
      </c>
      <c r="B441" s="1177"/>
      <c r="C441" s="1177"/>
      <c r="D441" s="1171"/>
      <c r="E441" s="1181"/>
      <c r="F441" s="1839"/>
      <c r="G441" s="1840"/>
      <c r="H441" s="2545" t="s">
        <v>164</v>
      </c>
      <c r="I441" s="2546"/>
      <c r="J441" s="2515"/>
      <c r="K441" s="2547"/>
      <c r="L441" s="2137"/>
      <c r="M441" s="2138"/>
      <c r="N441" s="2538"/>
      <c r="O441" s="2539">
        <v>1</v>
      </c>
      <c r="P441" s="2540" t="s">
        <v>19</v>
      </c>
      <c r="Q441" s="2543" t="s">
        <v>22</v>
      </c>
      <c r="R441" s="2543" t="s">
        <v>22</v>
      </c>
      <c r="S441" s="2543" t="s">
        <v>22</v>
      </c>
      <c r="T441" s="2543" t="s">
        <v>22</v>
      </c>
      <c r="U441" s="2543" t="s">
        <v>22</v>
      </c>
      <c r="V441" s="2543" t="s">
        <v>22</v>
      </c>
      <c r="W441" s="2543" t="s">
        <v>22</v>
      </c>
      <c r="X441" s="2543" t="s">
        <v>22</v>
      </c>
      <c r="Y441" s="2543"/>
      <c r="Z441" s="1186"/>
      <c r="AA441" s="1187"/>
      <c r="AB441" s="1187"/>
      <c r="AC441" s="1191"/>
      <c r="AD441" s="1191"/>
      <c r="AE441" s="1192"/>
      <c r="AF441" s="2536"/>
      <c r="AG441" s="2537"/>
      <c r="AH441" s="2537"/>
      <c r="AI441" s="2916"/>
      <c r="AJ441" s="2537"/>
      <c r="AK441" s="2537"/>
      <c r="AL441" s="1996"/>
      <c r="AM441" s="1833"/>
      <c r="AN441" s="1833"/>
      <c r="AO441" s="1833"/>
      <c r="AP441" s="1833"/>
      <c r="AQ441" s="1833"/>
      <c r="AR441" s="1833"/>
      <c r="AS441" s="1833"/>
      <c r="AT441" s="1833"/>
      <c r="AU441" s="1833"/>
      <c r="AV441" s="1833"/>
      <c r="AW441" s="1833"/>
      <c r="AX441" s="1833"/>
      <c r="AY441" s="1833"/>
      <c r="AZ441" s="1833"/>
      <c r="BA441" s="1833"/>
      <c r="BB441" s="1833"/>
      <c r="BC441" s="1833"/>
      <c r="BD441" s="1833"/>
      <c r="BE441" s="1833"/>
      <c r="BF441" s="1833"/>
      <c r="BG441" s="1646"/>
    </row>
    <row customHeight="1" ht="11.25">
      <c r="A442" s="1177" t="s">
        <v>1088</v>
      </c>
      <c r="B442" s="1177"/>
      <c r="C442" s="1177"/>
      <c r="D442" s="1171"/>
      <c r="E442" s="1181"/>
      <c r="F442" s="1839"/>
      <c r="G442" s="1840"/>
      <c r="H442" s="2545" t="s">
        <v>164</v>
      </c>
      <c r="I442" s="2546"/>
      <c r="J442" s="2515"/>
      <c r="K442" s="2547"/>
      <c r="L442" s="2137"/>
      <c r="M442" s="2138"/>
      <c r="N442" s="2538"/>
      <c r="O442" s="2539"/>
      <c r="P442" s="2541"/>
      <c r="Q442" s="2543"/>
      <c r="R442" s="2543"/>
      <c r="S442" s="2544"/>
      <c r="T442" s="2543"/>
      <c r="U442" s="2543"/>
      <c r="V442" s="2543"/>
      <c r="W442" s="2543"/>
      <c r="X442" s="2543"/>
      <c r="Y442" s="2543"/>
      <c r="Z442" s="1838"/>
      <c r="AA442" s="1804">
        <v>1</v>
      </c>
      <c r="AB442" s="1190" t="s">
        <v>1234</v>
      </c>
      <c r="AC442" s="1180">
        <v>472222.74</v>
      </c>
      <c r="AD442" s="1190" t="str">
        <f>AB442</f>
        <v>  Прочие</v>
      </c>
      <c r="AE442" s="1180">
        <v>0</v>
      </c>
      <c r="AF442" s="2536"/>
      <c r="AG442" s="2537"/>
      <c r="AH442" s="2537"/>
      <c r="AI442" s="2916"/>
      <c r="AJ442" s="2537"/>
      <c r="AK442" s="2537"/>
      <c r="AL442" s="1996"/>
      <c r="AM442" s="1833"/>
      <c r="AN442" s="1833"/>
      <c r="AO442" s="1833"/>
      <c r="AP442" s="1833"/>
      <c r="AQ442" s="1833"/>
      <c r="AR442" s="1833"/>
      <c r="AS442" s="1833"/>
      <c r="AT442" s="1833"/>
      <c r="AU442" s="1833"/>
      <c r="AV442" s="1833"/>
      <c r="AW442" s="1833"/>
      <c r="AX442" s="1833"/>
      <c r="AY442" s="1833"/>
      <c r="AZ442" s="1833"/>
      <c r="BA442" s="1833"/>
      <c r="BB442" s="1833"/>
      <c r="BC442" s="1833"/>
      <c r="BD442" s="1833"/>
      <c r="BE442" s="1833"/>
      <c r="BF442" s="1833"/>
      <c r="BG442" s="1646"/>
    </row>
    <row customHeight="1" ht="11.25">
      <c r="A443" s="1177" t="s">
        <v>1088</v>
      </c>
      <c r="B443" s="1177"/>
      <c r="C443" s="1177"/>
      <c r="D443" s="1171"/>
      <c r="E443" s="1181"/>
      <c r="F443" s="1839"/>
      <c r="G443" s="1840"/>
      <c r="H443" s="2545" t="s">
        <v>164</v>
      </c>
      <c r="I443" s="2546"/>
      <c r="J443" s="2515"/>
      <c r="K443" s="2547"/>
      <c r="L443" s="2137"/>
      <c r="M443" s="2138"/>
      <c r="N443" s="2538"/>
      <c r="O443" s="2539"/>
      <c r="P443" s="2542"/>
      <c r="Q443" s="2543"/>
      <c r="R443" s="2543"/>
      <c r="S443" s="2544"/>
      <c r="T443" s="2543"/>
      <c r="U443" s="2543"/>
      <c r="V443" s="2543"/>
      <c r="W443" s="2543"/>
      <c r="X443" s="2543"/>
      <c r="Y443" s="2543"/>
      <c r="Z443" s="1186"/>
      <c r="AA443" s="1187"/>
      <c r="AB443" s="1252" t="s">
        <v>1130</v>
      </c>
      <c r="AC443" s="1191"/>
      <c r="AD443" s="1191"/>
      <c r="AE443" s="1193"/>
      <c r="AF443" s="2536"/>
      <c r="AG443" s="2537"/>
      <c r="AH443" s="2537"/>
      <c r="AI443" s="2916"/>
      <c r="AJ443" s="2537"/>
      <c r="AK443" s="2537"/>
      <c r="AL443" s="1996"/>
      <c r="AM443" s="1833"/>
      <c r="AN443" s="1833"/>
      <c r="AO443" s="1833"/>
      <c r="AP443" s="1833"/>
      <c r="AQ443" s="1833"/>
      <c r="AR443" s="1833"/>
      <c r="AS443" s="1833"/>
      <c r="AT443" s="1833"/>
      <c r="AU443" s="1833"/>
      <c r="AV443" s="1833"/>
      <c r="AW443" s="1833"/>
      <c r="AX443" s="1833"/>
      <c r="AY443" s="1833"/>
      <c r="AZ443" s="1833"/>
      <c r="BA443" s="1833"/>
      <c r="BB443" s="1833"/>
      <c r="BC443" s="1833"/>
      <c r="BD443" s="1833"/>
      <c r="BE443" s="1833"/>
      <c r="BF443" s="1833"/>
      <c r="BG443" s="1646"/>
    </row>
    <row customHeight="1" ht="11.25">
      <c r="A444" s="1177" t="s">
        <v>1088</v>
      </c>
      <c r="B444" s="1177"/>
      <c r="C444" s="1177"/>
      <c r="D444" s="1171"/>
      <c r="E444" s="1181"/>
      <c r="F444" s="1839"/>
      <c r="G444" s="1840"/>
      <c r="H444" s="2545" t="s">
        <v>164</v>
      </c>
      <c r="I444" s="2546"/>
      <c r="J444" s="2515"/>
      <c r="K444" s="2547"/>
      <c r="L444" s="2137"/>
      <c r="M444" s="2138"/>
      <c r="N444" s="1186"/>
      <c r="O444" s="1187"/>
      <c r="P444" s="1179" t="s">
        <v>1131</v>
      </c>
      <c r="Q444" s="1187"/>
      <c r="R444" s="1187"/>
      <c r="S444" s="1187"/>
      <c r="T444" s="1187"/>
      <c r="U444" s="1187"/>
      <c r="V444" s="1187"/>
      <c r="W444" s="1187"/>
      <c r="X444" s="1187"/>
      <c r="Y444" s="1187"/>
      <c r="Z444" s="1187"/>
      <c r="AA444" s="1187"/>
      <c r="AB444" s="1187"/>
      <c r="AC444" s="1187"/>
      <c r="AD444" s="1187"/>
      <c r="AE444" s="1194"/>
      <c r="AF444" s="2536"/>
      <c r="AG444" s="2537"/>
      <c r="AH444" s="2537"/>
      <c r="AI444" s="2916"/>
      <c r="AJ444" s="2537"/>
      <c r="AK444" s="2537"/>
      <c r="AL444" s="1996"/>
      <c r="AM444" s="1833"/>
      <c r="AN444" s="1833"/>
      <c r="AO444" s="1833"/>
      <c r="AP444" s="1833"/>
      <c r="AQ444" s="1833"/>
      <c r="AR444" s="1833"/>
      <c r="AS444" s="1833"/>
      <c r="AT444" s="1833"/>
      <c r="AU444" s="1833"/>
      <c r="AV444" s="1833"/>
      <c r="AW444" s="1833"/>
      <c r="AX444" s="1833"/>
      <c r="AY444" s="1833"/>
      <c r="AZ444" s="1833"/>
      <c r="BA444" s="1833"/>
      <c r="BB444" s="1833"/>
      <c r="BC444" s="1833"/>
      <c r="BD444" s="1833"/>
      <c r="BE444" s="1833"/>
      <c r="BF444" s="1833"/>
      <c r="BG444" s="1646"/>
    </row>
    <row customHeight="1" ht="11.25">
      <c r="A445" s="1177" t="s">
        <v>1088</v>
      </c>
      <c r="B445" s="1177" t="s">
        <v>1155</v>
      </c>
      <c r="C445" s="1177"/>
      <c r="D445" s="1171"/>
      <c r="E445" s="1181"/>
      <c r="F445" s="1839"/>
      <c r="G445" s="694" t="s">
        <v>105</v>
      </c>
      <c r="H445" s="2545" t="s">
        <v>166</v>
      </c>
      <c r="I445" s="2546" t="s">
        <v>1156</v>
      </c>
      <c r="J445" s="2515" t="s">
        <v>1160</v>
      </c>
      <c r="K445" s="2547" t="s">
        <v>1256</v>
      </c>
      <c r="L445" s="2137" t="s">
        <v>19</v>
      </c>
      <c r="M445" s="2138"/>
      <c r="N445" s="1994"/>
      <c r="O445" s="1188" t="s">
        <v>390</v>
      </c>
      <c r="P445" s="1189"/>
      <c r="Q445" s="1189"/>
      <c r="R445" s="1189"/>
      <c r="S445" s="1189"/>
      <c r="T445" s="1189"/>
      <c r="U445" s="1189"/>
      <c r="V445" s="1189"/>
      <c r="W445" s="1189"/>
      <c r="X445" s="1189"/>
      <c r="Y445" s="1189"/>
      <c r="Z445" s="1189"/>
      <c r="AA445" s="1189"/>
      <c r="AB445" s="1189"/>
      <c r="AC445" s="1189"/>
      <c r="AD445" s="1189"/>
      <c r="AE445" s="1189"/>
      <c r="AF445" s="2536">
        <v>2027</v>
      </c>
      <c r="AG445" s="2537" t="s">
        <v>1122</v>
      </c>
      <c r="AH445" s="2537" t="s">
        <v>1164</v>
      </c>
      <c r="AI445" s="2916"/>
      <c r="AJ445" s="2537" t="s">
        <v>1154</v>
      </c>
      <c r="AK445" s="2537" t="s">
        <v>1154</v>
      </c>
      <c r="AL445" s="1996"/>
      <c r="AM445" s="1833"/>
      <c r="AN445" s="1833"/>
      <c r="AO445" s="1833"/>
      <c r="AP445" s="1833"/>
      <c r="AQ445" s="1833"/>
      <c r="AR445" s="1833"/>
      <c r="AS445" s="1833"/>
      <c r="AT445" s="1833"/>
      <c r="AU445" s="1833"/>
      <c r="AV445" s="1833"/>
      <c r="AW445" s="1833"/>
      <c r="AX445" s="1833"/>
      <c r="AY445" s="1833"/>
      <c r="AZ445" s="1833"/>
      <c r="BA445" s="1833"/>
      <c r="BB445" s="1833"/>
      <c r="BC445" s="1833"/>
      <c r="BD445" s="1833"/>
      <c r="BE445" s="1833"/>
      <c r="BF445" s="1833"/>
      <c r="BG445" s="1646"/>
    </row>
    <row customHeight="1" ht="11.25">
      <c r="A446" s="1177" t="s">
        <v>1088</v>
      </c>
      <c r="B446" s="1177"/>
      <c r="C446" s="1177"/>
      <c r="D446" s="1171"/>
      <c r="E446" s="1181"/>
      <c r="F446" s="1839"/>
      <c r="G446" s="1840"/>
      <c r="H446" s="2545" t="s">
        <v>165</v>
      </c>
      <c r="I446" s="2546"/>
      <c r="J446" s="2515"/>
      <c r="K446" s="2547"/>
      <c r="L446" s="2137"/>
      <c r="M446" s="2138"/>
      <c r="N446" s="2538"/>
      <c r="O446" s="2539">
        <v>1</v>
      </c>
      <c r="P446" s="2540" t="s">
        <v>19</v>
      </c>
      <c r="Q446" s="2543" t="s">
        <v>22</v>
      </c>
      <c r="R446" s="2543" t="s">
        <v>22</v>
      </c>
      <c r="S446" s="2543" t="s">
        <v>22</v>
      </c>
      <c r="T446" s="2543" t="s">
        <v>22</v>
      </c>
      <c r="U446" s="2543" t="s">
        <v>22</v>
      </c>
      <c r="V446" s="2543" t="s">
        <v>22</v>
      </c>
      <c r="W446" s="2543" t="s">
        <v>22</v>
      </c>
      <c r="X446" s="2543" t="s">
        <v>22</v>
      </c>
      <c r="Y446" s="2543"/>
      <c r="Z446" s="1186"/>
      <c r="AA446" s="1187"/>
      <c r="AB446" s="1187"/>
      <c r="AC446" s="1191"/>
      <c r="AD446" s="1191"/>
      <c r="AE446" s="1192"/>
      <c r="AF446" s="2536"/>
      <c r="AG446" s="2537"/>
      <c r="AH446" s="2537"/>
      <c r="AI446" s="2916"/>
      <c r="AJ446" s="2537"/>
      <c r="AK446" s="2537"/>
      <c r="AL446" s="1996"/>
      <c r="AM446" s="1833"/>
      <c r="AN446" s="1833"/>
      <c r="AO446" s="1833"/>
      <c r="AP446" s="1833"/>
      <c r="AQ446" s="1833"/>
      <c r="AR446" s="1833"/>
      <c r="AS446" s="1833"/>
      <c r="AT446" s="1833"/>
      <c r="AU446" s="1833"/>
      <c r="AV446" s="1833"/>
      <c r="AW446" s="1833"/>
      <c r="AX446" s="1833"/>
      <c r="AY446" s="1833"/>
      <c r="AZ446" s="1833"/>
      <c r="BA446" s="1833"/>
      <c r="BB446" s="1833"/>
      <c r="BC446" s="1833"/>
      <c r="BD446" s="1833"/>
      <c r="BE446" s="1833"/>
      <c r="BF446" s="1833"/>
      <c r="BG446" s="1646"/>
    </row>
    <row customHeight="1" ht="11.25">
      <c r="A447" s="1177" t="s">
        <v>1088</v>
      </c>
      <c r="B447" s="1177"/>
      <c r="C447" s="1177"/>
      <c r="D447" s="1171"/>
      <c r="E447" s="1181"/>
      <c r="F447" s="1839"/>
      <c r="G447" s="1840"/>
      <c r="H447" s="2545" t="s">
        <v>165</v>
      </c>
      <c r="I447" s="2546"/>
      <c r="J447" s="2515"/>
      <c r="K447" s="2547"/>
      <c r="L447" s="2137"/>
      <c r="M447" s="2138"/>
      <c r="N447" s="2538"/>
      <c r="O447" s="2539"/>
      <c r="P447" s="2541"/>
      <c r="Q447" s="2543"/>
      <c r="R447" s="2543"/>
      <c r="S447" s="2544"/>
      <c r="T447" s="2543"/>
      <c r="U447" s="2543"/>
      <c r="V447" s="2543"/>
      <c r="W447" s="2543"/>
      <c r="X447" s="2543"/>
      <c r="Y447" s="2543"/>
      <c r="Z447" s="1838"/>
      <c r="AA447" s="1804">
        <v>1</v>
      </c>
      <c r="AB447" s="1190" t="s">
        <v>1234</v>
      </c>
      <c r="AC447" s="1180">
        <v>147343.73</v>
      </c>
      <c r="AD447" s="1190" t="str">
        <f>AB447</f>
        <v>  Прочие</v>
      </c>
      <c r="AE447" s="1180">
        <v>0</v>
      </c>
      <c r="AF447" s="2536"/>
      <c r="AG447" s="2537"/>
      <c r="AH447" s="2537"/>
      <c r="AI447" s="2916"/>
      <c r="AJ447" s="2537"/>
      <c r="AK447" s="2537"/>
      <c r="AL447" s="1996"/>
      <c r="AM447" s="1833"/>
      <c r="AN447" s="1833"/>
      <c r="AO447" s="1833"/>
      <c r="AP447" s="1833"/>
      <c r="AQ447" s="1833"/>
      <c r="AR447" s="1833"/>
      <c r="AS447" s="1833"/>
      <c r="AT447" s="1833"/>
      <c r="AU447" s="1833"/>
      <c r="AV447" s="1833"/>
      <c r="AW447" s="1833"/>
      <c r="AX447" s="1833"/>
      <c r="AY447" s="1833"/>
      <c r="AZ447" s="1833"/>
      <c r="BA447" s="1833"/>
      <c r="BB447" s="1833"/>
      <c r="BC447" s="1833"/>
      <c r="BD447" s="1833"/>
      <c r="BE447" s="1833"/>
      <c r="BF447" s="1833"/>
      <c r="BG447" s="1646"/>
    </row>
    <row customHeight="1" ht="11.25">
      <c r="A448" s="1177" t="s">
        <v>1088</v>
      </c>
      <c r="B448" s="1177"/>
      <c r="C448" s="1177"/>
      <c r="D448" s="1171"/>
      <c r="E448" s="1181"/>
      <c r="F448" s="1839"/>
      <c r="G448" s="1840"/>
      <c r="H448" s="2545" t="s">
        <v>165</v>
      </c>
      <c r="I448" s="2546"/>
      <c r="J448" s="2515"/>
      <c r="K448" s="2547"/>
      <c r="L448" s="2137"/>
      <c r="M448" s="2138"/>
      <c r="N448" s="2538"/>
      <c r="O448" s="2539"/>
      <c r="P448" s="2542"/>
      <c r="Q448" s="2543"/>
      <c r="R448" s="2543"/>
      <c r="S448" s="2544"/>
      <c r="T448" s="2543"/>
      <c r="U448" s="2543"/>
      <c r="V448" s="2543"/>
      <c r="W448" s="2543"/>
      <c r="X448" s="2543"/>
      <c r="Y448" s="2543"/>
      <c r="Z448" s="1186"/>
      <c r="AA448" s="1187"/>
      <c r="AB448" s="1252" t="s">
        <v>1130</v>
      </c>
      <c r="AC448" s="1191"/>
      <c r="AD448" s="1191"/>
      <c r="AE448" s="1193"/>
      <c r="AF448" s="2536"/>
      <c r="AG448" s="2537"/>
      <c r="AH448" s="2537"/>
      <c r="AI448" s="2916"/>
      <c r="AJ448" s="2537"/>
      <c r="AK448" s="2537"/>
      <c r="AL448" s="1996"/>
      <c r="AM448" s="1833"/>
      <c r="AN448" s="1833"/>
      <c r="AO448" s="1833"/>
      <c r="AP448" s="1833"/>
      <c r="AQ448" s="1833"/>
      <c r="AR448" s="1833"/>
      <c r="AS448" s="1833"/>
      <c r="AT448" s="1833"/>
      <c r="AU448" s="1833"/>
      <c r="AV448" s="1833"/>
      <c r="AW448" s="1833"/>
      <c r="AX448" s="1833"/>
      <c r="AY448" s="1833"/>
      <c r="AZ448" s="1833"/>
      <c r="BA448" s="1833"/>
      <c r="BB448" s="1833"/>
      <c r="BC448" s="1833"/>
      <c r="BD448" s="1833"/>
      <c r="BE448" s="1833"/>
      <c r="BF448" s="1833"/>
      <c r="BG448" s="1646"/>
    </row>
    <row customHeight="1" ht="11.25">
      <c r="A449" s="1177" t="s">
        <v>1088</v>
      </c>
      <c r="B449" s="1177"/>
      <c r="C449" s="1177"/>
      <c r="D449" s="1171"/>
      <c r="E449" s="1181"/>
      <c r="F449" s="1839"/>
      <c r="G449" s="1840"/>
      <c r="H449" s="2545" t="s">
        <v>165</v>
      </c>
      <c r="I449" s="2546"/>
      <c r="J449" s="2515"/>
      <c r="K449" s="2547"/>
      <c r="L449" s="2137"/>
      <c r="M449" s="2138"/>
      <c r="N449" s="1186"/>
      <c r="O449" s="1187"/>
      <c r="P449" s="1179" t="s">
        <v>1131</v>
      </c>
      <c r="Q449" s="1187"/>
      <c r="R449" s="1187"/>
      <c r="S449" s="1187"/>
      <c r="T449" s="1187"/>
      <c r="U449" s="1187"/>
      <c r="V449" s="1187"/>
      <c r="W449" s="1187"/>
      <c r="X449" s="1187"/>
      <c r="Y449" s="1187"/>
      <c r="Z449" s="1187"/>
      <c r="AA449" s="1187"/>
      <c r="AB449" s="1187"/>
      <c r="AC449" s="1187"/>
      <c r="AD449" s="1187"/>
      <c r="AE449" s="1194"/>
      <c r="AF449" s="2536"/>
      <c r="AG449" s="2537"/>
      <c r="AH449" s="2537"/>
      <c r="AI449" s="2916"/>
      <c r="AJ449" s="2537"/>
      <c r="AK449" s="2537"/>
      <c r="AL449" s="1996"/>
      <c r="AM449" s="1833"/>
      <c r="AN449" s="1833"/>
      <c r="AO449" s="1833"/>
      <c r="AP449" s="1833"/>
      <c r="AQ449" s="1833"/>
      <c r="AR449" s="1833"/>
      <c r="AS449" s="1833"/>
      <c r="AT449" s="1833"/>
      <c r="AU449" s="1833"/>
      <c r="AV449" s="1833"/>
      <c r="AW449" s="1833"/>
      <c r="AX449" s="1833"/>
      <c r="AY449" s="1833"/>
      <c r="AZ449" s="1833"/>
      <c r="BA449" s="1833"/>
      <c r="BB449" s="1833"/>
      <c r="BC449" s="1833"/>
      <c r="BD449" s="1833"/>
      <c r="BE449" s="1833"/>
      <c r="BF449" s="1833"/>
      <c r="BG449" s="1646"/>
    </row>
    <row customHeight="1" ht="11.25">
      <c r="A450" s="1177" t="s">
        <v>1088</v>
      </c>
      <c r="B450" s="1177" t="s">
        <v>1155</v>
      </c>
      <c r="C450" s="1177"/>
      <c r="D450" s="1171"/>
      <c r="E450" s="1181"/>
      <c r="F450" s="1839"/>
      <c r="G450" s="694" t="s">
        <v>105</v>
      </c>
      <c r="H450" s="2545" t="s">
        <v>167</v>
      </c>
      <c r="I450" s="2546" t="s">
        <v>1156</v>
      </c>
      <c r="J450" s="2515" t="s">
        <v>1157</v>
      </c>
      <c r="K450" s="2547" t="s">
        <v>1158</v>
      </c>
      <c r="L450" s="2137" t="s">
        <v>19</v>
      </c>
      <c r="M450" s="2138"/>
      <c r="N450" s="1994"/>
      <c r="O450" s="1188" t="s">
        <v>390</v>
      </c>
      <c r="P450" s="1189"/>
      <c r="Q450" s="1189"/>
      <c r="R450" s="1189"/>
      <c r="S450" s="1189"/>
      <c r="T450" s="1189"/>
      <c r="U450" s="1189"/>
      <c r="V450" s="1189"/>
      <c r="W450" s="1189"/>
      <c r="X450" s="1189"/>
      <c r="Y450" s="1189"/>
      <c r="Z450" s="1189"/>
      <c r="AA450" s="1189"/>
      <c r="AB450" s="1189"/>
      <c r="AC450" s="1189"/>
      <c r="AD450" s="1189"/>
      <c r="AE450" s="1189"/>
      <c r="AF450" s="2536">
        <v>2028</v>
      </c>
      <c r="AG450" s="2537" t="s">
        <v>1122</v>
      </c>
      <c r="AH450" s="2537" t="s">
        <v>1153</v>
      </c>
      <c r="AI450" s="2916"/>
      <c r="AJ450" s="2537" t="s">
        <v>1154</v>
      </c>
      <c r="AK450" s="2537" t="s">
        <v>1154</v>
      </c>
      <c r="AL450" s="1996"/>
      <c r="AM450" s="1833"/>
      <c r="AN450" s="1833"/>
      <c r="AO450" s="1833"/>
      <c r="AP450" s="1833"/>
      <c r="AQ450" s="1833"/>
      <c r="AR450" s="1833"/>
      <c r="AS450" s="1833"/>
      <c r="AT450" s="1833"/>
      <c r="AU450" s="1833"/>
      <c r="AV450" s="1833"/>
      <c r="AW450" s="1833"/>
      <c r="AX450" s="1833"/>
      <c r="AY450" s="1833"/>
      <c r="AZ450" s="1833"/>
      <c r="BA450" s="1833"/>
      <c r="BB450" s="1833"/>
      <c r="BC450" s="1833"/>
      <c r="BD450" s="1833"/>
      <c r="BE450" s="1833"/>
      <c r="BF450" s="1833"/>
      <c r="BG450" s="1646"/>
    </row>
    <row customHeight="1" ht="11.25">
      <c r="A451" s="1177" t="s">
        <v>1088</v>
      </c>
      <c r="B451" s="1177"/>
      <c r="C451" s="1177"/>
      <c r="D451" s="1171"/>
      <c r="E451" s="1181"/>
      <c r="F451" s="1839"/>
      <c r="G451" s="1840"/>
      <c r="H451" s="2545" t="s">
        <v>166</v>
      </c>
      <c r="I451" s="2546"/>
      <c r="J451" s="2515"/>
      <c r="K451" s="2547"/>
      <c r="L451" s="2137"/>
      <c r="M451" s="2138"/>
      <c r="N451" s="2538"/>
      <c r="O451" s="2539">
        <v>1</v>
      </c>
      <c r="P451" s="2540" t="s">
        <v>63</v>
      </c>
      <c r="Q451" s="2913" t="s">
        <v>1238</v>
      </c>
      <c r="R451" s="2914" t="s">
        <v>1124</v>
      </c>
      <c r="S451" s="2914" t="s">
        <v>101</v>
      </c>
      <c r="T451" s="2914" t="s">
        <v>101</v>
      </c>
      <c r="U451" s="2914" t="s">
        <v>102</v>
      </c>
      <c r="V451" s="2914" t="s">
        <v>1125</v>
      </c>
      <c r="W451" s="2914" t="s">
        <v>1126</v>
      </c>
      <c r="X451" s="2914" t="s">
        <v>1239</v>
      </c>
      <c r="Y451" s="2914" t="s">
        <v>93</v>
      </c>
      <c r="Z451" s="1186"/>
      <c r="AA451" s="1187"/>
      <c r="AB451" s="1187"/>
      <c r="AC451" s="1191"/>
      <c r="AD451" s="1191"/>
      <c r="AE451" s="1192"/>
      <c r="AF451" s="2536"/>
      <c r="AG451" s="2537"/>
      <c r="AH451" s="2537"/>
      <c r="AI451" s="2916"/>
      <c r="AJ451" s="2537"/>
      <c r="AK451" s="2537"/>
      <c r="AL451" s="1996"/>
      <c r="AM451" s="1833"/>
      <c r="AN451" s="1833"/>
      <c r="AO451" s="1833"/>
      <c r="AP451" s="1833"/>
      <c r="AQ451" s="1833"/>
      <c r="AR451" s="1833"/>
      <c r="AS451" s="1833"/>
      <c r="AT451" s="1833"/>
      <c r="AU451" s="1833"/>
      <c r="AV451" s="1833"/>
      <c r="AW451" s="1833"/>
      <c r="AX451" s="1833"/>
      <c r="AY451" s="1833"/>
      <c r="AZ451" s="1833"/>
      <c r="BA451" s="1833"/>
      <c r="BB451" s="1833"/>
      <c r="BC451" s="1833"/>
      <c r="BD451" s="1833"/>
      <c r="BE451" s="1833"/>
      <c r="BF451" s="1833"/>
      <c r="BG451" s="1646"/>
    </row>
    <row customHeight="1" ht="11.25">
      <c r="A452" s="1177" t="s">
        <v>1088</v>
      </c>
      <c r="B452" s="1177"/>
      <c r="C452" s="1177"/>
      <c r="D452" s="1171"/>
      <c r="E452" s="1181"/>
      <c r="F452" s="1839"/>
      <c r="G452" s="1840"/>
      <c r="H452" s="2545" t="s">
        <v>166</v>
      </c>
      <c r="I452" s="2546"/>
      <c r="J452" s="2515"/>
      <c r="K452" s="2547"/>
      <c r="L452" s="2137"/>
      <c r="M452" s="2138"/>
      <c r="N452" s="2538"/>
      <c r="O452" s="2539"/>
      <c r="P452" s="2541"/>
      <c r="Q452" s="2913"/>
      <c r="R452" s="2543"/>
      <c r="S452" s="2544"/>
      <c r="T452" s="2543"/>
      <c r="U452" s="2543"/>
      <c r="V452" s="2543"/>
      <c r="W452" s="2543"/>
      <c r="X452" s="2543"/>
      <c r="Y452" s="2543"/>
      <c r="Z452" s="1838"/>
      <c r="AA452" s="1804">
        <v>1</v>
      </c>
      <c r="AB452" s="1190" t="s">
        <v>1159</v>
      </c>
      <c r="AC452" s="1180">
        <v>10407.5</v>
      </c>
      <c r="AD452" s="1190" t="str">
        <f>AB452</f>
        <v>      Прочие амортизационные отчисления</v>
      </c>
      <c r="AE452" s="1180">
        <v>0</v>
      </c>
      <c r="AF452" s="2536"/>
      <c r="AG452" s="2537"/>
      <c r="AH452" s="2537"/>
      <c r="AI452" s="2916"/>
      <c r="AJ452" s="2537"/>
      <c r="AK452" s="2537"/>
      <c r="AL452" s="1996"/>
      <c r="AM452" s="1833"/>
      <c r="AN452" s="1833"/>
      <c r="AO452" s="1833"/>
      <c r="AP452" s="1833"/>
      <c r="AQ452" s="1833"/>
      <c r="AR452" s="1833"/>
      <c r="AS452" s="1833"/>
      <c r="AT452" s="1833"/>
      <c r="AU452" s="1833"/>
      <c r="AV452" s="1833"/>
      <c r="AW452" s="1833"/>
      <c r="AX452" s="1833"/>
      <c r="AY452" s="1833"/>
      <c r="AZ452" s="1833"/>
      <c r="BA452" s="1833"/>
      <c r="BB452" s="1833"/>
      <c r="BC452" s="1833"/>
      <c r="BD452" s="1833"/>
      <c r="BE452" s="1833"/>
      <c r="BF452" s="1833"/>
      <c r="BG452" s="1646"/>
    </row>
    <row customHeight="1" ht="11.25">
      <c r="A453" s="1177" t="s">
        <v>1088</v>
      </c>
      <c r="B453" s="1177"/>
      <c r="C453" s="1177"/>
      <c r="D453" s="1171"/>
      <c r="E453" s="1181"/>
      <c r="F453" s="1840"/>
      <c r="G453" s="1840"/>
      <c r="H453" s="1840"/>
      <c r="I453" s="1840"/>
      <c r="J453" s="1840"/>
      <c r="K453" s="1840"/>
      <c r="L453" s="1840"/>
      <c r="M453" s="1840"/>
      <c r="N453" s="1840"/>
      <c r="O453" s="1840"/>
      <c r="P453" s="1840"/>
      <c r="Q453" s="2919"/>
      <c r="R453" s="1840"/>
      <c r="S453" s="1840"/>
      <c r="T453" s="1840"/>
      <c r="U453" s="1840"/>
      <c r="V453" s="1840"/>
      <c r="W453" s="1840"/>
      <c r="X453" s="1840"/>
      <c r="Y453" s="1840"/>
      <c r="Z453" s="694" t="s">
        <v>105</v>
      </c>
      <c r="AA453" s="1824" t="s">
        <v>104</v>
      </c>
      <c r="AB453" s="1190" t="s">
        <v>1234</v>
      </c>
      <c r="AC453" s="1180">
        <v>264.59</v>
      </c>
      <c r="AD453" s="1190" t="str">
        <f>AB453</f>
        <v>  Прочие</v>
      </c>
      <c r="AE453" s="1180">
        <v>0</v>
      </c>
      <c r="AF453" s="2097"/>
      <c r="AG453" s="1769"/>
      <c r="AH453" s="1769"/>
      <c r="AI453" s="2097"/>
      <c r="AJ453" s="1769"/>
      <c r="AK453" s="1995"/>
      <c r="AL453" s="1996"/>
      <c r="AM453" s="1833"/>
      <c r="AN453" s="1833"/>
      <c r="AO453" s="1833"/>
      <c r="AP453" s="1833"/>
      <c r="AQ453" s="1833"/>
      <c r="AR453" s="1833"/>
      <c r="AS453" s="1833"/>
      <c r="AT453" s="1833"/>
      <c r="AU453" s="1833"/>
      <c r="AV453" s="1833"/>
      <c r="AW453" s="1833"/>
      <c r="AX453" s="1833"/>
      <c r="AY453" s="1833"/>
      <c r="AZ453" s="1833"/>
      <c r="BA453" s="1833"/>
      <c r="BB453" s="1833"/>
      <c r="BC453" s="1833"/>
      <c r="BD453" s="1833"/>
      <c r="BE453" s="1833"/>
      <c r="BF453" s="1833"/>
      <c r="BG453" s="1646"/>
    </row>
    <row customHeight="1" ht="11.25">
      <c r="A454" s="1177" t="s">
        <v>1088</v>
      </c>
      <c r="B454" s="1177"/>
      <c r="C454" s="1177"/>
      <c r="D454" s="1171"/>
      <c r="E454" s="1181"/>
      <c r="F454" s="1839"/>
      <c r="G454" s="1840"/>
      <c r="H454" s="2545" t="s">
        <v>166</v>
      </c>
      <c r="I454" s="2546"/>
      <c r="J454" s="2515"/>
      <c r="K454" s="2547"/>
      <c r="L454" s="2137"/>
      <c r="M454" s="2138"/>
      <c r="N454" s="2538"/>
      <c r="O454" s="2539"/>
      <c r="P454" s="2542"/>
      <c r="Q454" s="2913"/>
      <c r="R454" s="2543"/>
      <c r="S454" s="2544"/>
      <c r="T454" s="2543"/>
      <c r="U454" s="2543"/>
      <c r="V454" s="2543"/>
      <c r="W454" s="2543"/>
      <c r="X454" s="2543"/>
      <c r="Y454" s="2543"/>
      <c r="Z454" s="1186"/>
      <c r="AA454" s="1187"/>
      <c r="AB454" s="1252" t="s">
        <v>1130</v>
      </c>
      <c r="AC454" s="1191"/>
      <c r="AD454" s="1191"/>
      <c r="AE454" s="1193"/>
      <c r="AF454" s="2536"/>
      <c r="AG454" s="2537"/>
      <c r="AH454" s="2537"/>
      <c r="AI454" s="2916"/>
      <c r="AJ454" s="2537"/>
      <c r="AK454" s="2537"/>
      <c r="AL454" s="1996"/>
      <c r="AM454" s="1833"/>
      <c r="AN454" s="1833"/>
      <c r="AO454" s="1833"/>
      <c r="AP454" s="1833"/>
      <c r="AQ454" s="1833"/>
      <c r="AR454" s="1833"/>
      <c r="AS454" s="1833"/>
      <c r="AT454" s="1833"/>
      <c r="AU454" s="1833"/>
      <c r="AV454" s="1833"/>
      <c r="AW454" s="1833"/>
      <c r="AX454" s="1833"/>
      <c r="AY454" s="1833"/>
      <c r="AZ454" s="1833"/>
      <c r="BA454" s="1833"/>
      <c r="BB454" s="1833"/>
      <c r="BC454" s="1833"/>
      <c r="BD454" s="1833"/>
      <c r="BE454" s="1833"/>
      <c r="BF454" s="1833"/>
      <c r="BG454" s="1646"/>
    </row>
    <row customHeight="1" ht="11.25">
      <c r="A455" s="1177" t="s">
        <v>1088</v>
      </c>
      <c r="B455" s="1177"/>
      <c r="C455" s="1177"/>
      <c r="D455" s="1171"/>
      <c r="E455" s="1181"/>
      <c r="F455" s="1839"/>
      <c r="G455" s="1840"/>
      <c r="H455" s="2545" t="s">
        <v>166</v>
      </c>
      <c r="I455" s="2546"/>
      <c r="J455" s="2515"/>
      <c r="K455" s="2547"/>
      <c r="L455" s="2137"/>
      <c r="M455" s="2138"/>
      <c r="N455" s="1186"/>
      <c r="O455" s="1187"/>
      <c r="P455" s="1179" t="s">
        <v>1131</v>
      </c>
      <c r="Q455" s="1187"/>
      <c r="R455" s="1187"/>
      <c r="S455" s="1187"/>
      <c r="T455" s="1187"/>
      <c r="U455" s="1187"/>
      <c r="V455" s="1187"/>
      <c r="W455" s="1187"/>
      <c r="X455" s="1187"/>
      <c r="Y455" s="1187"/>
      <c r="Z455" s="1187"/>
      <c r="AA455" s="1187"/>
      <c r="AB455" s="1187"/>
      <c r="AC455" s="1187"/>
      <c r="AD455" s="1187"/>
      <c r="AE455" s="1194"/>
      <c r="AF455" s="2536"/>
      <c r="AG455" s="2537"/>
      <c r="AH455" s="2537"/>
      <c r="AI455" s="2916"/>
      <c r="AJ455" s="2537"/>
      <c r="AK455" s="2537"/>
      <c r="AL455" s="1996"/>
      <c r="AM455" s="1833"/>
      <c r="AN455" s="1833"/>
      <c r="AO455" s="1833"/>
      <c r="AP455" s="1833"/>
      <c r="AQ455" s="1833"/>
      <c r="AR455" s="1833"/>
      <c r="AS455" s="1833"/>
      <c r="AT455" s="1833"/>
      <c r="AU455" s="1833"/>
      <c r="AV455" s="1833"/>
      <c r="AW455" s="1833"/>
      <c r="AX455" s="1833"/>
      <c r="AY455" s="1833"/>
      <c r="AZ455" s="1833"/>
      <c r="BA455" s="1833"/>
      <c r="BB455" s="1833"/>
      <c r="BC455" s="1833"/>
      <c r="BD455" s="1833"/>
      <c r="BE455" s="1833"/>
      <c r="BF455" s="1833"/>
      <c r="BG455" s="1646"/>
    </row>
    <row customHeight="1" ht="11.25">
      <c r="A456" s="1177" t="s">
        <v>1088</v>
      </c>
      <c r="B456" s="1177" t="s">
        <v>1155</v>
      </c>
      <c r="C456" s="1177"/>
      <c r="D456" s="1171"/>
      <c r="E456" s="1181"/>
      <c r="F456" s="1839"/>
      <c r="G456" s="694" t="s">
        <v>105</v>
      </c>
      <c r="H456" s="2545" t="s">
        <v>168</v>
      </c>
      <c r="I456" s="2546" t="s">
        <v>1156</v>
      </c>
      <c r="J456" s="2515" t="s">
        <v>1157</v>
      </c>
      <c r="K456" s="2547" t="s">
        <v>1243</v>
      </c>
      <c r="L456" s="2137" t="s">
        <v>19</v>
      </c>
      <c r="M456" s="2138"/>
      <c r="N456" s="1994"/>
      <c r="O456" s="1188" t="s">
        <v>390</v>
      </c>
      <c r="P456" s="1189"/>
      <c r="Q456" s="1189"/>
      <c r="R456" s="1189"/>
      <c r="S456" s="1189"/>
      <c r="T456" s="1189"/>
      <c r="U456" s="1189"/>
      <c r="V456" s="1189"/>
      <c r="W456" s="1189"/>
      <c r="X456" s="1189"/>
      <c r="Y456" s="1189"/>
      <c r="Z456" s="1189"/>
      <c r="AA456" s="1189"/>
      <c r="AB456" s="1189"/>
      <c r="AC456" s="1189"/>
      <c r="AD456" s="1189"/>
      <c r="AE456" s="1189"/>
      <c r="AF456" s="2536">
        <v>2027</v>
      </c>
      <c r="AG456" s="2537" t="s">
        <v>1122</v>
      </c>
      <c r="AH456" s="2537" t="s">
        <v>1164</v>
      </c>
      <c r="AI456" s="2916"/>
      <c r="AJ456" s="2537" t="s">
        <v>1154</v>
      </c>
      <c r="AK456" s="2537" t="s">
        <v>1154</v>
      </c>
      <c r="AL456" s="1996"/>
      <c r="AM456" s="1833"/>
      <c r="AN456" s="1833"/>
      <c r="AO456" s="1833"/>
      <c r="AP456" s="1833"/>
      <c r="AQ456" s="1833"/>
      <c r="AR456" s="1833"/>
      <c r="AS456" s="1833"/>
      <c r="AT456" s="1833"/>
      <c r="AU456" s="1833"/>
      <c r="AV456" s="1833"/>
      <c r="AW456" s="1833"/>
      <c r="AX456" s="1833"/>
      <c r="AY456" s="1833"/>
      <c r="AZ456" s="1833"/>
      <c r="BA456" s="1833"/>
      <c r="BB456" s="1833"/>
      <c r="BC456" s="1833"/>
      <c r="BD456" s="1833"/>
      <c r="BE456" s="1833"/>
      <c r="BF456" s="1833"/>
      <c r="BG456" s="1646"/>
    </row>
    <row customHeight="1" ht="11.25">
      <c r="A457" s="1177" t="s">
        <v>1088</v>
      </c>
      <c r="B457" s="1177"/>
      <c r="C457" s="1177"/>
      <c r="D457" s="1171"/>
      <c r="E457" s="1181"/>
      <c r="F457" s="1839"/>
      <c r="G457" s="1840"/>
      <c r="H457" s="2545" t="s">
        <v>167</v>
      </c>
      <c r="I457" s="2546"/>
      <c r="J457" s="2515"/>
      <c r="K457" s="2547"/>
      <c r="L457" s="2137"/>
      <c r="M457" s="2138"/>
      <c r="N457" s="2538"/>
      <c r="O457" s="2539">
        <v>1</v>
      </c>
      <c r="P457" s="2540" t="s">
        <v>63</v>
      </c>
      <c r="Q457" s="2913" t="s">
        <v>639</v>
      </c>
      <c r="R457" s="2914" t="s">
        <v>1124</v>
      </c>
      <c r="S457" s="2914" t="s">
        <v>108</v>
      </c>
      <c r="T457" s="2914" t="s">
        <v>108</v>
      </c>
      <c r="U457" s="2914" t="s">
        <v>109</v>
      </c>
      <c r="V457" s="2914" t="s">
        <v>1174</v>
      </c>
      <c r="W457" s="2914" t="s">
        <v>1175</v>
      </c>
      <c r="X457" s="2914" t="s">
        <v>1176</v>
      </c>
      <c r="Y457" s="2914" t="s">
        <v>1244</v>
      </c>
      <c r="Z457" s="1186"/>
      <c r="AA457" s="1187"/>
      <c r="AB457" s="1187"/>
      <c r="AC457" s="1191"/>
      <c r="AD457" s="1191"/>
      <c r="AE457" s="1192"/>
      <c r="AF457" s="2536"/>
      <c r="AG457" s="2537"/>
      <c r="AH457" s="2537"/>
      <c r="AI457" s="2916"/>
      <c r="AJ457" s="2537"/>
      <c r="AK457" s="2537"/>
      <c r="AL457" s="1996"/>
      <c r="AM457" s="1833"/>
      <c r="AN457" s="1833"/>
      <c r="AO457" s="1833"/>
      <c r="AP457" s="1833"/>
      <c r="AQ457" s="1833"/>
      <c r="AR457" s="1833"/>
      <c r="AS457" s="1833"/>
      <c r="AT457" s="1833"/>
      <c r="AU457" s="1833"/>
      <c r="AV457" s="1833"/>
      <c r="AW457" s="1833"/>
      <c r="AX457" s="1833"/>
      <c r="AY457" s="1833"/>
      <c r="AZ457" s="1833"/>
      <c r="BA457" s="1833"/>
      <c r="BB457" s="1833"/>
      <c r="BC457" s="1833"/>
      <c r="BD457" s="1833"/>
      <c r="BE457" s="1833"/>
      <c r="BF457" s="1833"/>
      <c r="BG457" s="1646"/>
    </row>
    <row customHeight="1" ht="11.25">
      <c r="A458" s="1177" t="s">
        <v>1088</v>
      </c>
      <c r="B458" s="1177"/>
      <c r="C458" s="1177"/>
      <c r="D458" s="1171"/>
      <c r="E458" s="1181"/>
      <c r="F458" s="1839"/>
      <c r="G458" s="1840"/>
      <c r="H458" s="2545" t="s">
        <v>167</v>
      </c>
      <c r="I458" s="2546"/>
      <c r="J458" s="2515"/>
      <c r="K458" s="2547"/>
      <c r="L458" s="2137"/>
      <c r="M458" s="2138"/>
      <c r="N458" s="2538"/>
      <c r="O458" s="2539"/>
      <c r="P458" s="2541"/>
      <c r="Q458" s="2913"/>
      <c r="R458" s="2543"/>
      <c r="S458" s="2544"/>
      <c r="T458" s="2543"/>
      <c r="U458" s="2543"/>
      <c r="V458" s="2543"/>
      <c r="W458" s="2543"/>
      <c r="X458" s="2543"/>
      <c r="Y458" s="2543"/>
      <c r="Z458" s="1838"/>
      <c r="AA458" s="1804">
        <v>1</v>
      </c>
      <c r="AB458" s="1190" t="s">
        <v>1234</v>
      </c>
      <c r="AC458" s="1180">
        <v>31949.21229</v>
      </c>
      <c r="AD458" s="1190" t="str">
        <f>AB458</f>
        <v>  Прочие</v>
      </c>
      <c r="AE458" s="1180">
        <v>0</v>
      </c>
      <c r="AF458" s="2536"/>
      <c r="AG458" s="2537"/>
      <c r="AH458" s="2537"/>
      <c r="AI458" s="2916"/>
      <c r="AJ458" s="2537"/>
      <c r="AK458" s="2537"/>
      <c r="AL458" s="1996"/>
      <c r="AM458" s="1833"/>
      <c r="AN458" s="1833"/>
      <c r="AO458" s="1833"/>
      <c r="AP458" s="1833"/>
      <c r="AQ458" s="1833"/>
      <c r="AR458" s="1833"/>
      <c r="AS458" s="1833"/>
      <c r="AT458" s="1833"/>
      <c r="AU458" s="1833"/>
      <c r="AV458" s="1833"/>
      <c r="AW458" s="1833"/>
      <c r="AX458" s="1833"/>
      <c r="AY458" s="1833"/>
      <c r="AZ458" s="1833"/>
      <c r="BA458" s="1833"/>
      <c r="BB458" s="1833"/>
      <c r="BC458" s="1833"/>
      <c r="BD458" s="1833"/>
      <c r="BE458" s="1833"/>
      <c r="BF458" s="1833"/>
      <c r="BG458" s="1646"/>
    </row>
    <row customHeight="1" ht="11.25">
      <c r="A459" s="1177" t="s">
        <v>1088</v>
      </c>
      <c r="B459" s="1177"/>
      <c r="C459" s="1177"/>
      <c r="D459" s="1171"/>
      <c r="E459" s="1181"/>
      <c r="F459" s="1839"/>
      <c r="G459" s="1840"/>
      <c r="H459" s="2545" t="s">
        <v>167</v>
      </c>
      <c r="I459" s="2546"/>
      <c r="J459" s="2515"/>
      <c r="K459" s="2547"/>
      <c r="L459" s="2137"/>
      <c r="M459" s="2138"/>
      <c r="N459" s="2538"/>
      <c r="O459" s="2539"/>
      <c r="P459" s="2542"/>
      <c r="Q459" s="2913"/>
      <c r="R459" s="2543"/>
      <c r="S459" s="2544"/>
      <c r="T459" s="2543"/>
      <c r="U459" s="2543"/>
      <c r="V459" s="2543"/>
      <c r="W459" s="2543"/>
      <c r="X459" s="2543"/>
      <c r="Y459" s="2543"/>
      <c r="Z459" s="1186"/>
      <c r="AA459" s="1187"/>
      <c r="AB459" s="1252" t="s">
        <v>1130</v>
      </c>
      <c r="AC459" s="1191"/>
      <c r="AD459" s="1191"/>
      <c r="AE459" s="1193"/>
      <c r="AF459" s="2536"/>
      <c r="AG459" s="2537"/>
      <c r="AH459" s="2537"/>
      <c r="AI459" s="2916"/>
      <c r="AJ459" s="2537"/>
      <c r="AK459" s="2537"/>
      <c r="AL459" s="1996"/>
      <c r="AM459" s="1833"/>
      <c r="AN459" s="1833"/>
      <c r="AO459" s="1833"/>
      <c r="AP459" s="1833"/>
      <c r="AQ459" s="1833"/>
      <c r="AR459" s="1833"/>
      <c r="AS459" s="1833"/>
      <c r="AT459" s="1833"/>
      <c r="AU459" s="1833"/>
      <c r="AV459" s="1833"/>
      <c r="AW459" s="1833"/>
      <c r="AX459" s="1833"/>
      <c r="AY459" s="1833"/>
      <c r="AZ459" s="1833"/>
      <c r="BA459" s="1833"/>
      <c r="BB459" s="1833"/>
      <c r="BC459" s="1833"/>
      <c r="BD459" s="1833"/>
      <c r="BE459" s="1833"/>
      <c r="BF459" s="1833"/>
      <c r="BG459" s="1646"/>
    </row>
    <row customHeight="1" ht="11.25">
      <c r="A460" s="1177" t="s">
        <v>1088</v>
      </c>
      <c r="B460" s="1177"/>
      <c r="C460" s="1177"/>
      <c r="D460" s="1171"/>
      <c r="E460" s="1181"/>
      <c r="F460" s="1839"/>
      <c r="G460" s="1840"/>
      <c r="H460" s="2545" t="s">
        <v>167</v>
      </c>
      <c r="I460" s="2546"/>
      <c r="J460" s="2515"/>
      <c r="K460" s="2547"/>
      <c r="L460" s="2137"/>
      <c r="M460" s="2138"/>
      <c r="N460" s="1186"/>
      <c r="O460" s="1187"/>
      <c r="P460" s="1179" t="s">
        <v>1131</v>
      </c>
      <c r="Q460" s="1187"/>
      <c r="R460" s="1187"/>
      <c r="S460" s="1187"/>
      <c r="T460" s="1187"/>
      <c r="U460" s="1187"/>
      <c r="V460" s="1187"/>
      <c r="W460" s="1187"/>
      <c r="X460" s="1187"/>
      <c r="Y460" s="1187"/>
      <c r="Z460" s="1187"/>
      <c r="AA460" s="1187"/>
      <c r="AB460" s="1187"/>
      <c r="AC460" s="1187"/>
      <c r="AD460" s="1187"/>
      <c r="AE460" s="1194"/>
      <c r="AF460" s="2536"/>
      <c r="AG460" s="2537"/>
      <c r="AH460" s="2537"/>
      <c r="AI460" s="2916"/>
      <c r="AJ460" s="2537"/>
      <c r="AK460" s="2537"/>
      <c r="AL460" s="1996"/>
      <c r="AM460" s="1833"/>
      <c r="AN460" s="1833"/>
      <c r="AO460" s="1833"/>
      <c r="AP460" s="1833"/>
      <c r="AQ460" s="1833"/>
      <c r="AR460" s="1833"/>
      <c r="AS460" s="1833"/>
      <c r="AT460" s="1833"/>
      <c r="AU460" s="1833"/>
      <c r="AV460" s="1833"/>
      <c r="AW460" s="1833"/>
      <c r="AX460" s="1833"/>
      <c r="AY460" s="1833"/>
      <c r="AZ460" s="1833"/>
      <c r="BA460" s="1833"/>
      <c r="BB460" s="1833"/>
      <c r="BC460" s="1833"/>
      <c r="BD460" s="1833"/>
      <c r="BE460" s="1833"/>
      <c r="BF460" s="1833"/>
      <c r="BG460" s="1646"/>
    </row>
    <row customHeight="1" ht="11.25">
      <c r="A461" s="1177" t="s">
        <v>1088</v>
      </c>
      <c r="B461" s="1177" t="s">
        <v>1155</v>
      </c>
      <c r="C461" s="1177"/>
      <c r="D461" s="1171"/>
      <c r="E461" s="1181"/>
      <c r="F461" s="1839"/>
      <c r="G461" s="694" t="s">
        <v>105</v>
      </c>
      <c r="H461" s="2545" t="s">
        <v>169</v>
      </c>
      <c r="I461" s="2546" t="s">
        <v>1156</v>
      </c>
      <c r="J461" s="2515" t="s">
        <v>1157</v>
      </c>
      <c r="K461" s="2547" t="s">
        <v>1257</v>
      </c>
      <c r="L461" s="2137" t="s">
        <v>19</v>
      </c>
      <c r="M461" s="2138"/>
      <c r="N461" s="1994"/>
      <c r="O461" s="1188" t="s">
        <v>390</v>
      </c>
      <c r="P461" s="1189"/>
      <c r="Q461" s="1189"/>
      <c r="R461" s="1189"/>
      <c r="S461" s="1189"/>
      <c r="T461" s="1189"/>
      <c r="U461" s="1189"/>
      <c r="V461" s="1189"/>
      <c r="W461" s="1189"/>
      <c r="X461" s="1189"/>
      <c r="Y461" s="1189"/>
      <c r="Z461" s="1189"/>
      <c r="AA461" s="1189"/>
      <c r="AB461" s="1189"/>
      <c r="AC461" s="1189"/>
      <c r="AD461" s="1189"/>
      <c r="AE461" s="1189"/>
      <c r="AF461" s="2536">
        <v>2027</v>
      </c>
      <c r="AG461" s="2537" t="s">
        <v>1122</v>
      </c>
      <c r="AH461" s="2537" t="s">
        <v>1164</v>
      </c>
      <c r="AI461" s="2916"/>
      <c r="AJ461" s="2537" t="s">
        <v>1154</v>
      </c>
      <c r="AK461" s="2537" t="s">
        <v>1154</v>
      </c>
      <c r="AL461" s="1996"/>
      <c r="AM461" s="1833"/>
      <c r="AN461" s="1833"/>
      <c r="AO461" s="1833"/>
      <c r="AP461" s="1833"/>
      <c r="AQ461" s="1833"/>
      <c r="AR461" s="1833"/>
      <c r="AS461" s="1833"/>
      <c r="AT461" s="1833"/>
      <c r="AU461" s="1833"/>
      <c r="AV461" s="1833"/>
      <c r="AW461" s="1833"/>
      <c r="AX461" s="1833"/>
      <c r="AY461" s="1833"/>
      <c r="AZ461" s="1833"/>
      <c r="BA461" s="1833"/>
      <c r="BB461" s="1833"/>
      <c r="BC461" s="1833"/>
      <c r="BD461" s="1833"/>
      <c r="BE461" s="1833"/>
      <c r="BF461" s="1833"/>
      <c r="BG461" s="1646"/>
    </row>
    <row customHeight="1" ht="11.25">
      <c r="A462" s="1177" t="s">
        <v>1088</v>
      </c>
      <c r="B462" s="1177"/>
      <c r="C462" s="1177"/>
      <c r="D462" s="1171"/>
      <c r="E462" s="1181"/>
      <c r="F462" s="1839"/>
      <c r="G462" s="1840"/>
      <c r="H462" s="2545" t="s">
        <v>168</v>
      </c>
      <c r="I462" s="2546"/>
      <c r="J462" s="2515"/>
      <c r="K462" s="2547"/>
      <c r="L462" s="2137"/>
      <c r="M462" s="2138"/>
      <c r="N462" s="2538"/>
      <c r="O462" s="2539">
        <v>1</v>
      </c>
      <c r="P462" s="2540" t="s">
        <v>19</v>
      </c>
      <c r="Q462" s="2543" t="s">
        <v>22</v>
      </c>
      <c r="R462" s="2543" t="s">
        <v>22</v>
      </c>
      <c r="S462" s="2543" t="s">
        <v>22</v>
      </c>
      <c r="T462" s="2543" t="s">
        <v>22</v>
      </c>
      <c r="U462" s="2543" t="s">
        <v>22</v>
      </c>
      <c r="V462" s="2543" t="s">
        <v>22</v>
      </c>
      <c r="W462" s="2543" t="s">
        <v>22</v>
      </c>
      <c r="X462" s="2543" t="s">
        <v>22</v>
      </c>
      <c r="Y462" s="2543"/>
      <c r="Z462" s="1186"/>
      <c r="AA462" s="1187"/>
      <c r="AB462" s="1187"/>
      <c r="AC462" s="1191"/>
      <c r="AD462" s="1191"/>
      <c r="AE462" s="1192"/>
      <c r="AF462" s="2536"/>
      <c r="AG462" s="2537"/>
      <c r="AH462" s="2537"/>
      <c r="AI462" s="2916"/>
      <c r="AJ462" s="2537"/>
      <c r="AK462" s="2537"/>
      <c r="AL462" s="1996"/>
      <c r="AM462" s="1833"/>
      <c r="AN462" s="1833"/>
      <c r="AO462" s="1833"/>
      <c r="AP462" s="1833"/>
      <c r="AQ462" s="1833"/>
      <c r="AR462" s="1833"/>
      <c r="AS462" s="1833"/>
      <c r="AT462" s="1833"/>
      <c r="AU462" s="1833"/>
      <c r="AV462" s="1833"/>
      <c r="AW462" s="1833"/>
      <c r="AX462" s="1833"/>
      <c r="AY462" s="1833"/>
      <c r="AZ462" s="1833"/>
      <c r="BA462" s="1833"/>
      <c r="BB462" s="1833"/>
      <c r="BC462" s="1833"/>
      <c r="BD462" s="1833"/>
      <c r="BE462" s="1833"/>
      <c r="BF462" s="1833"/>
      <c r="BG462" s="1646"/>
    </row>
    <row customHeight="1" ht="11.25">
      <c r="A463" s="1177" t="s">
        <v>1088</v>
      </c>
      <c r="B463" s="1177"/>
      <c r="C463" s="1177"/>
      <c r="D463" s="1171"/>
      <c r="E463" s="1181"/>
      <c r="F463" s="1839"/>
      <c r="G463" s="1840"/>
      <c r="H463" s="2545" t="s">
        <v>168</v>
      </c>
      <c r="I463" s="2546"/>
      <c r="J463" s="2515"/>
      <c r="K463" s="2547"/>
      <c r="L463" s="2137"/>
      <c r="M463" s="2138"/>
      <c r="N463" s="2538"/>
      <c r="O463" s="2539"/>
      <c r="P463" s="2541"/>
      <c r="Q463" s="2543"/>
      <c r="R463" s="2543"/>
      <c r="S463" s="2544"/>
      <c r="T463" s="2543"/>
      <c r="U463" s="2543"/>
      <c r="V463" s="2543"/>
      <c r="W463" s="2543"/>
      <c r="X463" s="2543"/>
      <c r="Y463" s="2543"/>
      <c r="Z463" s="1838"/>
      <c r="AA463" s="1804">
        <v>1</v>
      </c>
      <c r="AB463" s="1190" t="s">
        <v>1234</v>
      </c>
      <c r="AC463" s="1180">
        <v>5153.92</v>
      </c>
      <c r="AD463" s="1190" t="str">
        <f>AB463</f>
        <v>  Прочие</v>
      </c>
      <c r="AE463" s="1180">
        <v>0</v>
      </c>
      <c r="AF463" s="2536"/>
      <c r="AG463" s="2537"/>
      <c r="AH463" s="2537"/>
      <c r="AI463" s="2916"/>
      <c r="AJ463" s="2537"/>
      <c r="AK463" s="2537"/>
      <c r="AL463" s="1996"/>
      <c r="AM463" s="1833"/>
      <c r="AN463" s="1833"/>
      <c r="AO463" s="1833"/>
      <c r="AP463" s="1833"/>
      <c r="AQ463" s="1833"/>
      <c r="AR463" s="1833"/>
      <c r="AS463" s="1833"/>
      <c r="AT463" s="1833"/>
      <c r="AU463" s="1833"/>
      <c r="AV463" s="1833"/>
      <c r="AW463" s="1833"/>
      <c r="AX463" s="1833"/>
      <c r="AY463" s="1833"/>
      <c r="AZ463" s="1833"/>
      <c r="BA463" s="1833"/>
      <c r="BB463" s="1833"/>
      <c r="BC463" s="1833"/>
      <c r="BD463" s="1833"/>
      <c r="BE463" s="1833"/>
      <c r="BF463" s="1833"/>
      <c r="BG463" s="1646"/>
    </row>
    <row customHeight="1" ht="11.25">
      <c r="A464" s="1177" t="s">
        <v>1088</v>
      </c>
      <c r="B464" s="1177"/>
      <c r="C464" s="1177"/>
      <c r="D464" s="1171"/>
      <c r="E464" s="1181"/>
      <c r="F464" s="1839"/>
      <c r="G464" s="1840"/>
      <c r="H464" s="2545" t="s">
        <v>168</v>
      </c>
      <c r="I464" s="2546"/>
      <c r="J464" s="2515"/>
      <c r="K464" s="2547"/>
      <c r="L464" s="2137"/>
      <c r="M464" s="2138"/>
      <c r="N464" s="2538"/>
      <c r="O464" s="2539"/>
      <c r="P464" s="2542"/>
      <c r="Q464" s="2543"/>
      <c r="R464" s="2543"/>
      <c r="S464" s="2544"/>
      <c r="T464" s="2543"/>
      <c r="U464" s="2543"/>
      <c r="V464" s="2543"/>
      <c r="W464" s="2543"/>
      <c r="X464" s="2543"/>
      <c r="Y464" s="2543"/>
      <c r="Z464" s="1186"/>
      <c r="AA464" s="1187"/>
      <c r="AB464" s="1252" t="s">
        <v>1130</v>
      </c>
      <c r="AC464" s="1191"/>
      <c r="AD464" s="1191"/>
      <c r="AE464" s="1193"/>
      <c r="AF464" s="2536"/>
      <c r="AG464" s="2537"/>
      <c r="AH464" s="2537"/>
      <c r="AI464" s="2916"/>
      <c r="AJ464" s="2537"/>
      <c r="AK464" s="2537"/>
      <c r="AL464" s="1996"/>
      <c r="AM464" s="1833"/>
      <c r="AN464" s="1833"/>
      <c r="AO464" s="1833"/>
      <c r="AP464" s="1833"/>
      <c r="AQ464" s="1833"/>
      <c r="AR464" s="1833"/>
      <c r="AS464" s="1833"/>
      <c r="AT464" s="1833"/>
      <c r="AU464" s="1833"/>
      <c r="AV464" s="1833"/>
      <c r="AW464" s="1833"/>
      <c r="AX464" s="1833"/>
      <c r="AY464" s="1833"/>
      <c r="AZ464" s="1833"/>
      <c r="BA464" s="1833"/>
      <c r="BB464" s="1833"/>
      <c r="BC464" s="1833"/>
      <c r="BD464" s="1833"/>
      <c r="BE464" s="1833"/>
      <c r="BF464" s="1833"/>
      <c r="BG464" s="1646"/>
    </row>
    <row customHeight="1" ht="11.25">
      <c r="A465" s="1177" t="s">
        <v>1088</v>
      </c>
      <c r="B465" s="1177"/>
      <c r="C465" s="1177"/>
      <c r="D465" s="1171"/>
      <c r="E465" s="1181"/>
      <c r="F465" s="1839"/>
      <c r="G465" s="1840"/>
      <c r="H465" s="2545" t="s">
        <v>168</v>
      </c>
      <c r="I465" s="2546"/>
      <c r="J465" s="2515"/>
      <c r="K465" s="2547"/>
      <c r="L465" s="2137"/>
      <c r="M465" s="2138"/>
      <c r="N465" s="1186"/>
      <c r="O465" s="1187"/>
      <c r="P465" s="1179" t="s">
        <v>1131</v>
      </c>
      <c r="Q465" s="1187"/>
      <c r="R465" s="1187"/>
      <c r="S465" s="1187"/>
      <c r="T465" s="1187"/>
      <c r="U465" s="1187"/>
      <c r="V465" s="1187"/>
      <c r="W465" s="1187"/>
      <c r="X465" s="1187"/>
      <c r="Y465" s="1187"/>
      <c r="Z465" s="1187"/>
      <c r="AA465" s="1187"/>
      <c r="AB465" s="1187"/>
      <c r="AC465" s="1187"/>
      <c r="AD465" s="1187"/>
      <c r="AE465" s="1194"/>
      <c r="AF465" s="2536"/>
      <c r="AG465" s="2537"/>
      <c r="AH465" s="2537"/>
      <c r="AI465" s="2916"/>
      <c r="AJ465" s="2537"/>
      <c r="AK465" s="2537"/>
      <c r="AL465" s="1996"/>
      <c r="AM465" s="1833"/>
      <c r="AN465" s="1833"/>
      <c r="AO465" s="1833"/>
      <c r="AP465" s="1833"/>
      <c r="AQ465" s="1833"/>
      <c r="AR465" s="1833"/>
      <c r="AS465" s="1833"/>
      <c r="AT465" s="1833"/>
      <c r="AU465" s="1833"/>
      <c r="AV465" s="1833"/>
      <c r="AW465" s="1833"/>
      <c r="AX465" s="1833"/>
      <c r="AY465" s="1833"/>
      <c r="AZ465" s="1833"/>
      <c r="BA465" s="1833"/>
      <c r="BB465" s="1833"/>
      <c r="BC465" s="1833"/>
      <c r="BD465" s="1833"/>
      <c r="BE465" s="1833"/>
      <c r="BF465" s="1833"/>
      <c r="BG465" s="1646"/>
    </row>
    <row customHeight="1" ht="11.25">
      <c r="A466" s="1177" t="s">
        <v>1088</v>
      </c>
      <c r="B466" s="1177" t="s">
        <v>1155</v>
      </c>
      <c r="C466" s="1177"/>
      <c r="D466" s="1171"/>
      <c r="E466" s="1181"/>
      <c r="F466" s="1839"/>
      <c r="G466" s="694" t="s">
        <v>105</v>
      </c>
      <c r="H466" s="2545" t="s">
        <v>1165</v>
      </c>
      <c r="I466" s="2546" t="s">
        <v>1156</v>
      </c>
      <c r="J466" s="2515" t="s">
        <v>1157</v>
      </c>
      <c r="K466" s="2547" t="s">
        <v>1258</v>
      </c>
      <c r="L466" s="2137" t="s">
        <v>19</v>
      </c>
      <c r="M466" s="2138"/>
      <c r="N466" s="1994"/>
      <c r="O466" s="1188" t="s">
        <v>390</v>
      </c>
      <c r="P466" s="1189"/>
      <c r="Q466" s="1189"/>
      <c r="R466" s="1189"/>
      <c r="S466" s="1189"/>
      <c r="T466" s="1189"/>
      <c r="U466" s="1189"/>
      <c r="V466" s="1189"/>
      <c r="W466" s="1189"/>
      <c r="X466" s="1189"/>
      <c r="Y466" s="1189"/>
      <c r="Z466" s="1189"/>
      <c r="AA466" s="1189"/>
      <c r="AB466" s="1189"/>
      <c r="AC466" s="1189"/>
      <c r="AD466" s="1189"/>
      <c r="AE466" s="1189"/>
      <c r="AF466" s="2536">
        <v>2027</v>
      </c>
      <c r="AG466" s="2537" t="s">
        <v>1122</v>
      </c>
      <c r="AH466" s="2537" t="s">
        <v>1164</v>
      </c>
      <c r="AI466" s="2916"/>
      <c r="AJ466" s="2537" t="s">
        <v>1154</v>
      </c>
      <c r="AK466" s="2537" t="s">
        <v>1154</v>
      </c>
      <c r="AL466" s="1996"/>
      <c r="AM466" s="1833"/>
      <c r="AN466" s="1833"/>
      <c r="AO466" s="1833"/>
      <c r="AP466" s="1833"/>
      <c r="AQ466" s="1833"/>
      <c r="AR466" s="1833"/>
      <c r="AS466" s="1833"/>
      <c r="AT466" s="1833"/>
      <c r="AU466" s="1833"/>
      <c r="AV466" s="1833"/>
      <c r="AW466" s="1833"/>
      <c r="AX466" s="1833"/>
      <c r="AY466" s="1833"/>
      <c r="AZ466" s="1833"/>
      <c r="BA466" s="1833"/>
      <c r="BB466" s="1833"/>
      <c r="BC466" s="1833"/>
      <c r="BD466" s="1833"/>
      <c r="BE466" s="1833"/>
      <c r="BF466" s="1833"/>
      <c r="BG466" s="1646"/>
    </row>
    <row customHeight="1" ht="11.25">
      <c r="A467" s="1177" t="s">
        <v>1088</v>
      </c>
      <c r="B467" s="1177"/>
      <c r="C467" s="1177"/>
      <c r="D467" s="1171"/>
      <c r="E467" s="1181"/>
      <c r="F467" s="1839"/>
      <c r="G467" s="1840"/>
      <c r="H467" s="2545" t="s">
        <v>169</v>
      </c>
      <c r="I467" s="2546"/>
      <c r="J467" s="2515"/>
      <c r="K467" s="2547"/>
      <c r="L467" s="2137"/>
      <c r="M467" s="2138"/>
      <c r="N467" s="2538"/>
      <c r="O467" s="2539">
        <v>1</v>
      </c>
      <c r="P467" s="2540" t="s">
        <v>19</v>
      </c>
      <c r="Q467" s="2543" t="s">
        <v>22</v>
      </c>
      <c r="R467" s="2543" t="s">
        <v>22</v>
      </c>
      <c r="S467" s="2543" t="s">
        <v>22</v>
      </c>
      <c r="T467" s="2543" t="s">
        <v>22</v>
      </c>
      <c r="U467" s="2543" t="s">
        <v>22</v>
      </c>
      <c r="V467" s="2543" t="s">
        <v>22</v>
      </c>
      <c r="W467" s="2543" t="s">
        <v>22</v>
      </c>
      <c r="X467" s="2543" t="s">
        <v>22</v>
      </c>
      <c r="Y467" s="2543"/>
      <c r="Z467" s="1186"/>
      <c r="AA467" s="1187"/>
      <c r="AB467" s="1187"/>
      <c r="AC467" s="1191"/>
      <c r="AD467" s="1191"/>
      <c r="AE467" s="1192"/>
      <c r="AF467" s="2536"/>
      <c r="AG467" s="2537"/>
      <c r="AH467" s="2537"/>
      <c r="AI467" s="2916"/>
      <c r="AJ467" s="2537"/>
      <c r="AK467" s="2537"/>
      <c r="AL467" s="1996"/>
      <c r="AM467" s="1833"/>
      <c r="AN467" s="1833"/>
      <c r="AO467" s="1833"/>
      <c r="AP467" s="1833"/>
      <c r="AQ467" s="1833"/>
      <c r="AR467" s="1833"/>
      <c r="AS467" s="1833"/>
      <c r="AT467" s="1833"/>
      <c r="AU467" s="1833"/>
      <c r="AV467" s="1833"/>
      <c r="AW467" s="1833"/>
      <c r="AX467" s="1833"/>
      <c r="AY467" s="1833"/>
      <c r="AZ467" s="1833"/>
      <c r="BA467" s="1833"/>
      <c r="BB467" s="1833"/>
      <c r="BC467" s="1833"/>
      <c r="BD467" s="1833"/>
      <c r="BE467" s="1833"/>
      <c r="BF467" s="1833"/>
      <c r="BG467" s="1646"/>
    </row>
    <row customHeight="1" ht="11.25">
      <c r="A468" s="1177" t="s">
        <v>1088</v>
      </c>
      <c r="B468" s="1177"/>
      <c r="C468" s="1177"/>
      <c r="D468" s="1171"/>
      <c r="E468" s="1181"/>
      <c r="F468" s="1839"/>
      <c r="G468" s="1840"/>
      <c r="H468" s="2545" t="s">
        <v>169</v>
      </c>
      <c r="I468" s="2546"/>
      <c r="J468" s="2515"/>
      <c r="K468" s="2547"/>
      <c r="L468" s="2137"/>
      <c r="M468" s="2138"/>
      <c r="N468" s="2538"/>
      <c r="O468" s="2539"/>
      <c r="P468" s="2541"/>
      <c r="Q468" s="2543"/>
      <c r="R468" s="2543"/>
      <c r="S468" s="2544"/>
      <c r="T468" s="2543"/>
      <c r="U468" s="2543"/>
      <c r="V468" s="2543"/>
      <c r="W468" s="2543"/>
      <c r="X468" s="2543"/>
      <c r="Y468" s="2543"/>
      <c r="Z468" s="1838"/>
      <c r="AA468" s="1804">
        <v>1</v>
      </c>
      <c r="AB468" s="1190" t="s">
        <v>1159</v>
      </c>
      <c r="AC468" s="1180">
        <v>1000</v>
      </c>
      <c r="AD468" s="1190" t="str">
        <f>AB468</f>
        <v>      Прочие амортизационные отчисления</v>
      </c>
      <c r="AE468" s="1180">
        <v>0</v>
      </c>
      <c r="AF468" s="2536"/>
      <c r="AG468" s="2537"/>
      <c r="AH468" s="2537"/>
      <c r="AI468" s="2916"/>
      <c r="AJ468" s="2537"/>
      <c r="AK468" s="2537"/>
      <c r="AL468" s="1996"/>
      <c r="AM468" s="1833"/>
      <c r="AN468" s="1833"/>
      <c r="AO468" s="1833"/>
      <c r="AP468" s="1833"/>
      <c r="AQ468" s="1833"/>
      <c r="AR468" s="1833"/>
      <c r="AS468" s="1833"/>
      <c r="AT468" s="1833"/>
      <c r="AU468" s="1833"/>
      <c r="AV468" s="1833"/>
      <c r="AW468" s="1833"/>
      <c r="AX468" s="1833"/>
      <c r="AY468" s="1833"/>
      <c r="AZ468" s="1833"/>
      <c r="BA468" s="1833"/>
      <c r="BB468" s="1833"/>
      <c r="BC468" s="1833"/>
      <c r="BD468" s="1833"/>
      <c r="BE468" s="1833"/>
      <c r="BF468" s="1833"/>
      <c r="BG468" s="1646"/>
    </row>
    <row customHeight="1" ht="11.25">
      <c r="A469" s="1177" t="s">
        <v>1088</v>
      </c>
      <c r="B469" s="1177"/>
      <c r="C469" s="1177"/>
      <c r="D469" s="1171"/>
      <c r="E469" s="1181"/>
      <c r="F469" s="1839"/>
      <c r="G469" s="1840"/>
      <c r="H469" s="2545" t="s">
        <v>169</v>
      </c>
      <c r="I469" s="2546"/>
      <c r="J469" s="2515"/>
      <c r="K469" s="2547"/>
      <c r="L469" s="2137"/>
      <c r="M469" s="2138"/>
      <c r="N469" s="2538"/>
      <c r="O469" s="2539"/>
      <c r="P469" s="2542"/>
      <c r="Q469" s="2543"/>
      <c r="R469" s="2543"/>
      <c r="S469" s="2544"/>
      <c r="T469" s="2543"/>
      <c r="U469" s="2543"/>
      <c r="V469" s="2543"/>
      <c r="W469" s="2543"/>
      <c r="X469" s="2543"/>
      <c r="Y469" s="2543"/>
      <c r="Z469" s="1186"/>
      <c r="AA469" s="1187"/>
      <c r="AB469" s="1252" t="s">
        <v>1130</v>
      </c>
      <c r="AC469" s="1191"/>
      <c r="AD469" s="1191"/>
      <c r="AE469" s="1193"/>
      <c r="AF469" s="2536"/>
      <c r="AG469" s="2537"/>
      <c r="AH469" s="2537"/>
      <c r="AI469" s="2916"/>
      <c r="AJ469" s="2537"/>
      <c r="AK469" s="2537"/>
      <c r="AL469" s="1996"/>
      <c r="AM469" s="1833"/>
      <c r="AN469" s="1833"/>
      <c r="AO469" s="1833"/>
      <c r="AP469" s="1833"/>
      <c r="AQ469" s="1833"/>
      <c r="AR469" s="1833"/>
      <c r="AS469" s="1833"/>
      <c r="AT469" s="1833"/>
      <c r="AU469" s="1833"/>
      <c r="AV469" s="1833"/>
      <c r="AW469" s="1833"/>
      <c r="AX469" s="1833"/>
      <c r="AY469" s="1833"/>
      <c r="AZ469" s="1833"/>
      <c r="BA469" s="1833"/>
      <c r="BB469" s="1833"/>
      <c r="BC469" s="1833"/>
      <c r="BD469" s="1833"/>
      <c r="BE469" s="1833"/>
      <c r="BF469" s="1833"/>
      <c r="BG469" s="1646"/>
    </row>
    <row customHeight="1" ht="11.25">
      <c r="A470" s="1177" t="s">
        <v>1088</v>
      </c>
      <c r="B470" s="1177"/>
      <c r="C470" s="1177"/>
      <c r="D470" s="1171"/>
      <c r="E470" s="1181"/>
      <c r="F470" s="1839"/>
      <c r="G470" s="1840"/>
      <c r="H470" s="2545" t="s">
        <v>169</v>
      </c>
      <c r="I470" s="2546"/>
      <c r="J470" s="2515"/>
      <c r="K470" s="2547"/>
      <c r="L470" s="2137"/>
      <c r="M470" s="2138"/>
      <c r="N470" s="1186"/>
      <c r="O470" s="1187"/>
      <c r="P470" s="1179" t="s">
        <v>1131</v>
      </c>
      <c r="Q470" s="1187"/>
      <c r="R470" s="1187"/>
      <c r="S470" s="1187"/>
      <c r="T470" s="1187"/>
      <c r="U470" s="1187"/>
      <c r="V470" s="1187"/>
      <c r="W470" s="1187"/>
      <c r="X470" s="1187"/>
      <c r="Y470" s="1187"/>
      <c r="Z470" s="1187"/>
      <c r="AA470" s="1187"/>
      <c r="AB470" s="1187"/>
      <c r="AC470" s="1187"/>
      <c r="AD470" s="1187"/>
      <c r="AE470" s="1194"/>
      <c r="AF470" s="2536"/>
      <c r="AG470" s="2537"/>
      <c r="AH470" s="2537"/>
      <c r="AI470" s="2916"/>
      <c r="AJ470" s="2537"/>
      <c r="AK470" s="2537"/>
      <c r="AL470" s="1996"/>
      <c r="AM470" s="1833"/>
      <c r="AN470" s="1833"/>
      <c r="AO470" s="1833"/>
      <c r="AP470" s="1833"/>
      <c r="AQ470" s="1833"/>
      <c r="AR470" s="1833"/>
      <c r="AS470" s="1833"/>
      <c r="AT470" s="1833"/>
      <c r="AU470" s="1833"/>
      <c r="AV470" s="1833"/>
      <c r="AW470" s="1833"/>
      <c r="AX470" s="1833"/>
      <c r="AY470" s="1833"/>
      <c r="AZ470" s="1833"/>
      <c r="BA470" s="1833"/>
      <c r="BB470" s="1833"/>
      <c r="BC470" s="1833"/>
      <c r="BD470" s="1833"/>
      <c r="BE470" s="1833"/>
      <c r="BF470" s="1833"/>
      <c r="BG470" s="1646"/>
    </row>
    <row customHeight="1" ht="11.25">
      <c r="A471" s="1177" t="s">
        <v>1088</v>
      </c>
      <c r="B471" s="1177" t="s">
        <v>1155</v>
      </c>
      <c r="C471" s="1177"/>
      <c r="D471" s="1171"/>
      <c r="E471" s="1181"/>
      <c r="F471" s="1839"/>
      <c r="G471" s="694" t="s">
        <v>105</v>
      </c>
      <c r="H471" s="2545" t="s">
        <v>1167</v>
      </c>
      <c r="I471" s="2546" t="s">
        <v>1156</v>
      </c>
      <c r="J471" s="2515" t="s">
        <v>1157</v>
      </c>
      <c r="K471" s="2547" t="s">
        <v>1259</v>
      </c>
      <c r="L471" s="2137" t="s">
        <v>19</v>
      </c>
      <c r="M471" s="2138"/>
      <c r="N471" s="1994"/>
      <c r="O471" s="1188" t="s">
        <v>390</v>
      </c>
      <c r="P471" s="1189"/>
      <c r="Q471" s="1189"/>
      <c r="R471" s="1189"/>
      <c r="S471" s="1189"/>
      <c r="T471" s="1189"/>
      <c r="U471" s="1189"/>
      <c r="V471" s="1189"/>
      <c r="W471" s="1189"/>
      <c r="X471" s="1189"/>
      <c r="Y471" s="1189"/>
      <c r="Z471" s="1189"/>
      <c r="AA471" s="1189"/>
      <c r="AB471" s="1189"/>
      <c r="AC471" s="1189"/>
      <c r="AD471" s="1189"/>
      <c r="AE471" s="1189"/>
      <c r="AF471" s="2536">
        <v>2027</v>
      </c>
      <c r="AG471" s="2537" t="s">
        <v>1122</v>
      </c>
      <c r="AH471" s="2537" t="s">
        <v>1164</v>
      </c>
      <c r="AI471" s="2916"/>
      <c r="AJ471" s="2537" t="s">
        <v>1154</v>
      </c>
      <c r="AK471" s="2537" t="s">
        <v>1154</v>
      </c>
      <c r="AL471" s="1996"/>
      <c r="AM471" s="1833"/>
      <c r="AN471" s="1833"/>
      <c r="AO471" s="1833"/>
      <c r="AP471" s="1833"/>
      <c r="AQ471" s="1833"/>
      <c r="AR471" s="1833"/>
      <c r="AS471" s="1833"/>
      <c r="AT471" s="1833"/>
      <c r="AU471" s="1833"/>
      <c r="AV471" s="1833"/>
      <c r="AW471" s="1833"/>
      <c r="AX471" s="1833"/>
      <c r="AY471" s="1833"/>
      <c r="AZ471" s="1833"/>
      <c r="BA471" s="1833"/>
      <c r="BB471" s="1833"/>
      <c r="BC471" s="1833"/>
      <c r="BD471" s="1833"/>
      <c r="BE471" s="1833"/>
      <c r="BF471" s="1833"/>
      <c r="BG471" s="1646"/>
    </row>
    <row customHeight="1" ht="11.25">
      <c r="A472" s="1177" t="s">
        <v>1088</v>
      </c>
      <c r="B472" s="1177"/>
      <c r="C472" s="1177"/>
      <c r="D472" s="1171"/>
      <c r="E472" s="1181"/>
      <c r="F472" s="1839"/>
      <c r="G472" s="1840"/>
      <c r="H472" s="2545" t="s">
        <v>1165</v>
      </c>
      <c r="I472" s="2546"/>
      <c r="J472" s="2515"/>
      <c r="K472" s="2547"/>
      <c r="L472" s="2137"/>
      <c r="M472" s="2138"/>
      <c r="N472" s="2538"/>
      <c r="O472" s="2539">
        <v>1</v>
      </c>
      <c r="P472" s="2540" t="s">
        <v>19</v>
      </c>
      <c r="Q472" s="2543" t="s">
        <v>22</v>
      </c>
      <c r="R472" s="2543" t="s">
        <v>22</v>
      </c>
      <c r="S472" s="2543" t="s">
        <v>22</v>
      </c>
      <c r="T472" s="2543" t="s">
        <v>22</v>
      </c>
      <c r="U472" s="2543" t="s">
        <v>22</v>
      </c>
      <c r="V472" s="2543" t="s">
        <v>22</v>
      </c>
      <c r="W472" s="2543" t="s">
        <v>22</v>
      </c>
      <c r="X472" s="2543" t="s">
        <v>22</v>
      </c>
      <c r="Y472" s="2543"/>
      <c r="Z472" s="1186"/>
      <c r="AA472" s="1187"/>
      <c r="AB472" s="1187"/>
      <c r="AC472" s="1191"/>
      <c r="AD472" s="1191"/>
      <c r="AE472" s="1192"/>
      <c r="AF472" s="2536"/>
      <c r="AG472" s="2537"/>
      <c r="AH472" s="2537"/>
      <c r="AI472" s="2916"/>
      <c r="AJ472" s="2537"/>
      <c r="AK472" s="2537"/>
      <c r="AL472" s="1996"/>
      <c r="AM472" s="1833"/>
      <c r="AN472" s="1833"/>
      <c r="AO472" s="1833"/>
      <c r="AP472" s="1833"/>
      <c r="AQ472" s="1833"/>
      <c r="AR472" s="1833"/>
      <c r="AS472" s="1833"/>
      <c r="AT472" s="1833"/>
      <c r="AU472" s="1833"/>
      <c r="AV472" s="1833"/>
      <c r="AW472" s="1833"/>
      <c r="AX472" s="1833"/>
      <c r="AY472" s="1833"/>
      <c r="AZ472" s="1833"/>
      <c r="BA472" s="1833"/>
      <c r="BB472" s="1833"/>
      <c r="BC472" s="1833"/>
      <c r="BD472" s="1833"/>
      <c r="BE472" s="1833"/>
      <c r="BF472" s="1833"/>
      <c r="BG472" s="1646"/>
    </row>
    <row customHeight="1" ht="11.25">
      <c r="A473" s="1177" t="s">
        <v>1088</v>
      </c>
      <c r="B473" s="1177"/>
      <c r="C473" s="1177"/>
      <c r="D473" s="1171"/>
      <c r="E473" s="1181"/>
      <c r="F473" s="1839"/>
      <c r="G473" s="1840"/>
      <c r="H473" s="2545" t="s">
        <v>1165</v>
      </c>
      <c r="I473" s="2546"/>
      <c r="J473" s="2515"/>
      <c r="K473" s="2547"/>
      <c r="L473" s="2137"/>
      <c r="M473" s="2138"/>
      <c r="N473" s="2538"/>
      <c r="O473" s="2539"/>
      <c r="P473" s="2541"/>
      <c r="Q473" s="2543"/>
      <c r="R473" s="2543"/>
      <c r="S473" s="2544"/>
      <c r="T473" s="2543"/>
      <c r="U473" s="2543"/>
      <c r="V473" s="2543"/>
      <c r="W473" s="2543"/>
      <c r="X473" s="2543"/>
      <c r="Y473" s="2543"/>
      <c r="Z473" s="1838"/>
      <c r="AA473" s="1804">
        <v>1</v>
      </c>
      <c r="AB473" s="1190" t="s">
        <v>1159</v>
      </c>
      <c r="AC473" s="1180">
        <v>1000</v>
      </c>
      <c r="AD473" s="1190" t="str">
        <f>AB473</f>
        <v>      Прочие амортизационные отчисления</v>
      </c>
      <c r="AE473" s="1180">
        <v>0</v>
      </c>
      <c r="AF473" s="2536"/>
      <c r="AG473" s="2537"/>
      <c r="AH473" s="2537"/>
      <c r="AI473" s="2916"/>
      <c r="AJ473" s="2537"/>
      <c r="AK473" s="2537"/>
      <c r="AL473" s="1996"/>
      <c r="AM473" s="1833"/>
      <c r="AN473" s="1833"/>
      <c r="AO473" s="1833"/>
      <c r="AP473" s="1833"/>
      <c r="AQ473" s="1833"/>
      <c r="AR473" s="1833"/>
      <c r="AS473" s="1833"/>
      <c r="AT473" s="1833"/>
      <c r="AU473" s="1833"/>
      <c r="AV473" s="1833"/>
      <c r="AW473" s="1833"/>
      <c r="AX473" s="1833"/>
      <c r="AY473" s="1833"/>
      <c r="AZ473" s="1833"/>
      <c r="BA473" s="1833"/>
      <c r="BB473" s="1833"/>
      <c r="BC473" s="1833"/>
      <c r="BD473" s="1833"/>
      <c r="BE473" s="1833"/>
      <c r="BF473" s="1833"/>
      <c r="BG473" s="1646"/>
    </row>
    <row customHeight="1" ht="11.25">
      <c r="A474" s="1177" t="s">
        <v>1088</v>
      </c>
      <c r="B474" s="1177"/>
      <c r="C474" s="1177"/>
      <c r="D474" s="1171"/>
      <c r="E474" s="1181"/>
      <c r="F474" s="1839"/>
      <c r="G474" s="1840"/>
      <c r="H474" s="2545" t="s">
        <v>1165</v>
      </c>
      <c r="I474" s="2546"/>
      <c r="J474" s="2515"/>
      <c r="K474" s="2547"/>
      <c r="L474" s="2137"/>
      <c r="M474" s="2138"/>
      <c r="N474" s="2538"/>
      <c r="O474" s="2539"/>
      <c r="P474" s="2542"/>
      <c r="Q474" s="2543"/>
      <c r="R474" s="2543"/>
      <c r="S474" s="2544"/>
      <c r="T474" s="2543"/>
      <c r="U474" s="2543"/>
      <c r="V474" s="2543"/>
      <c r="W474" s="2543"/>
      <c r="X474" s="2543"/>
      <c r="Y474" s="2543"/>
      <c r="Z474" s="1186"/>
      <c r="AA474" s="1187"/>
      <c r="AB474" s="1252" t="s">
        <v>1130</v>
      </c>
      <c r="AC474" s="1191"/>
      <c r="AD474" s="1191"/>
      <c r="AE474" s="1193"/>
      <c r="AF474" s="2536"/>
      <c r="AG474" s="2537"/>
      <c r="AH474" s="2537"/>
      <c r="AI474" s="2916"/>
      <c r="AJ474" s="2537"/>
      <c r="AK474" s="2537"/>
      <c r="AL474" s="1996"/>
      <c r="AM474" s="1833"/>
      <c r="AN474" s="1833"/>
      <c r="AO474" s="1833"/>
      <c r="AP474" s="1833"/>
      <c r="AQ474" s="1833"/>
      <c r="AR474" s="1833"/>
      <c r="AS474" s="1833"/>
      <c r="AT474" s="1833"/>
      <c r="AU474" s="1833"/>
      <c r="AV474" s="1833"/>
      <c r="AW474" s="1833"/>
      <c r="AX474" s="1833"/>
      <c r="AY474" s="1833"/>
      <c r="AZ474" s="1833"/>
      <c r="BA474" s="1833"/>
      <c r="BB474" s="1833"/>
      <c r="BC474" s="1833"/>
      <c r="BD474" s="1833"/>
      <c r="BE474" s="1833"/>
      <c r="BF474" s="1833"/>
      <c r="BG474" s="1646"/>
    </row>
    <row customHeight="1" ht="11.25">
      <c r="A475" s="1177" t="s">
        <v>1088</v>
      </c>
      <c r="B475" s="1177"/>
      <c r="C475" s="1177"/>
      <c r="D475" s="1171"/>
      <c r="E475" s="1181"/>
      <c r="F475" s="1839"/>
      <c r="G475" s="1840"/>
      <c r="H475" s="2545" t="s">
        <v>1165</v>
      </c>
      <c r="I475" s="2546"/>
      <c r="J475" s="2515"/>
      <c r="K475" s="2547"/>
      <c r="L475" s="2137"/>
      <c r="M475" s="2138"/>
      <c r="N475" s="1186"/>
      <c r="O475" s="1187"/>
      <c r="P475" s="1179" t="s">
        <v>1131</v>
      </c>
      <c r="Q475" s="1187"/>
      <c r="R475" s="1187"/>
      <c r="S475" s="1187"/>
      <c r="T475" s="1187"/>
      <c r="U475" s="1187"/>
      <c r="V475" s="1187"/>
      <c r="W475" s="1187"/>
      <c r="X475" s="1187"/>
      <c r="Y475" s="1187"/>
      <c r="Z475" s="1187"/>
      <c r="AA475" s="1187"/>
      <c r="AB475" s="1187"/>
      <c r="AC475" s="1187"/>
      <c r="AD475" s="1187"/>
      <c r="AE475" s="1194"/>
      <c r="AF475" s="2536"/>
      <c r="AG475" s="2537"/>
      <c r="AH475" s="2537"/>
      <c r="AI475" s="2916"/>
      <c r="AJ475" s="2537"/>
      <c r="AK475" s="2537"/>
      <c r="AL475" s="1996"/>
      <c r="AM475" s="1833"/>
      <c r="AN475" s="1833"/>
      <c r="AO475" s="1833"/>
      <c r="AP475" s="1833"/>
      <c r="AQ475" s="1833"/>
      <c r="AR475" s="1833"/>
      <c r="AS475" s="1833"/>
      <c r="AT475" s="1833"/>
      <c r="AU475" s="1833"/>
      <c r="AV475" s="1833"/>
      <c r="AW475" s="1833"/>
      <c r="AX475" s="1833"/>
      <c r="AY475" s="1833"/>
      <c r="AZ475" s="1833"/>
      <c r="BA475" s="1833"/>
      <c r="BB475" s="1833"/>
      <c r="BC475" s="1833"/>
      <c r="BD475" s="1833"/>
      <c r="BE475" s="1833"/>
      <c r="BF475" s="1833"/>
      <c r="BG475" s="1646"/>
    </row>
    <row customHeight="1" ht="11.25">
      <c r="A476" s="1177" t="s">
        <v>1088</v>
      </c>
      <c r="B476" s="1177" t="s">
        <v>1155</v>
      </c>
      <c r="C476" s="1177"/>
      <c r="D476" s="1171"/>
      <c r="E476" s="1181"/>
      <c r="F476" s="1839"/>
      <c r="G476" s="694" t="s">
        <v>105</v>
      </c>
      <c r="H476" s="2545" t="s">
        <v>1172</v>
      </c>
      <c r="I476" s="2546" t="s">
        <v>1156</v>
      </c>
      <c r="J476" s="2515" t="s">
        <v>1157</v>
      </c>
      <c r="K476" s="2547" t="s">
        <v>1260</v>
      </c>
      <c r="L476" s="2137" t="s">
        <v>19</v>
      </c>
      <c r="M476" s="2138"/>
      <c r="N476" s="1994"/>
      <c r="O476" s="1188" t="s">
        <v>390</v>
      </c>
      <c r="P476" s="1189"/>
      <c r="Q476" s="1189"/>
      <c r="R476" s="1189"/>
      <c r="S476" s="1189"/>
      <c r="T476" s="1189"/>
      <c r="U476" s="1189"/>
      <c r="V476" s="1189"/>
      <c r="W476" s="1189"/>
      <c r="X476" s="1189"/>
      <c r="Y476" s="1189"/>
      <c r="Z476" s="1189"/>
      <c r="AA476" s="1189"/>
      <c r="AB476" s="1189"/>
      <c r="AC476" s="1189"/>
      <c r="AD476" s="1189"/>
      <c r="AE476" s="1189"/>
      <c r="AF476" s="2536">
        <v>2027</v>
      </c>
      <c r="AG476" s="2537" t="s">
        <v>1122</v>
      </c>
      <c r="AH476" s="2537" t="s">
        <v>1164</v>
      </c>
      <c r="AI476" s="2916"/>
      <c r="AJ476" s="2537" t="s">
        <v>1154</v>
      </c>
      <c r="AK476" s="2537" t="s">
        <v>1154</v>
      </c>
      <c r="AL476" s="1996"/>
      <c r="AM476" s="1833"/>
      <c r="AN476" s="1833"/>
      <c r="AO476" s="1833"/>
      <c r="AP476" s="1833"/>
      <c r="AQ476" s="1833"/>
      <c r="AR476" s="1833"/>
      <c r="AS476" s="1833"/>
      <c r="AT476" s="1833"/>
      <c r="AU476" s="1833"/>
      <c r="AV476" s="1833"/>
      <c r="AW476" s="1833"/>
      <c r="AX476" s="1833"/>
      <c r="AY476" s="1833"/>
      <c r="AZ476" s="1833"/>
      <c r="BA476" s="1833"/>
      <c r="BB476" s="1833"/>
      <c r="BC476" s="1833"/>
      <c r="BD476" s="1833"/>
      <c r="BE476" s="1833"/>
      <c r="BF476" s="1833"/>
      <c r="BG476" s="1646"/>
    </row>
    <row customHeight="1" ht="11.25">
      <c r="A477" s="1177" t="s">
        <v>1088</v>
      </c>
      <c r="B477" s="1177"/>
      <c r="C477" s="1177"/>
      <c r="D477" s="1171"/>
      <c r="E477" s="1181"/>
      <c r="F477" s="1839"/>
      <c r="G477" s="1840"/>
      <c r="H477" s="2545" t="s">
        <v>1167</v>
      </c>
      <c r="I477" s="2546"/>
      <c r="J477" s="2515"/>
      <c r="K477" s="2547"/>
      <c r="L477" s="2137"/>
      <c r="M477" s="2138"/>
      <c r="N477" s="2538"/>
      <c r="O477" s="2539">
        <v>1</v>
      </c>
      <c r="P477" s="2540" t="s">
        <v>19</v>
      </c>
      <c r="Q477" s="2543" t="s">
        <v>22</v>
      </c>
      <c r="R477" s="2543" t="s">
        <v>22</v>
      </c>
      <c r="S477" s="2543" t="s">
        <v>22</v>
      </c>
      <c r="T477" s="2543" t="s">
        <v>22</v>
      </c>
      <c r="U477" s="2543" t="s">
        <v>22</v>
      </c>
      <c r="V477" s="2543" t="s">
        <v>22</v>
      </c>
      <c r="W477" s="2543" t="s">
        <v>22</v>
      </c>
      <c r="X477" s="2543" t="s">
        <v>22</v>
      </c>
      <c r="Y477" s="2543"/>
      <c r="Z477" s="1186"/>
      <c r="AA477" s="1187"/>
      <c r="AB477" s="1187"/>
      <c r="AC477" s="1191"/>
      <c r="AD477" s="1191"/>
      <c r="AE477" s="1192"/>
      <c r="AF477" s="2536"/>
      <c r="AG477" s="2537"/>
      <c r="AH477" s="2537"/>
      <c r="AI477" s="2916"/>
      <c r="AJ477" s="2537"/>
      <c r="AK477" s="2537"/>
      <c r="AL477" s="1996"/>
      <c r="AM477" s="1833"/>
      <c r="AN477" s="1833"/>
      <c r="AO477" s="1833"/>
      <c r="AP477" s="1833"/>
      <c r="AQ477" s="1833"/>
      <c r="AR477" s="1833"/>
      <c r="AS477" s="1833"/>
      <c r="AT477" s="1833"/>
      <c r="AU477" s="1833"/>
      <c r="AV477" s="1833"/>
      <c r="AW477" s="1833"/>
      <c r="AX477" s="1833"/>
      <c r="AY477" s="1833"/>
      <c r="AZ477" s="1833"/>
      <c r="BA477" s="1833"/>
      <c r="BB477" s="1833"/>
      <c r="BC477" s="1833"/>
      <c r="BD477" s="1833"/>
      <c r="BE477" s="1833"/>
      <c r="BF477" s="1833"/>
      <c r="BG477" s="1646"/>
    </row>
    <row customHeight="1" ht="11.25">
      <c r="A478" s="1177" t="s">
        <v>1088</v>
      </c>
      <c r="B478" s="1177"/>
      <c r="C478" s="1177"/>
      <c r="D478" s="1171"/>
      <c r="E478" s="1181"/>
      <c r="F478" s="1839"/>
      <c r="G478" s="1840"/>
      <c r="H478" s="2545" t="s">
        <v>1167</v>
      </c>
      <c r="I478" s="2546"/>
      <c r="J478" s="2515"/>
      <c r="K478" s="2547"/>
      <c r="L478" s="2137"/>
      <c r="M478" s="2138"/>
      <c r="N478" s="2538"/>
      <c r="O478" s="2539"/>
      <c r="P478" s="2541"/>
      <c r="Q478" s="2543"/>
      <c r="R478" s="2543"/>
      <c r="S478" s="2544"/>
      <c r="T478" s="2543"/>
      <c r="U478" s="2543"/>
      <c r="V478" s="2543"/>
      <c r="W478" s="2543"/>
      <c r="X478" s="2543"/>
      <c r="Y478" s="2543"/>
      <c r="Z478" s="1838"/>
      <c r="AA478" s="1804">
        <v>1</v>
      </c>
      <c r="AB478" s="1190" t="s">
        <v>1234</v>
      </c>
      <c r="AC478" s="1180">
        <v>5139.34</v>
      </c>
      <c r="AD478" s="1190" t="str">
        <f>AB478</f>
        <v>  Прочие</v>
      </c>
      <c r="AE478" s="1180">
        <v>0</v>
      </c>
      <c r="AF478" s="2536"/>
      <c r="AG478" s="2537"/>
      <c r="AH478" s="2537"/>
      <c r="AI478" s="2916"/>
      <c r="AJ478" s="2537"/>
      <c r="AK478" s="2537"/>
      <c r="AL478" s="1996"/>
      <c r="AM478" s="1833"/>
      <c r="AN478" s="1833"/>
      <c r="AO478" s="1833"/>
      <c r="AP478" s="1833"/>
      <c r="AQ478" s="1833"/>
      <c r="AR478" s="1833"/>
      <c r="AS478" s="1833"/>
      <c r="AT478" s="1833"/>
      <c r="AU478" s="1833"/>
      <c r="AV478" s="1833"/>
      <c r="AW478" s="1833"/>
      <c r="AX478" s="1833"/>
      <c r="AY478" s="1833"/>
      <c r="AZ478" s="1833"/>
      <c r="BA478" s="1833"/>
      <c r="BB478" s="1833"/>
      <c r="BC478" s="1833"/>
      <c r="BD478" s="1833"/>
      <c r="BE478" s="1833"/>
      <c r="BF478" s="1833"/>
      <c r="BG478" s="1646"/>
    </row>
    <row customHeight="1" ht="11.25">
      <c r="A479" s="1177" t="s">
        <v>1088</v>
      </c>
      <c r="B479" s="1177"/>
      <c r="C479" s="1177"/>
      <c r="D479" s="1171"/>
      <c r="E479" s="1181"/>
      <c r="F479" s="1839"/>
      <c r="G479" s="1840"/>
      <c r="H479" s="2545" t="s">
        <v>1167</v>
      </c>
      <c r="I479" s="2546"/>
      <c r="J479" s="2515"/>
      <c r="K479" s="2547"/>
      <c r="L479" s="2137"/>
      <c r="M479" s="2138"/>
      <c r="N479" s="2538"/>
      <c r="O479" s="2539"/>
      <c r="P479" s="2542"/>
      <c r="Q479" s="2543"/>
      <c r="R479" s="2543"/>
      <c r="S479" s="2544"/>
      <c r="T479" s="2543"/>
      <c r="U479" s="2543"/>
      <c r="V479" s="2543"/>
      <c r="W479" s="2543"/>
      <c r="X479" s="2543"/>
      <c r="Y479" s="2543"/>
      <c r="Z479" s="1186"/>
      <c r="AA479" s="1187"/>
      <c r="AB479" s="1252" t="s">
        <v>1130</v>
      </c>
      <c r="AC479" s="1191"/>
      <c r="AD479" s="1191"/>
      <c r="AE479" s="1193"/>
      <c r="AF479" s="2536"/>
      <c r="AG479" s="2537"/>
      <c r="AH479" s="2537"/>
      <c r="AI479" s="2916"/>
      <c r="AJ479" s="2537"/>
      <c r="AK479" s="2537"/>
      <c r="AL479" s="1996"/>
      <c r="AM479" s="1833"/>
      <c r="AN479" s="1833"/>
      <c r="AO479" s="1833"/>
      <c r="AP479" s="1833"/>
      <c r="AQ479" s="1833"/>
      <c r="AR479" s="1833"/>
      <c r="AS479" s="1833"/>
      <c r="AT479" s="1833"/>
      <c r="AU479" s="1833"/>
      <c r="AV479" s="1833"/>
      <c r="AW479" s="1833"/>
      <c r="AX479" s="1833"/>
      <c r="AY479" s="1833"/>
      <c r="AZ479" s="1833"/>
      <c r="BA479" s="1833"/>
      <c r="BB479" s="1833"/>
      <c r="BC479" s="1833"/>
      <c r="BD479" s="1833"/>
      <c r="BE479" s="1833"/>
      <c r="BF479" s="1833"/>
      <c r="BG479" s="1646"/>
    </row>
    <row customHeight="1" ht="11.25">
      <c r="A480" s="1177" t="s">
        <v>1088</v>
      </c>
      <c r="B480" s="1177"/>
      <c r="C480" s="1177"/>
      <c r="D480" s="1171"/>
      <c r="E480" s="1181"/>
      <c r="F480" s="1839"/>
      <c r="G480" s="1840"/>
      <c r="H480" s="2545" t="s">
        <v>1167</v>
      </c>
      <c r="I480" s="2546"/>
      <c r="J480" s="2515"/>
      <c r="K480" s="2547"/>
      <c r="L480" s="2137"/>
      <c r="M480" s="2138"/>
      <c r="N480" s="1186"/>
      <c r="O480" s="1187"/>
      <c r="P480" s="1179" t="s">
        <v>1131</v>
      </c>
      <c r="Q480" s="1187"/>
      <c r="R480" s="1187"/>
      <c r="S480" s="1187"/>
      <c r="T480" s="1187"/>
      <c r="U480" s="1187"/>
      <c r="V480" s="1187"/>
      <c r="W480" s="1187"/>
      <c r="X480" s="1187"/>
      <c r="Y480" s="1187"/>
      <c r="Z480" s="1187"/>
      <c r="AA480" s="1187"/>
      <c r="AB480" s="1187"/>
      <c r="AC480" s="1187"/>
      <c r="AD480" s="1187"/>
      <c r="AE480" s="1194"/>
      <c r="AF480" s="2536"/>
      <c r="AG480" s="2537"/>
      <c r="AH480" s="2537"/>
      <c r="AI480" s="2916"/>
      <c r="AJ480" s="2537"/>
      <c r="AK480" s="2537"/>
      <c r="AL480" s="1996"/>
      <c r="AM480" s="1833"/>
      <c r="AN480" s="1833"/>
      <c r="AO480" s="1833"/>
      <c r="AP480" s="1833"/>
      <c r="AQ480" s="1833"/>
      <c r="AR480" s="1833"/>
      <c r="AS480" s="1833"/>
      <c r="AT480" s="1833"/>
      <c r="AU480" s="1833"/>
      <c r="AV480" s="1833"/>
      <c r="AW480" s="1833"/>
      <c r="AX480" s="1833"/>
      <c r="AY480" s="1833"/>
      <c r="AZ480" s="1833"/>
      <c r="BA480" s="1833"/>
      <c r="BB480" s="1833"/>
      <c r="BC480" s="1833"/>
      <c r="BD480" s="1833"/>
      <c r="BE480" s="1833"/>
      <c r="BF480" s="1833"/>
      <c r="BG480" s="1646"/>
    </row>
    <row customHeight="1" ht="11.25">
      <c r="A481" s="1177" t="s">
        <v>1088</v>
      </c>
      <c r="B481" s="1177" t="s">
        <v>1155</v>
      </c>
      <c r="C481" s="1177"/>
      <c r="D481" s="1171"/>
      <c r="E481" s="1181"/>
      <c r="F481" s="1839"/>
      <c r="G481" s="694" t="s">
        <v>105</v>
      </c>
      <c r="H481" s="2545" t="s">
        <v>1177</v>
      </c>
      <c r="I481" s="2546" t="s">
        <v>1156</v>
      </c>
      <c r="J481" s="2515" t="s">
        <v>1157</v>
      </c>
      <c r="K481" s="2547" t="s">
        <v>1261</v>
      </c>
      <c r="L481" s="2137" t="s">
        <v>19</v>
      </c>
      <c r="M481" s="2138"/>
      <c r="N481" s="1994"/>
      <c r="O481" s="1188" t="s">
        <v>390</v>
      </c>
      <c r="P481" s="1189"/>
      <c r="Q481" s="1189"/>
      <c r="R481" s="1189"/>
      <c r="S481" s="1189"/>
      <c r="T481" s="1189"/>
      <c r="U481" s="1189"/>
      <c r="V481" s="1189"/>
      <c r="W481" s="1189"/>
      <c r="X481" s="1189"/>
      <c r="Y481" s="1189"/>
      <c r="Z481" s="1189"/>
      <c r="AA481" s="1189"/>
      <c r="AB481" s="1189"/>
      <c r="AC481" s="1189"/>
      <c r="AD481" s="1189"/>
      <c r="AE481" s="1189"/>
      <c r="AF481" s="2536">
        <v>2027</v>
      </c>
      <c r="AG481" s="2537" t="s">
        <v>1122</v>
      </c>
      <c r="AH481" s="2537" t="s">
        <v>1164</v>
      </c>
      <c r="AI481" s="2916"/>
      <c r="AJ481" s="2537" t="s">
        <v>1154</v>
      </c>
      <c r="AK481" s="2537" t="s">
        <v>1154</v>
      </c>
      <c r="AL481" s="1996"/>
      <c r="AM481" s="1833"/>
      <c r="AN481" s="1833"/>
      <c r="AO481" s="1833"/>
      <c r="AP481" s="1833"/>
      <c r="AQ481" s="1833"/>
      <c r="AR481" s="1833"/>
      <c r="AS481" s="1833"/>
      <c r="AT481" s="1833"/>
      <c r="AU481" s="1833"/>
      <c r="AV481" s="1833"/>
      <c r="AW481" s="1833"/>
      <c r="AX481" s="1833"/>
      <c r="AY481" s="1833"/>
      <c r="AZ481" s="1833"/>
      <c r="BA481" s="1833"/>
      <c r="BB481" s="1833"/>
      <c r="BC481" s="1833"/>
      <c r="BD481" s="1833"/>
      <c r="BE481" s="1833"/>
      <c r="BF481" s="1833"/>
      <c r="BG481" s="1646"/>
    </row>
    <row customHeight="1" ht="11.25">
      <c r="A482" s="1177" t="s">
        <v>1088</v>
      </c>
      <c r="B482" s="1177"/>
      <c r="C482" s="1177"/>
      <c r="D482" s="1171"/>
      <c r="E482" s="1181"/>
      <c r="F482" s="1839"/>
      <c r="G482" s="1840"/>
      <c r="H482" s="2545" t="s">
        <v>1172</v>
      </c>
      <c r="I482" s="2546"/>
      <c r="J482" s="2515"/>
      <c r="K482" s="2547"/>
      <c r="L482" s="2137"/>
      <c r="M482" s="2138"/>
      <c r="N482" s="2538"/>
      <c r="O482" s="2539">
        <v>1</v>
      </c>
      <c r="P482" s="2540" t="s">
        <v>63</v>
      </c>
      <c r="Q482" s="2913" t="s">
        <v>1262</v>
      </c>
      <c r="R482" s="2914" t="s">
        <v>1124</v>
      </c>
      <c r="S482" s="2914" t="s">
        <v>112</v>
      </c>
      <c r="T482" s="2914" t="s">
        <v>112</v>
      </c>
      <c r="U482" s="2914" t="s">
        <v>113</v>
      </c>
      <c r="V482" s="2914" t="s">
        <v>1263</v>
      </c>
      <c r="W482" s="2914" t="s">
        <v>1264</v>
      </c>
      <c r="X482" s="2914" t="s">
        <v>1265</v>
      </c>
      <c r="Y482" s="2914" t="s">
        <v>168</v>
      </c>
      <c r="Z482" s="1186"/>
      <c r="AA482" s="1187"/>
      <c r="AB482" s="1187"/>
      <c r="AC482" s="1191"/>
      <c r="AD482" s="1191"/>
      <c r="AE482" s="1192"/>
      <c r="AF482" s="2536"/>
      <c r="AG482" s="2537"/>
      <c r="AH482" s="2537"/>
      <c r="AI482" s="2916"/>
      <c r="AJ482" s="2537"/>
      <c r="AK482" s="2537"/>
      <c r="AL482" s="1996"/>
      <c r="AM482" s="1833"/>
      <c r="AN482" s="1833"/>
      <c r="AO482" s="1833"/>
      <c r="AP482" s="1833"/>
      <c r="AQ482" s="1833"/>
      <c r="AR482" s="1833"/>
      <c r="AS482" s="1833"/>
      <c r="AT482" s="1833"/>
      <c r="AU482" s="1833"/>
      <c r="AV482" s="1833"/>
      <c r="AW482" s="1833"/>
      <c r="AX482" s="1833"/>
      <c r="AY482" s="1833"/>
      <c r="AZ482" s="1833"/>
      <c r="BA482" s="1833"/>
      <c r="BB482" s="1833"/>
      <c r="BC482" s="1833"/>
      <c r="BD482" s="1833"/>
      <c r="BE482" s="1833"/>
      <c r="BF482" s="1833"/>
      <c r="BG482" s="1646"/>
    </row>
    <row customHeight="1" ht="11.25">
      <c r="A483" s="1177" t="s">
        <v>1088</v>
      </c>
      <c r="B483" s="1177"/>
      <c r="C483" s="1177"/>
      <c r="D483" s="1171"/>
      <c r="E483" s="1181"/>
      <c r="F483" s="1839"/>
      <c r="G483" s="1840"/>
      <c r="H483" s="2545" t="s">
        <v>1172</v>
      </c>
      <c r="I483" s="2546"/>
      <c r="J483" s="2515"/>
      <c r="K483" s="2547"/>
      <c r="L483" s="2137"/>
      <c r="M483" s="2138"/>
      <c r="N483" s="2538"/>
      <c r="O483" s="2539"/>
      <c r="P483" s="2541"/>
      <c r="Q483" s="2913"/>
      <c r="R483" s="2543"/>
      <c r="S483" s="2544"/>
      <c r="T483" s="2543"/>
      <c r="U483" s="2543"/>
      <c r="V483" s="2543"/>
      <c r="W483" s="2543"/>
      <c r="X483" s="2543"/>
      <c r="Y483" s="2543"/>
      <c r="Z483" s="1838"/>
      <c r="AA483" s="1804">
        <v>1</v>
      </c>
      <c r="AB483" s="1190" t="s">
        <v>1234</v>
      </c>
      <c r="AC483" s="1180">
        <v>16804.318</v>
      </c>
      <c r="AD483" s="1190" t="str">
        <f>AB483</f>
        <v>  Прочие</v>
      </c>
      <c r="AE483" s="1180">
        <v>0</v>
      </c>
      <c r="AF483" s="2536"/>
      <c r="AG483" s="2537"/>
      <c r="AH483" s="2537"/>
      <c r="AI483" s="2916"/>
      <c r="AJ483" s="2537"/>
      <c r="AK483" s="2537"/>
      <c r="AL483" s="1996"/>
      <c r="AM483" s="1833"/>
      <c r="AN483" s="1833"/>
      <c r="AO483" s="1833"/>
      <c r="AP483" s="1833"/>
      <c r="AQ483" s="1833"/>
      <c r="AR483" s="1833"/>
      <c r="AS483" s="1833"/>
      <c r="AT483" s="1833"/>
      <c r="AU483" s="1833"/>
      <c r="AV483" s="1833"/>
      <c r="AW483" s="1833"/>
      <c r="AX483" s="1833"/>
      <c r="AY483" s="1833"/>
      <c r="AZ483" s="1833"/>
      <c r="BA483" s="1833"/>
      <c r="BB483" s="1833"/>
      <c r="BC483" s="1833"/>
      <c r="BD483" s="1833"/>
      <c r="BE483" s="1833"/>
      <c r="BF483" s="1833"/>
      <c r="BG483" s="1646"/>
    </row>
    <row customHeight="1" ht="11.25">
      <c r="A484" s="1177" t="s">
        <v>1088</v>
      </c>
      <c r="B484" s="1177"/>
      <c r="C484" s="1177"/>
      <c r="D484" s="1171"/>
      <c r="E484" s="1181"/>
      <c r="F484" s="1839"/>
      <c r="G484" s="1840"/>
      <c r="H484" s="2545" t="s">
        <v>1172</v>
      </c>
      <c r="I484" s="2546"/>
      <c r="J484" s="2515"/>
      <c r="K484" s="2547"/>
      <c r="L484" s="2137"/>
      <c r="M484" s="2138"/>
      <c r="N484" s="2538"/>
      <c r="O484" s="2539"/>
      <c r="P484" s="2542"/>
      <c r="Q484" s="2913"/>
      <c r="R484" s="2543"/>
      <c r="S484" s="2544"/>
      <c r="T484" s="2543"/>
      <c r="U484" s="2543"/>
      <c r="V484" s="2543"/>
      <c r="W484" s="2543"/>
      <c r="X484" s="2543"/>
      <c r="Y484" s="2543"/>
      <c r="Z484" s="1186"/>
      <c r="AA484" s="1187"/>
      <c r="AB484" s="1252" t="s">
        <v>1130</v>
      </c>
      <c r="AC484" s="1191"/>
      <c r="AD484" s="1191"/>
      <c r="AE484" s="1193"/>
      <c r="AF484" s="2536"/>
      <c r="AG484" s="2537"/>
      <c r="AH484" s="2537"/>
      <c r="AI484" s="2916"/>
      <c r="AJ484" s="2537"/>
      <c r="AK484" s="2537"/>
      <c r="AL484" s="1996"/>
      <c r="AM484" s="1833"/>
      <c r="AN484" s="1833"/>
      <c r="AO484" s="1833"/>
      <c r="AP484" s="1833"/>
      <c r="AQ484" s="1833"/>
      <c r="AR484" s="1833"/>
      <c r="AS484" s="1833"/>
      <c r="AT484" s="1833"/>
      <c r="AU484" s="1833"/>
      <c r="AV484" s="1833"/>
      <c r="AW484" s="1833"/>
      <c r="AX484" s="1833"/>
      <c r="AY484" s="1833"/>
      <c r="AZ484" s="1833"/>
      <c r="BA484" s="1833"/>
      <c r="BB484" s="1833"/>
      <c r="BC484" s="1833"/>
      <c r="BD484" s="1833"/>
      <c r="BE484" s="1833"/>
      <c r="BF484" s="1833"/>
      <c r="BG484" s="1646"/>
    </row>
    <row customHeight="1" ht="11.25">
      <c r="A485" s="1177" t="s">
        <v>1088</v>
      </c>
      <c r="B485" s="1177"/>
      <c r="C485" s="1177"/>
      <c r="D485" s="1171"/>
      <c r="E485" s="1181"/>
      <c r="F485" s="1839"/>
      <c r="G485" s="1840"/>
      <c r="H485" s="2545" t="s">
        <v>1172</v>
      </c>
      <c r="I485" s="2546"/>
      <c r="J485" s="2515"/>
      <c r="K485" s="2547"/>
      <c r="L485" s="2137"/>
      <c r="M485" s="2138"/>
      <c r="N485" s="1186"/>
      <c r="O485" s="1187"/>
      <c r="P485" s="1179" t="s">
        <v>1131</v>
      </c>
      <c r="Q485" s="1187"/>
      <c r="R485" s="1187"/>
      <c r="S485" s="1187"/>
      <c r="T485" s="1187"/>
      <c r="U485" s="1187"/>
      <c r="V485" s="1187"/>
      <c r="W485" s="1187"/>
      <c r="X485" s="1187"/>
      <c r="Y485" s="1187"/>
      <c r="Z485" s="1187"/>
      <c r="AA485" s="1187"/>
      <c r="AB485" s="1187"/>
      <c r="AC485" s="1187"/>
      <c r="AD485" s="1187"/>
      <c r="AE485" s="1194"/>
      <c r="AF485" s="2536"/>
      <c r="AG485" s="2537"/>
      <c r="AH485" s="2537"/>
      <c r="AI485" s="2916"/>
      <c r="AJ485" s="2537"/>
      <c r="AK485" s="2537"/>
      <c r="AL485" s="1996"/>
      <c r="AM485" s="1833"/>
      <c r="AN485" s="1833"/>
      <c r="AO485" s="1833"/>
      <c r="AP485" s="1833"/>
      <c r="AQ485" s="1833"/>
      <c r="AR485" s="1833"/>
      <c r="AS485" s="1833"/>
      <c r="AT485" s="1833"/>
      <c r="AU485" s="1833"/>
      <c r="AV485" s="1833"/>
      <c r="AW485" s="1833"/>
      <c r="AX485" s="1833"/>
      <c r="AY485" s="1833"/>
      <c r="AZ485" s="1833"/>
      <c r="BA485" s="1833"/>
      <c r="BB485" s="1833"/>
      <c r="BC485" s="1833"/>
      <c r="BD485" s="1833"/>
      <c r="BE485" s="1833"/>
      <c r="BF485" s="1833"/>
      <c r="BG485" s="1646"/>
    </row>
    <row customHeight="1" ht="11.25">
      <c r="A486" s="1177" t="s">
        <v>1088</v>
      </c>
      <c r="B486" s="1177" t="s">
        <v>1155</v>
      </c>
      <c r="C486" s="1177"/>
      <c r="D486" s="1171"/>
      <c r="E486" s="1181"/>
      <c r="F486" s="1839"/>
      <c r="G486" s="694" t="s">
        <v>105</v>
      </c>
      <c r="H486" s="2545" t="s">
        <v>1179</v>
      </c>
      <c r="I486" s="2546" t="s">
        <v>1156</v>
      </c>
      <c r="J486" s="2515" t="s">
        <v>1157</v>
      </c>
      <c r="K486" s="2547" t="s">
        <v>1266</v>
      </c>
      <c r="L486" s="2137" t="s">
        <v>19</v>
      </c>
      <c r="M486" s="2138"/>
      <c r="N486" s="1994"/>
      <c r="O486" s="1188" t="s">
        <v>390</v>
      </c>
      <c r="P486" s="1189"/>
      <c r="Q486" s="1189"/>
      <c r="R486" s="1189"/>
      <c r="S486" s="1189"/>
      <c r="T486" s="1189"/>
      <c r="U486" s="1189"/>
      <c r="V486" s="1189"/>
      <c r="W486" s="1189"/>
      <c r="X486" s="1189"/>
      <c r="Y486" s="1189"/>
      <c r="Z486" s="1189"/>
      <c r="AA486" s="1189"/>
      <c r="AB486" s="1189"/>
      <c r="AC486" s="1189"/>
      <c r="AD486" s="1189"/>
      <c r="AE486" s="1189"/>
      <c r="AF486" s="2536">
        <v>2027</v>
      </c>
      <c r="AG486" s="2537" t="s">
        <v>1122</v>
      </c>
      <c r="AH486" s="2537" t="s">
        <v>1164</v>
      </c>
      <c r="AI486" s="2916"/>
      <c r="AJ486" s="2537" t="s">
        <v>1154</v>
      </c>
      <c r="AK486" s="2537" t="s">
        <v>1154</v>
      </c>
      <c r="AL486" s="1996"/>
      <c r="AM486" s="1833"/>
      <c r="AN486" s="1833"/>
      <c r="AO486" s="1833"/>
      <c r="AP486" s="1833"/>
      <c r="AQ486" s="1833"/>
      <c r="AR486" s="1833"/>
      <c r="AS486" s="1833"/>
      <c r="AT486" s="1833"/>
      <c r="AU486" s="1833"/>
      <c r="AV486" s="1833"/>
      <c r="AW486" s="1833"/>
      <c r="AX486" s="1833"/>
      <c r="AY486" s="1833"/>
      <c r="AZ486" s="1833"/>
      <c r="BA486" s="1833"/>
      <c r="BB486" s="1833"/>
      <c r="BC486" s="1833"/>
      <c r="BD486" s="1833"/>
      <c r="BE486" s="1833"/>
      <c r="BF486" s="1833"/>
      <c r="BG486" s="1646"/>
    </row>
    <row customHeight="1" ht="11.25">
      <c r="A487" s="1177" t="s">
        <v>1088</v>
      </c>
      <c r="B487" s="1177"/>
      <c r="C487" s="1177"/>
      <c r="D487" s="1171"/>
      <c r="E487" s="1181"/>
      <c r="F487" s="1839"/>
      <c r="G487" s="1840"/>
      <c r="H487" s="2545" t="s">
        <v>1177</v>
      </c>
      <c r="I487" s="2546"/>
      <c r="J487" s="2515"/>
      <c r="K487" s="2547"/>
      <c r="L487" s="2137"/>
      <c r="M487" s="2138"/>
      <c r="N487" s="2538"/>
      <c r="O487" s="2539">
        <v>1</v>
      </c>
      <c r="P487" s="2540" t="s">
        <v>19</v>
      </c>
      <c r="Q487" s="2543" t="s">
        <v>22</v>
      </c>
      <c r="R487" s="2543" t="s">
        <v>22</v>
      </c>
      <c r="S487" s="2543" t="s">
        <v>22</v>
      </c>
      <c r="T487" s="2543" t="s">
        <v>22</v>
      </c>
      <c r="U487" s="2543" t="s">
        <v>22</v>
      </c>
      <c r="V487" s="2543" t="s">
        <v>22</v>
      </c>
      <c r="W487" s="2543" t="s">
        <v>22</v>
      </c>
      <c r="X487" s="2543" t="s">
        <v>22</v>
      </c>
      <c r="Y487" s="2543"/>
      <c r="Z487" s="1186"/>
      <c r="AA487" s="1187"/>
      <c r="AB487" s="1187"/>
      <c r="AC487" s="1191"/>
      <c r="AD487" s="1191"/>
      <c r="AE487" s="1192"/>
      <c r="AF487" s="2536"/>
      <c r="AG487" s="2537"/>
      <c r="AH487" s="2537"/>
      <c r="AI487" s="2916"/>
      <c r="AJ487" s="2537"/>
      <c r="AK487" s="2537"/>
      <c r="AL487" s="1996"/>
      <c r="AM487" s="1833"/>
      <c r="AN487" s="1833"/>
      <c r="AO487" s="1833"/>
      <c r="AP487" s="1833"/>
      <c r="AQ487" s="1833"/>
      <c r="AR487" s="1833"/>
      <c r="AS487" s="1833"/>
      <c r="AT487" s="1833"/>
      <c r="AU487" s="1833"/>
      <c r="AV487" s="1833"/>
      <c r="AW487" s="1833"/>
      <c r="AX487" s="1833"/>
      <c r="AY487" s="1833"/>
      <c r="AZ487" s="1833"/>
      <c r="BA487" s="1833"/>
      <c r="BB487" s="1833"/>
      <c r="BC487" s="1833"/>
      <c r="BD487" s="1833"/>
      <c r="BE487" s="1833"/>
      <c r="BF487" s="1833"/>
      <c r="BG487" s="1646"/>
    </row>
    <row customHeight="1" ht="11.25">
      <c r="A488" s="1177" t="s">
        <v>1088</v>
      </c>
      <c r="B488" s="1177"/>
      <c r="C488" s="1177"/>
      <c r="D488" s="1171"/>
      <c r="E488" s="1181"/>
      <c r="F488" s="1839"/>
      <c r="G488" s="1840"/>
      <c r="H488" s="2545" t="s">
        <v>1177</v>
      </c>
      <c r="I488" s="2546"/>
      <c r="J488" s="2515"/>
      <c r="K488" s="2547"/>
      <c r="L488" s="2137"/>
      <c r="M488" s="2138"/>
      <c r="N488" s="2538"/>
      <c r="O488" s="2539"/>
      <c r="P488" s="2541"/>
      <c r="Q488" s="2543"/>
      <c r="R488" s="2543"/>
      <c r="S488" s="2544"/>
      <c r="T488" s="2543"/>
      <c r="U488" s="2543"/>
      <c r="V488" s="2543"/>
      <c r="W488" s="2543"/>
      <c r="X488" s="2543"/>
      <c r="Y488" s="2543"/>
      <c r="Z488" s="1838"/>
      <c r="AA488" s="1804">
        <v>1</v>
      </c>
      <c r="AB488" s="1190" t="s">
        <v>1159</v>
      </c>
      <c r="AC488" s="1180">
        <v>5002.92</v>
      </c>
      <c r="AD488" s="1190" t="str">
        <f>AB488</f>
        <v>      Прочие амортизационные отчисления</v>
      </c>
      <c r="AE488" s="1180">
        <v>0</v>
      </c>
      <c r="AF488" s="2536"/>
      <c r="AG488" s="2537"/>
      <c r="AH488" s="2537"/>
      <c r="AI488" s="2916"/>
      <c r="AJ488" s="2537"/>
      <c r="AK488" s="2537"/>
      <c r="AL488" s="1996"/>
      <c r="AM488" s="1833"/>
      <c r="AN488" s="1833"/>
      <c r="AO488" s="1833"/>
      <c r="AP488" s="1833"/>
      <c r="AQ488" s="1833"/>
      <c r="AR488" s="1833"/>
      <c r="AS488" s="1833"/>
      <c r="AT488" s="1833"/>
      <c r="AU488" s="1833"/>
      <c r="AV488" s="1833"/>
      <c r="AW488" s="1833"/>
      <c r="AX488" s="1833"/>
      <c r="AY488" s="1833"/>
      <c r="AZ488" s="1833"/>
      <c r="BA488" s="1833"/>
      <c r="BB488" s="1833"/>
      <c r="BC488" s="1833"/>
      <c r="BD488" s="1833"/>
      <c r="BE488" s="1833"/>
      <c r="BF488" s="1833"/>
      <c r="BG488" s="1646"/>
    </row>
    <row customHeight="1" ht="11.25">
      <c r="A489" s="1177" t="s">
        <v>1088</v>
      </c>
      <c r="B489" s="1177"/>
      <c r="C489" s="1177"/>
      <c r="D489" s="1171"/>
      <c r="E489" s="1181"/>
      <c r="F489" s="1839"/>
      <c r="G489" s="1840"/>
      <c r="H489" s="2545" t="s">
        <v>1177</v>
      </c>
      <c r="I489" s="2546"/>
      <c r="J489" s="2515"/>
      <c r="K489" s="2547"/>
      <c r="L489" s="2137"/>
      <c r="M489" s="2138"/>
      <c r="N489" s="2538"/>
      <c r="O489" s="2539"/>
      <c r="P489" s="2542"/>
      <c r="Q489" s="2543"/>
      <c r="R489" s="2543"/>
      <c r="S489" s="2544"/>
      <c r="T489" s="2543"/>
      <c r="U489" s="2543"/>
      <c r="V489" s="2543"/>
      <c r="W489" s="2543"/>
      <c r="X489" s="2543"/>
      <c r="Y489" s="2543"/>
      <c r="Z489" s="1186"/>
      <c r="AA489" s="1187"/>
      <c r="AB489" s="1252" t="s">
        <v>1130</v>
      </c>
      <c r="AC489" s="1191"/>
      <c r="AD489" s="1191"/>
      <c r="AE489" s="1193"/>
      <c r="AF489" s="2536"/>
      <c r="AG489" s="2537"/>
      <c r="AH489" s="2537"/>
      <c r="AI489" s="2916"/>
      <c r="AJ489" s="2537"/>
      <c r="AK489" s="2537"/>
      <c r="AL489" s="1996"/>
      <c r="AM489" s="1833"/>
      <c r="AN489" s="1833"/>
      <c r="AO489" s="1833"/>
      <c r="AP489" s="1833"/>
      <c r="AQ489" s="1833"/>
      <c r="AR489" s="1833"/>
      <c r="AS489" s="1833"/>
      <c r="AT489" s="1833"/>
      <c r="AU489" s="1833"/>
      <c r="AV489" s="1833"/>
      <c r="AW489" s="1833"/>
      <c r="AX489" s="1833"/>
      <c r="AY489" s="1833"/>
      <c r="AZ489" s="1833"/>
      <c r="BA489" s="1833"/>
      <c r="BB489" s="1833"/>
      <c r="BC489" s="1833"/>
      <c r="BD489" s="1833"/>
      <c r="BE489" s="1833"/>
      <c r="BF489" s="1833"/>
      <c r="BG489" s="1646"/>
    </row>
    <row customHeight="1" ht="11.25">
      <c r="A490" s="1177" t="s">
        <v>1088</v>
      </c>
      <c r="B490" s="1177"/>
      <c r="C490" s="1177"/>
      <c r="D490" s="1171"/>
      <c r="E490" s="1181"/>
      <c r="F490" s="1839"/>
      <c r="G490" s="1840"/>
      <c r="H490" s="2545" t="s">
        <v>1177</v>
      </c>
      <c r="I490" s="2546"/>
      <c r="J490" s="2515"/>
      <c r="K490" s="2547"/>
      <c r="L490" s="2137"/>
      <c r="M490" s="2138"/>
      <c r="N490" s="1186"/>
      <c r="O490" s="1187"/>
      <c r="P490" s="1179" t="s">
        <v>1131</v>
      </c>
      <c r="Q490" s="1187"/>
      <c r="R490" s="1187"/>
      <c r="S490" s="1187"/>
      <c r="T490" s="1187"/>
      <c r="U490" s="1187"/>
      <c r="V490" s="1187"/>
      <c r="W490" s="1187"/>
      <c r="X490" s="1187"/>
      <c r="Y490" s="1187"/>
      <c r="Z490" s="1187"/>
      <c r="AA490" s="1187"/>
      <c r="AB490" s="1187"/>
      <c r="AC490" s="1187"/>
      <c r="AD490" s="1187"/>
      <c r="AE490" s="1194"/>
      <c r="AF490" s="2536"/>
      <c r="AG490" s="2537"/>
      <c r="AH490" s="2537"/>
      <c r="AI490" s="2916"/>
      <c r="AJ490" s="2537"/>
      <c r="AK490" s="2537"/>
      <c r="AL490" s="1996"/>
      <c r="AM490" s="1833"/>
      <c r="AN490" s="1833"/>
      <c r="AO490" s="1833"/>
      <c r="AP490" s="1833"/>
      <c r="AQ490" s="1833"/>
      <c r="AR490" s="1833"/>
      <c r="AS490" s="1833"/>
      <c r="AT490" s="1833"/>
      <c r="AU490" s="1833"/>
      <c r="AV490" s="1833"/>
      <c r="AW490" s="1833"/>
      <c r="AX490" s="1833"/>
      <c r="AY490" s="1833"/>
      <c r="AZ490" s="1833"/>
      <c r="BA490" s="1833"/>
      <c r="BB490" s="1833"/>
      <c r="BC490" s="1833"/>
      <c r="BD490" s="1833"/>
      <c r="BE490" s="1833"/>
      <c r="BF490" s="1833"/>
      <c r="BG490" s="1646"/>
    </row>
    <row customHeight="1" ht="11.25">
      <c r="A491" s="1177" t="s">
        <v>1088</v>
      </c>
      <c r="B491" s="1177" t="s">
        <v>1155</v>
      </c>
      <c r="C491" s="1177"/>
      <c r="D491" s="1171"/>
      <c r="E491" s="1181"/>
      <c r="F491" s="1839"/>
      <c r="G491" s="694" t="s">
        <v>105</v>
      </c>
      <c r="H491" s="2545" t="s">
        <v>1186</v>
      </c>
      <c r="I491" s="2546" t="s">
        <v>1156</v>
      </c>
      <c r="J491" s="2515" t="s">
        <v>1157</v>
      </c>
      <c r="K491" s="2547" t="s">
        <v>1267</v>
      </c>
      <c r="L491" s="2137" t="s">
        <v>19</v>
      </c>
      <c r="M491" s="2138"/>
      <c r="N491" s="1994"/>
      <c r="O491" s="1188" t="s">
        <v>390</v>
      </c>
      <c r="P491" s="1189"/>
      <c r="Q491" s="1189"/>
      <c r="R491" s="1189"/>
      <c r="S491" s="1189"/>
      <c r="T491" s="1189"/>
      <c r="U491" s="1189"/>
      <c r="V491" s="1189"/>
      <c r="W491" s="1189"/>
      <c r="X491" s="1189"/>
      <c r="Y491" s="1189"/>
      <c r="Z491" s="1189"/>
      <c r="AA491" s="1189"/>
      <c r="AB491" s="1189"/>
      <c r="AC491" s="1189"/>
      <c r="AD491" s="1189"/>
      <c r="AE491" s="1189"/>
      <c r="AF491" s="2536">
        <v>2027</v>
      </c>
      <c r="AG491" s="2537" t="s">
        <v>1122</v>
      </c>
      <c r="AH491" s="2537" t="s">
        <v>1164</v>
      </c>
      <c r="AI491" s="2916"/>
      <c r="AJ491" s="2537" t="s">
        <v>1154</v>
      </c>
      <c r="AK491" s="2537" t="s">
        <v>1154</v>
      </c>
      <c r="AL491" s="1996"/>
      <c r="AM491" s="1833"/>
      <c r="AN491" s="1833"/>
      <c r="AO491" s="1833"/>
      <c r="AP491" s="1833"/>
      <c r="AQ491" s="1833"/>
      <c r="AR491" s="1833"/>
      <c r="AS491" s="1833"/>
      <c r="AT491" s="1833"/>
      <c r="AU491" s="1833"/>
      <c r="AV491" s="1833"/>
      <c r="AW491" s="1833"/>
      <c r="AX491" s="1833"/>
      <c r="AY491" s="1833"/>
      <c r="AZ491" s="1833"/>
      <c r="BA491" s="1833"/>
      <c r="BB491" s="1833"/>
      <c r="BC491" s="1833"/>
      <c r="BD491" s="1833"/>
      <c r="BE491" s="1833"/>
      <c r="BF491" s="1833"/>
      <c r="BG491" s="1646"/>
    </row>
    <row customHeight="1" ht="11.25">
      <c r="A492" s="1177" t="s">
        <v>1088</v>
      </c>
      <c r="B492" s="1177"/>
      <c r="C492" s="1177"/>
      <c r="D492" s="1171"/>
      <c r="E492" s="1181"/>
      <c r="F492" s="1839"/>
      <c r="G492" s="1840"/>
      <c r="H492" s="2545" t="s">
        <v>1179</v>
      </c>
      <c r="I492" s="2546"/>
      <c r="J492" s="2515"/>
      <c r="K492" s="2547"/>
      <c r="L492" s="2137"/>
      <c r="M492" s="2138"/>
      <c r="N492" s="2538"/>
      <c r="O492" s="2539">
        <v>1</v>
      </c>
      <c r="P492" s="2540" t="s">
        <v>19</v>
      </c>
      <c r="Q492" s="2543" t="s">
        <v>22</v>
      </c>
      <c r="R492" s="2543" t="s">
        <v>22</v>
      </c>
      <c r="S492" s="2543" t="s">
        <v>22</v>
      </c>
      <c r="T492" s="2543" t="s">
        <v>22</v>
      </c>
      <c r="U492" s="2543" t="s">
        <v>22</v>
      </c>
      <c r="V492" s="2543" t="s">
        <v>22</v>
      </c>
      <c r="W492" s="2543" t="s">
        <v>22</v>
      </c>
      <c r="X492" s="2543" t="s">
        <v>22</v>
      </c>
      <c r="Y492" s="2543"/>
      <c r="Z492" s="1186"/>
      <c r="AA492" s="1187"/>
      <c r="AB492" s="1187"/>
      <c r="AC492" s="1191"/>
      <c r="AD492" s="1191"/>
      <c r="AE492" s="1192"/>
      <c r="AF492" s="2536"/>
      <c r="AG492" s="2537"/>
      <c r="AH492" s="2537"/>
      <c r="AI492" s="2916"/>
      <c r="AJ492" s="2537"/>
      <c r="AK492" s="2537"/>
      <c r="AL492" s="1996"/>
      <c r="AM492" s="1833"/>
      <c r="AN492" s="1833"/>
      <c r="AO492" s="1833"/>
      <c r="AP492" s="1833"/>
      <c r="AQ492" s="1833"/>
      <c r="AR492" s="1833"/>
      <c r="AS492" s="1833"/>
      <c r="AT492" s="1833"/>
      <c r="AU492" s="1833"/>
      <c r="AV492" s="1833"/>
      <c r="AW492" s="1833"/>
      <c r="AX492" s="1833"/>
      <c r="AY492" s="1833"/>
      <c r="AZ492" s="1833"/>
      <c r="BA492" s="1833"/>
      <c r="BB492" s="1833"/>
      <c r="BC492" s="1833"/>
      <c r="BD492" s="1833"/>
      <c r="BE492" s="1833"/>
      <c r="BF492" s="1833"/>
      <c r="BG492" s="1646"/>
    </row>
    <row customHeight="1" ht="11.25">
      <c r="A493" s="1177" t="s">
        <v>1088</v>
      </c>
      <c r="B493" s="1177"/>
      <c r="C493" s="1177"/>
      <c r="D493" s="1171"/>
      <c r="E493" s="1181"/>
      <c r="F493" s="1839"/>
      <c r="G493" s="1840"/>
      <c r="H493" s="2545" t="s">
        <v>1179</v>
      </c>
      <c r="I493" s="2546"/>
      <c r="J493" s="2515"/>
      <c r="K493" s="2547"/>
      <c r="L493" s="2137"/>
      <c r="M493" s="2138"/>
      <c r="N493" s="2538"/>
      <c r="O493" s="2539"/>
      <c r="P493" s="2541"/>
      <c r="Q493" s="2543"/>
      <c r="R493" s="2543"/>
      <c r="S493" s="2544"/>
      <c r="T493" s="2543"/>
      <c r="U493" s="2543"/>
      <c r="V493" s="2543"/>
      <c r="W493" s="2543"/>
      <c r="X493" s="2543"/>
      <c r="Y493" s="2543"/>
      <c r="Z493" s="1838"/>
      <c r="AA493" s="1804">
        <v>1</v>
      </c>
      <c r="AB493" s="1190" t="s">
        <v>1234</v>
      </c>
      <c r="AC493" s="1180">
        <v>5044.66</v>
      </c>
      <c r="AD493" s="1190" t="str">
        <f>AB493</f>
        <v>  Прочие</v>
      </c>
      <c r="AE493" s="1180">
        <v>0</v>
      </c>
      <c r="AF493" s="2536"/>
      <c r="AG493" s="2537"/>
      <c r="AH493" s="2537"/>
      <c r="AI493" s="2916"/>
      <c r="AJ493" s="2537"/>
      <c r="AK493" s="2537"/>
      <c r="AL493" s="1996"/>
      <c r="AM493" s="1833"/>
      <c r="AN493" s="1833"/>
      <c r="AO493" s="1833"/>
      <c r="AP493" s="1833"/>
      <c r="AQ493" s="1833"/>
      <c r="AR493" s="1833"/>
      <c r="AS493" s="1833"/>
      <c r="AT493" s="1833"/>
      <c r="AU493" s="1833"/>
      <c r="AV493" s="1833"/>
      <c r="AW493" s="1833"/>
      <c r="AX493" s="1833"/>
      <c r="AY493" s="1833"/>
      <c r="AZ493" s="1833"/>
      <c r="BA493" s="1833"/>
      <c r="BB493" s="1833"/>
      <c r="BC493" s="1833"/>
      <c r="BD493" s="1833"/>
      <c r="BE493" s="1833"/>
      <c r="BF493" s="1833"/>
      <c r="BG493" s="1646"/>
    </row>
    <row customHeight="1" ht="11.25">
      <c r="A494" s="1177" t="s">
        <v>1088</v>
      </c>
      <c r="B494" s="1177"/>
      <c r="C494" s="1177"/>
      <c r="D494" s="1171"/>
      <c r="E494" s="1181"/>
      <c r="F494" s="1839"/>
      <c r="G494" s="1840"/>
      <c r="H494" s="2545" t="s">
        <v>1179</v>
      </c>
      <c r="I494" s="2546"/>
      <c r="J494" s="2515"/>
      <c r="K494" s="2547"/>
      <c r="L494" s="2137"/>
      <c r="M494" s="2138"/>
      <c r="N494" s="2538"/>
      <c r="O494" s="2539"/>
      <c r="P494" s="2542"/>
      <c r="Q494" s="2543"/>
      <c r="R494" s="2543"/>
      <c r="S494" s="2544"/>
      <c r="T494" s="2543"/>
      <c r="U494" s="2543"/>
      <c r="V494" s="2543"/>
      <c r="W494" s="2543"/>
      <c r="X494" s="2543"/>
      <c r="Y494" s="2543"/>
      <c r="Z494" s="1186"/>
      <c r="AA494" s="1187"/>
      <c r="AB494" s="1252" t="s">
        <v>1130</v>
      </c>
      <c r="AC494" s="1191"/>
      <c r="AD494" s="1191"/>
      <c r="AE494" s="1193"/>
      <c r="AF494" s="2536"/>
      <c r="AG494" s="2537"/>
      <c r="AH494" s="2537"/>
      <c r="AI494" s="2916"/>
      <c r="AJ494" s="2537"/>
      <c r="AK494" s="2537"/>
      <c r="AL494" s="1996"/>
      <c r="AM494" s="1833"/>
      <c r="AN494" s="1833"/>
      <c r="AO494" s="1833"/>
      <c r="AP494" s="1833"/>
      <c r="AQ494" s="1833"/>
      <c r="AR494" s="1833"/>
      <c r="AS494" s="1833"/>
      <c r="AT494" s="1833"/>
      <c r="AU494" s="1833"/>
      <c r="AV494" s="1833"/>
      <c r="AW494" s="1833"/>
      <c r="AX494" s="1833"/>
      <c r="AY494" s="1833"/>
      <c r="AZ494" s="1833"/>
      <c r="BA494" s="1833"/>
      <c r="BB494" s="1833"/>
      <c r="BC494" s="1833"/>
      <c r="BD494" s="1833"/>
      <c r="BE494" s="1833"/>
      <c r="BF494" s="1833"/>
      <c r="BG494" s="1646"/>
    </row>
    <row customHeight="1" ht="11.25">
      <c r="A495" s="1177" t="s">
        <v>1088</v>
      </c>
      <c r="B495" s="1177"/>
      <c r="C495" s="1177"/>
      <c r="D495" s="1171"/>
      <c r="E495" s="1181"/>
      <c r="F495" s="1839"/>
      <c r="G495" s="1840"/>
      <c r="H495" s="2545" t="s">
        <v>1179</v>
      </c>
      <c r="I495" s="2546"/>
      <c r="J495" s="2515"/>
      <c r="K495" s="2547"/>
      <c r="L495" s="2137"/>
      <c r="M495" s="2138"/>
      <c r="N495" s="1186"/>
      <c r="O495" s="1187"/>
      <c r="P495" s="1179" t="s">
        <v>1131</v>
      </c>
      <c r="Q495" s="1187"/>
      <c r="R495" s="1187"/>
      <c r="S495" s="1187"/>
      <c r="T495" s="1187"/>
      <c r="U495" s="1187"/>
      <c r="V495" s="1187"/>
      <c r="W495" s="1187"/>
      <c r="X495" s="1187"/>
      <c r="Y495" s="1187"/>
      <c r="Z495" s="1187"/>
      <c r="AA495" s="1187"/>
      <c r="AB495" s="1187"/>
      <c r="AC495" s="1187"/>
      <c r="AD495" s="1187"/>
      <c r="AE495" s="1194"/>
      <c r="AF495" s="2536"/>
      <c r="AG495" s="2537"/>
      <c r="AH495" s="2537"/>
      <c r="AI495" s="2916"/>
      <c r="AJ495" s="2537"/>
      <c r="AK495" s="2537"/>
      <c r="AL495" s="1996"/>
      <c r="AM495" s="1833"/>
      <c r="AN495" s="1833"/>
      <c r="AO495" s="1833"/>
      <c r="AP495" s="1833"/>
      <c r="AQ495" s="1833"/>
      <c r="AR495" s="1833"/>
      <c r="AS495" s="1833"/>
      <c r="AT495" s="1833"/>
      <c r="AU495" s="1833"/>
      <c r="AV495" s="1833"/>
      <c r="AW495" s="1833"/>
      <c r="AX495" s="1833"/>
      <c r="AY495" s="1833"/>
      <c r="AZ495" s="1833"/>
      <c r="BA495" s="1833"/>
      <c r="BB495" s="1833"/>
      <c r="BC495" s="1833"/>
      <c r="BD495" s="1833"/>
      <c r="BE495" s="1833"/>
      <c r="BF495" s="1833"/>
      <c r="BG495" s="1646"/>
    </row>
    <row customHeight="1" ht="11.25">
      <c r="A496" s="1177" t="s">
        <v>1088</v>
      </c>
      <c r="B496" s="1177" t="s">
        <v>1155</v>
      </c>
      <c r="C496" s="1177"/>
      <c r="D496" s="1171"/>
      <c r="E496" s="1181"/>
      <c r="F496" s="1839"/>
      <c r="G496" s="694" t="s">
        <v>105</v>
      </c>
      <c r="H496" s="2545" t="s">
        <v>1192</v>
      </c>
      <c r="I496" s="2546" t="s">
        <v>1156</v>
      </c>
      <c r="J496" s="2515" t="s">
        <v>1157</v>
      </c>
      <c r="K496" s="2547" t="s">
        <v>1257</v>
      </c>
      <c r="L496" s="2137" t="s">
        <v>19</v>
      </c>
      <c r="M496" s="2138"/>
      <c r="N496" s="1994"/>
      <c r="O496" s="1188" t="s">
        <v>390</v>
      </c>
      <c r="P496" s="1189"/>
      <c r="Q496" s="1189"/>
      <c r="R496" s="1189"/>
      <c r="S496" s="1189"/>
      <c r="T496" s="1189"/>
      <c r="U496" s="1189"/>
      <c r="V496" s="1189"/>
      <c r="W496" s="1189"/>
      <c r="X496" s="1189"/>
      <c r="Y496" s="1189"/>
      <c r="Z496" s="1189"/>
      <c r="AA496" s="1189"/>
      <c r="AB496" s="1189"/>
      <c r="AC496" s="1189"/>
      <c r="AD496" s="1189"/>
      <c r="AE496" s="1189"/>
      <c r="AF496" s="2536">
        <v>2027</v>
      </c>
      <c r="AG496" s="2537" t="s">
        <v>1122</v>
      </c>
      <c r="AH496" s="2537" t="s">
        <v>1164</v>
      </c>
      <c r="AI496" s="2916"/>
      <c r="AJ496" s="2537" t="s">
        <v>1154</v>
      </c>
      <c r="AK496" s="2537" t="s">
        <v>1154</v>
      </c>
      <c r="AL496" s="1996"/>
      <c r="AM496" s="1833"/>
      <c r="AN496" s="1833"/>
      <c r="AO496" s="1833"/>
      <c r="AP496" s="1833"/>
      <c r="AQ496" s="1833"/>
      <c r="AR496" s="1833"/>
      <c r="AS496" s="1833"/>
      <c r="AT496" s="1833"/>
      <c r="AU496" s="1833"/>
      <c r="AV496" s="1833"/>
      <c r="AW496" s="1833"/>
      <c r="AX496" s="1833"/>
      <c r="AY496" s="1833"/>
      <c r="AZ496" s="1833"/>
      <c r="BA496" s="1833"/>
      <c r="BB496" s="1833"/>
      <c r="BC496" s="1833"/>
      <c r="BD496" s="1833"/>
      <c r="BE496" s="1833"/>
      <c r="BF496" s="1833"/>
      <c r="BG496" s="1646"/>
    </row>
    <row customHeight="1" ht="11.25">
      <c r="A497" s="1177" t="s">
        <v>1088</v>
      </c>
      <c r="B497" s="1177"/>
      <c r="C497" s="1177"/>
      <c r="D497" s="1171"/>
      <c r="E497" s="1181"/>
      <c r="F497" s="1839"/>
      <c r="G497" s="1840"/>
      <c r="H497" s="2545" t="s">
        <v>1186</v>
      </c>
      <c r="I497" s="2546"/>
      <c r="J497" s="2515"/>
      <c r="K497" s="2547"/>
      <c r="L497" s="2137"/>
      <c r="M497" s="2138"/>
      <c r="N497" s="2538"/>
      <c r="O497" s="2539">
        <v>1</v>
      </c>
      <c r="P497" s="2540" t="s">
        <v>19</v>
      </c>
      <c r="Q497" s="2543" t="s">
        <v>22</v>
      </c>
      <c r="R497" s="2543" t="s">
        <v>22</v>
      </c>
      <c r="S497" s="2543" t="s">
        <v>22</v>
      </c>
      <c r="T497" s="2543" t="s">
        <v>22</v>
      </c>
      <c r="U497" s="2543" t="s">
        <v>22</v>
      </c>
      <c r="V497" s="2543" t="s">
        <v>22</v>
      </c>
      <c r="W497" s="2543" t="s">
        <v>22</v>
      </c>
      <c r="X497" s="2543" t="s">
        <v>22</v>
      </c>
      <c r="Y497" s="2543"/>
      <c r="Z497" s="1186"/>
      <c r="AA497" s="1187"/>
      <c r="AB497" s="1187"/>
      <c r="AC497" s="1191"/>
      <c r="AD497" s="1191"/>
      <c r="AE497" s="1192"/>
      <c r="AF497" s="2536"/>
      <c r="AG497" s="2537"/>
      <c r="AH497" s="2537"/>
      <c r="AI497" s="2916"/>
      <c r="AJ497" s="2537"/>
      <c r="AK497" s="2537"/>
      <c r="AL497" s="1996"/>
      <c r="AM497" s="1833"/>
      <c r="AN497" s="1833"/>
      <c r="AO497" s="1833"/>
      <c r="AP497" s="1833"/>
      <c r="AQ497" s="1833"/>
      <c r="AR497" s="1833"/>
      <c r="AS497" s="1833"/>
      <c r="AT497" s="1833"/>
      <c r="AU497" s="1833"/>
      <c r="AV497" s="1833"/>
      <c r="AW497" s="1833"/>
      <c r="AX497" s="1833"/>
      <c r="AY497" s="1833"/>
      <c r="AZ497" s="1833"/>
      <c r="BA497" s="1833"/>
      <c r="BB497" s="1833"/>
      <c r="BC497" s="1833"/>
      <c r="BD497" s="1833"/>
      <c r="BE497" s="1833"/>
      <c r="BF497" s="1833"/>
      <c r="BG497" s="1646"/>
    </row>
    <row customHeight="1" ht="11.25">
      <c r="A498" s="1177" t="s">
        <v>1088</v>
      </c>
      <c r="B498" s="1177"/>
      <c r="C498" s="1177"/>
      <c r="D498" s="1171"/>
      <c r="E498" s="1181"/>
      <c r="F498" s="1839"/>
      <c r="G498" s="1840"/>
      <c r="H498" s="2545" t="s">
        <v>1186</v>
      </c>
      <c r="I498" s="2546"/>
      <c r="J498" s="2515"/>
      <c r="K498" s="2547"/>
      <c r="L498" s="2137"/>
      <c r="M498" s="2138"/>
      <c r="N498" s="2538"/>
      <c r="O498" s="2539"/>
      <c r="P498" s="2541"/>
      <c r="Q498" s="2543"/>
      <c r="R498" s="2543"/>
      <c r="S498" s="2544"/>
      <c r="T498" s="2543"/>
      <c r="U498" s="2543"/>
      <c r="V498" s="2543"/>
      <c r="W498" s="2543"/>
      <c r="X498" s="2543"/>
      <c r="Y498" s="2543"/>
      <c r="Z498" s="1838"/>
      <c r="AA498" s="1804">
        <v>1</v>
      </c>
      <c r="AB498" s="1190" t="s">
        <v>1234</v>
      </c>
      <c r="AC498" s="1180">
        <v>1000</v>
      </c>
      <c r="AD498" s="1190" t="str">
        <f>AB498</f>
        <v>  Прочие</v>
      </c>
      <c r="AE498" s="1180">
        <v>0</v>
      </c>
      <c r="AF498" s="2536"/>
      <c r="AG498" s="2537"/>
      <c r="AH498" s="2537"/>
      <c r="AI498" s="2916"/>
      <c r="AJ498" s="2537"/>
      <c r="AK498" s="2537"/>
      <c r="AL498" s="1996"/>
      <c r="AM498" s="1833"/>
      <c r="AN498" s="1833"/>
      <c r="AO498" s="1833"/>
      <c r="AP498" s="1833"/>
      <c r="AQ498" s="1833"/>
      <c r="AR498" s="1833"/>
      <c r="AS498" s="1833"/>
      <c r="AT498" s="1833"/>
      <c r="AU498" s="1833"/>
      <c r="AV498" s="1833"/>
      <c r="AW498" s="1833"/>
      <c r="AX498" s="1833"/>
      <c r="AY498" s="1833"/>
      <c r="AZ498" s="1833"/>
      <c r="BA498" s="1833"/>
      <c r="BB498" s="1833"/>
      <c r="BC498" s="1833"/>
      <c r="BD498" s="1833"/>
      <c r="BE498" s="1833"/>
      <c r="BF498" s="1833"/>
      <c r="BG498" s="1646"/>
    </row>
    <row customHeight="1" ht="11.25">
      <c r="A499" s="1177" t="s">
        <v>1088</v>
      </c>
      <c r="B499" s="1177"/>
      <c r="C499" s="1177"/>
      <c r="D499" s="1171"/>
      <c r="E499" s="1181"/>
      <c r="F499" s="1839"/>
      <c r="G499" s="1840"/>
      <c r="H499" s="2545" t="s">
        <v>1186</v>
      </c>
      <c r="I499" s="2546"/>
      <c r="J499" s="2515"/>
      <c r="K499" s="2547"/>
      <c r="L499" s="2137"/>
      <c r="M499" s="2138"/>
      <c r="N499" s="2538"/>
      <c r="O499" s="2539"/>
      <c r="P499" s="2542"/>
      <c r="Q499" s="2543"/>
      <c r="R499" s="2543"/>
      <c r="S499" s="2544"/>
      <c r="T499" s="2543"/>
      <c r="U499" s="2543"/>
      <c r="V499" s="2543"/>
      <c r="W499" s="2543"/>
      <c r="X499" s="2543"/>
      <c r="Y499" s="2543"/>
      <c r="Z499" s="1186"/>
      <c r="AA499" s="1187"/>
      <c r="AB499" s="1252" t="s">
        <v>1130</v>
      </c>
      <c r="AC499" s="1191"/>
      <c r="AD499" s="1191"/>
      <c r="AE499" s="1193"/>
      <c r="AF499" s="2536"/>
      <c r="AG499" s="2537"/>
      <c r="AH499" s="2537"/>
      <c r="AI499" s="2916"/>
      <c r="AJ499" s="2537"/>
      <c r="AK499" s="2537"/>
      <c r="AL499" s="1996"/>
      <c r="AM499" s="1833"/>
      <c r="AN499" s="1833"/>
      <c r="AO499" s="1833"/>
      <c r="AP499" s="1833"/>
      <c r="AQ499" s="1833"/>
      <c r="AR499" s="1833"/>
      <c r="AS499" s="1833"/>
      <c r="AT499" s="1833"/>
      <c r="AU499" s="1833"/>
      <c r="AV499" s="1833"/>
      <c r="AW499" s="1833"/>
      <c r="AX499" s="1833"/>
      <c r="AY499" s="1833"/>
      <c r="AZ499" s="1833"/>
      <c r="BA499" s="1833"/>
      <c r="BB499" s="1833"/>
      <c r="BC499" s="1833"/>
      <c r="BD499" s="1833"/>
      <c r="BE499" s="1833"/>
      <c r="BF499" s="1833"/>
      <c r="BG499" s="1646"/>
    </row>
    <row customHeight="1" ht="11.25">
      <c r="A500" s="1177" t="s">
        <v>1088</v>
      </c>
      <c r="B500" s="1177"/>
      <c r="C500" s="1177"/>
      <c r="D500" s="1171"/>
      <c r="E500" s="1181"/>
      <c r="F500" s="1839"/>
      <c r="G500" s="1840"/>
      <c r="H500" s="2545" t="s">
        <v>1186</v>
      </c>
      <c r="I500" s="2546"/>
      <c r="J500" s="2515"/>
      <c r="K500" s="2547"/>
      <c r="L500" s="2137"/>
      <c r="M500" s="2138"/>
      <c r="N500" s="1186"/>
      <c r="O500" s="1187"/>
      <c r="P500" s="1179" t="s">
        <v>1131</v>
      </c>
      <c r="Q500" s="1187"/>
      <c r="R500" s="1187"/>
      <c r="S500" s="1187"/>
      <c r="T500" s="1187"/>
      <c r="U500" s="1187"/>
      <c r="V500" s="1187"/>
      <c r="W500" s="1187"/>
      <c r="X500" s="1187"/>
      <c r="Y500" s="1187"/>
      <c r="Z500" s="1187"/>
      <c r="AA500" s="1187"/>
      <c r="AB500" s="1187"/>
      <c r="AC500" s="1187"/>
      <c r="AD500" s="1187"/>
      <c r="AE500" s="1194"/>
      <c r="AF500" s="2536"/>
      <c r="AG500" s="2537"/>
      <c r="AH500" s="2537"/>
      <c r="AI500" s="2916"/>
      <c r="AJ500" s="2537"/>
      <c r="AK500" s="2537"/>
      <c r="AL500" s="1996"/>
      <c r="AM500" s="1833"/>
      <c r="AN500" s="1833"/>
      <c r="AO500" s="1833"/>
      <c r="AP500" s="1833"/>
      <c r="AQ500" s="1833"/>
      <c r="AR500" s="1833"/>
      <c r="AS500" s="1833"/>
      <c r="AT500" s="1833"/>
      <c r="AU500" s="1833"/>
      <c r="AV500" s="1833"/>
      <c r="AW500" s="1833"/>
      <c r="AX500" s="1833"/>
      <c r="AY500" s="1833"/>
      <c r="AZ500" s="1833"/>
      <c r="BA500" s="1833"/>
      <c r="BB500" s="1833"/>
      <c r="BC500" s="1833"/>
      <c r="BD500" s="1833"/>
      <c r="BE500" s="1833"/>
      <c r="BF500" s="1833"/>
      <c r="BG500" s="1646"/>
    </row>
    <row customHeight="1" ht="11.25">
      <c r="A501" s="1177" t="s">
        <v>1088</v>
      </c>
      <c r="B501" s="1177" t="s">
        <v>22</v>
      </c>
      <c r="C501" s="1177"/>
      <c r="D501" s="1171"/>
      <c r="E501" s="1181"/>
      <c r="F501" s="1839"/>
      <c r="G501" s="694" t="s">
        <v>105</v>
      </c>
      <c r="H501" s="2545" t="s">
        <v>1196</v>
      </c>
      <c r="I501" s="2546" t="s">
        <v>1120</v>
      </c>
      <c r="J501" s="2911" t="s">
        <v>22</v>
      </c>
      <c r="K501" s="2547" t="s">
        <v>1193</v>
      </c>
      <c r="L501" s="2137" t="s">
        <v>19</v>
      </c>
      <c r="M501" s="2138"/>
      <c r="N501" s="1994"/>
      <c r="O501" s="1188" t="s">
        <v>390</v>
      </c>
      <c r="P501" s="1189"/>
      <c r="Q501" s="1189"/>
      <c r="R501" s="1189"/>
      <c r="S501" s="1189"/>
      <c r="T501" s="1189"/>
      <c r="U501" s="1189"/>
      <c r="V501" s="1189"/>
      <c r="W501" s="1189"/>
      <c r="X501" s="1189"/>
      <c r="Y501" s="1189"/>
      <c r="Z501" s="1189"/>
      <c r="AA501" s="1189"/>
      <c r="AB501" s="1189"/>
      <c r="AC501" s="1189"/>
      <c r="AD501" s="1189"/>
      <c r="AE501" s="1189"/>
      <c r="AF501" s="2536">
        <v>2028</v>
      </c>
      <c r="AG501" s="2537" t="s">
        <v>1122</v>
      </c>
      <c r="AH501" s="2537" t="s">
        <v>1153</v>
      </c>
      <c r="AI501" s="2916"/>
      <c r="AJ501" s="2537" t="s">
        <v>1154</v>
      </c>
      <c r="AK501" s="2537" t="s">
        <v>1154</v>
      </c>
      <c r="AL501" s="1996"/>
      <c r="AM501" s="1833"/>
      <c r="AN501" s="1833"/>
      <c r="AO501" s="1833"/>
      <c r="AP501" s="1833"/>
      <c r="AQ501" s="1833"/>
      <c r="AR501" s="1833"/>
      <c r="AS501" s="1833"/>
      <c r="AT501" s="1833"/>
      <c r="AU501" s="1833"/>
      <c r="AV501" s="1833"/>
      <c r="AW501" s="1833"/>
      <c r="AX501" s="1833"/>
      <c r="AY501" s="1833"/>
      <c r="AZ501" s="1833"/>
      <c r="BA501" s="1833"/>
      <c r="BB501" s="1833"/>
      <c r="BC501" s="1833"/>
      <c r="BD501" s="1833"/>
      <c r="BE501" s="1833"/>
      <c r="BF501" s="1833"/>
      <c r="BG501" s="1646"/>
    </row>
    <row customHeight="1" ht="11.25">
      <c r="A502" s="1177" t="s">
        <v>1088</v>
      </c>
      <c r="B502" s="1177"/>
      <c r="C502" s="1177"/>
      <c r="D502" s="1171"/>
      <c r="E502" s="1181"/>
      <c r="F502" s="1839"/>
      <c r="G502" s="1840"/>
      <c r="H502" s="2545" t="s">
        <v>1192</v>
      </c>
      <c r="I502" s="2546"/>
      <c r="J502" s="2911"/>
      <c r="K502" s="2547"/>
      <c r="L502" s="2137"/>
      <c r="M502" s="2138"/>
      <c r="N502" s="2538"/>
      <c r="O502" s="2539">
        <v>1</v>
      </c>
      <c r="P502" s="2540" t="s">
        <v>63</v>
      </c>
      <c r="Q502" s="2913" t="s">
        <v>616</v>
      </c>
      <c r="R502" s="2914" t="s">
        <v>1124</v>
      </c>
      <c r="S502" s="2914" t="s">
        <v>101</v>
      </c>
      <c r="T502" s="2914" t="s">
        <v>101</v>
      </c>
      <c r="U502" s="2914" t="s">
        <v>102</v>
      </c>
      <c r="V502" s="2914" t="s">
        <v>1125</v>
      </c>
      <c r="W502" s="2914" t="s">
        <v>1126</v>
      </c>
      <c r="X502" s="2914" t="s">
        <v>1194</v>
      </c>
      <c r="Y502" s="2914" t="s">
        <v>1195</v>
      </c>
      <c r="Z502" s="1186"/>
      <c r="AA502" s="1187"/>
      <c r="AB502" s="1187"/>
      <c r="AC502" s="1191"/>
      <c r="AD502" s="1191"/>
      <c r="AE502" s="1192"/>
      <c r="AF502" s="2536"/>
      <c r="AG502" s="2537"/>
      <c r="AH502" s="2537"/>
      <c r="AI502" s="2916"/>
      <c r="AJ502" s="2537"/>
      <c r="AK502" s="2537"/>
      <c r="AL502" s="1996"/>
      <c r="AM502" s="1833"/>
      <c r="AN502" s="1833"/>
      <c r="AO502" s="1833"/>
      <c r="AP502" s="1833"/>
      <c r="AQ502" s="1833"/>
      <c r="AR502" s="1833"/>
      <c r="AS502" s="1833"/>
      <c r="AT502" s="1833"/>
      <c r="AU502" s="1833"/>
      <c r="AV502" s="1833"/>
      <c r="AW502" s="1833"/>
      <c r="AX502" s="1833"/>
      <c r="AY502" s="1833"/>
      <c r="AZ502" s="1833"/>
      <c r="BA502" s="1833"/>
      <c r="BB502" s="1833"/>
      <c r="BC502" s="1833"/>
      <c r="BD502" s="1833"/>
      <c r="BE502" s="1833"/>
      <c r="BF502" s="1833"/>
      <c r="BG502" s="1646"/>
    </row>
    <row customHeight="1" ht="11.25">
      <c r="A503" s="1177" t="s">
        <v>1088</v>
      </c>
      <c r="B503" s="1177"/>
      <c r="C503" s="1177"/>
      <c r="D503" s="1171"/>
      <c r="E503" s="1181"/>
      <c r="F503" s="1839"/>
      <c r="G503" s="1840"/>
      <c r="H503" s="2545" t="s">
        <v>1192</v>
      </c>
      <c r="I503" s="2546"/>
      <c r="J503" s="2911"/>
      <c r="K503" s="2547"/>
      <c r="L503" s="2137"/>
      <c r="M503" s="2138"/>
      <c r="N503" s="2538"/>
      <c r="O503" s="2539"/>
      <c r="P503" s="2541"/>
      <c r="Q503" s="2913"/>
      <c r="R503" s="2543"/>
      <c r="S503" s="2544"/>
      <c r="T503" s="2543"/>
      <c r="U503" s="2543"/>
      <c r="V503" s="2543"/>
      <c r="W503" s="2543"/>
      <c r="X503" s="2543"/>
      <c r="Y503" s="2543"/>
      <c r="Z503" s="1838"/>
      <c r="AA503" s="1804">
        <v>1</v>
      </c>
      <c r="AB503" s="1190" t="s">
        <v>1159</v>
      </c>
      <c r="AC503" s="1180">
        <v>5000</v>
      </c>
      <c r="AD503" s="1190" t="str">
        <f>AB503</f>
        <v>      Прочие амортизационные отчисления</v>
      </c>
      <c r="AE503" s="1180">
        <v>0</v>
      </c>
      <c r="AF503" s="2536"/>
      <c r="AG503" s="2537"/>
      <c r="AH503" s="2537"/>
      <c r="AI503" s="2916"/>
      <c r="AJ503" s="2537"/>
      <c r="AK503" s="2537"/>
      <c r="AL503" s="1996"/>
      <c r="AM503" s="1833"/>
      <c r="AN503" s="1833"/>
      <c r="AO503" s="1833"/>
      <c r="AP503" s="1833"/>
      <c r="AQ503" s="1833"/>
      <c r="AR503" s="1833"/>
      <c r="AS503" s="1833"/>
      <c r="AT503" s="1833"/>
      <c r="AU503" s="1833"/>
      <c r="AV503" s="1833"/>
      <c r="AW503" s="1833"/>
      <c r="AX503" s="1833"/>
      <c r="AY503" s="1833"/>
      <c r="AZ503" s="1833"/>
      <c r="BA503" s="1833"/>
      <c r="BB503" s="1833"/>
      <c r="BC503" s="1833"/>
      <c r="BD503" s="1833"/>
      <c r="BE503" s="1833"/>
      <c r="BF503" s="1833"/>
      <c r="BG503" s="1646"/>
    </row>
    <row customHeight="1" ht="11.25">
      <c r="A504" s="1177" t="s">
        <v>1088</v>
      </c>
      <c r="B504" s="1177"/>
      <c r="C504" s="1177"/>
      <c r="D504" s="1171"/>
      <c r="E504" s="1181"/>
      <c r="F504" s="1840"/>
      <c r="G504" s="1840"/>
      <c r="H504" s="1840"/>
      <c r="I504" s="1840"/>
      <c r="J504" s="1840"/>
      <c r="K504" s="1840"/>
      <c r="L504" s="1840"/>
      <c r="M504" s="1840"/>
      <c r="N504" s="1840"/>
      <c r="O504" s="1840"/>
      <c r="P504" s="1840"/>
      <c r="Q504" s="1840"/>
      <c r="R504" s="1840"/>
      <c r="S504" s="1840"/>
      <c r="T504" s="1840"/>
      <c r="U504" s="1840"/>
      <c r="V504" s="1840"/>
      <c r="W504" s="1840"/>
      <c r="X504" s="1840"/>
      <c r="Y504" s="1840"/>
      <c r="Z504" s="694" t="s">
        <v>105</v>
      </c>
      <c r="AA504" s="1824" t="s">
        <v>104</v>
      </c>
      <c r="AB504" s="1190" t="s">
        <v>1234</v>
      </c>
      <c r="AC504" s="1180">
        <v>75766.9</v>
      </c>
      <c r="AD504" s="1190" t="str">
        <f>AB504</f>
        <v>  Прочие</v>
      </c>
      <c r="AE504" s="1180">
        <v>0</v>
      </c>
      <c r="AF504" s="2097"/>
      <c r="AG504" s="1769"/>
      <c r="AH504" s="1769"/>
      <c r="AI504" s="2917"/>
      <c r="AJ504" s="1769"/>
      <c r="AK504" s="1995"/>
      <c r="AL504" s="1996"/>
      <c r="AM504" s="1833"/>
      <c r="AN504" s="1833"/>
      <c r="AO504" s="1833"/>
      <c r="AP504" s="1833"/>
      <c r="AQ504" s="1833"/>
      <c r="AR504" s="1833"/>
      <c r="AS504" s="1833"/>
      <c r="AT504" s="1833"/>
      <c r="AU504" s="1833"/>
      <c r="AV504" s="1833"/>
      <c r="AW504" s="1833"/>
      <c r="AX504" s="1833"/>
      <c r="AY504" s="1833"/>
      <c r="AZ504" s="1833"/>
      <c r="BA504" s="1833"/>
      <c r="BB504" s="1833"/>
      <c r="BC504" s="1833"/>
      <c r="BD504" s="1833"/>
      <c r="BE504" s="1833"/>
      <c r="BF504" s="1833"/>
      <c r="BG504" s="1646"/>
    </row>
    <row customHeight="1" ht="11.25">
      <c r="A505" s="1177" t="s">
        <v>1088</v>
      </c>
      <c r="B505" s="1177"/>
      <c r="C505" s="1177"/>
      <c r="D505" s="1171"/>
      <c r="E505" s="1181"/>
      <c r="F505" s="1839"/>
      <c r="G505" s="1840"/>
      <c r="H505" s="2545" t="s">
        <v>1192</v>
      </c>
      <c r="I505" s="2546"/>
      <c r="J505" s="2911"/>
      <c r="K505" s="2547"/>
      <c r="L505" s="2137"/>
      <c r="M505" s="2138"/>
      <c r="N505" s="2538"/>
      <c r="O505" s="2539"/>
      <c r="P505" s="2542"/>
      <c r="Q505" s="2913"/>
      <c r="R505" s="2543"/>
      <c r="S505" s="2544"/>
      <c r="T505" s="2543"/>
      <c r="U505" s="2543"/>
      <c r="V505" s="2543"/>
      <c r="W505" s="2543"/>
      <c r="X505" s="2543"/>
      <c r="Y505" s="2543"/>
      <c r="Z505" s="1186"/>
      <c r="AA505" s="1187"/>
      <c r="AB505" s="1252" t="s">
        <v>1130</v>
      </c>
      <c r="AC505" s="1191"/>
      <c r="AD505" s="1191"/>
      <c r="AE505" s="1193"/>
      <c r="AF505" s="2536"/>
      <c r="AG505" s="2537"/>
      <c r="AH505" s="2537"/>
      <c r="AI505" s="2916"/>
      <c r="AJ505" s="2537"/>
      <c r="AK505" s="2537"/>
      <c r="AL505" s="1996"/>
      <c r="AM505" s="1833"/>
      <c r="AN505" s="1833"/>
      <c r="AO505" s="1833"/>
      <c r="AP505" s="1833"/>
      <c r="AQ505" s="1833"/>
      <c r="AR505" s="1833"/>
      <c r="AS505" s="1833"/>
      <c r="AT505" s="1833"/>
      <c r="AU505" s="1833"/>
      <c r="AV505" s="1833"/>
      <c r="AW505" s="1833"/>
      <c r="AX505" s="1833"/>
      <c r="AY505" s="1833"/>
      <c r="AZ505" s="1833"/>
      <c r="BA505" s="1833"/>
      <c r="BB505" s="1833"/>
      <c r="BC505" s="1833"/>
      <c r="BD505" s="1833"/>
      <c r="BE505" s="1833"/>
      <c r="BF505" s="1833"/>
      <c r="BG505" s="1646"/>
    </row>
    <row customHeight="1" ht="11.25">
      <c r="A506" s="1177" t="s">
        <v>1088</v>
      </c>
      <c r="B506" s="1177"/>
      <c r="C506" s="1177"/>
      <c r="D506" s="1171"/>
      <c r="E506" s="1181"/>
      <c r="F506" s="1839"/>
      <c r="G506" s="1840"/>
      <c r="H506" s="2545" t="s">
        <v>1192</v>
      </c>
      <c r="I506" s="2546"/>
      <c r="J506" s="2911"/>
      <c r="K506" s="2547"/>
      <c r="L506" s="2137"/>
      <c r="M506" s="2138"/>
      <c r="N506" s="1186"/>
      <c r="O506" s="1187"/>
      <c r="P506" s="1179" t="s">
        <v>1131</v>
      </c>
      <c r="Q506" s="1187"/>
      <c r="R506" s="1187"/>
      <c r="S506" s="1187"/>
      <c r="T506" s="1187"/>
      <c r="U506" s="1187"/>
      <c r="V506" s="1187"/>
      <c r="W506" s="1187"/>
      <c r="X506" s="1187"/>
      <c r="Y506" s="1187"/>
      <c r="Z506" s="1187"/>
      <c r="AA506" s="1187"/>
      <c r="AB506" s="1187"/>
      <c r="AC506" s="1187"/>
      <c r="AD506" s="1187"/>
      <c r="AE506" s="1194"/>
      <c r="AF506" s="2536"/>
      <c r="AG506" s="2537"/>
      <c r="AH506" s="2537"/>
      <c r="AI506" s="2916"/>
      <c r="AJ506" s="2537"/>
      <c r="AK506" s="2537"/>
      <c r="AL506" s="1996"/>
      <c r="AM506" s="1833"/>
      <c r="AN506" s="1833"/>
      <c r="AO506" s="1833"/>
      <c r="AP506" s="1833"/>
      <c r="AQ506" s="1833"/>
      <c r="AR506" s="1833"/>
      <c r="AS506" s="1833"/>
      <c r="AT506" s="1833"/>
      <c r="AU506" s="1833"/>
      <c r="AV506" s="1833"/>
      <c r="AW506" s="1833"/>
      <c r="AX506" s="1833"/>
      <c r="AY506" s="1833"/>
      <c r="AZ506" s="1833"/>
      <c r="BA506" s="1833"/>
      <c r="BB506" s="1833"/>
      <c r="BC506" s="1833"/>
      <c r="BD506" s="1833"/>
      <c r="BE506" s="1833"/>
      <c r="BF506" s="1833"/>
      <c r="BG506" s="1646"/>
    </row>
    <row customHeight="1" ht="11.25">
      <c r="A507" s="1177" t="s">
        <v>1088</v>
      </c>
      <c r="B507" s="1177" t="s">
        <v>22</v>
      </c>
      <c r="C507" s="1177"/>
      <c r="D507" s="1171"/>
      <c r="E507" s="1181"/>
      <c r="F507" s="1839"/>
      <c r="G507" s="694" t="s">
        <v>105</v>
      </c>
      <c r="H507" s="2545" t="s">
        <v>1197</v>
      </c>
      <c r="I507" s="2546" t="s">
        <v>1120</v>
      </c>
      <c r="J507" s="2911" t="s">
        <v>22</v>
      </c>
      <c r="K507" s="2547" t="s">
        <v>1198</v>
      </c>
      <c r="L507" s="2137" t="s">
        <v>19</v>
      </c>
      <c r="M507" s="2138"/>
      <c r="N507" s="1994"/>
      <c r="O507" s="1188" t="s">
        <v>390</v>
      </c>
      <c r="P507" s="1189"/>
      <c r="Q507" s="1189"/>
      <c r="R507" s="1189"/>
      <c r="S507" s="1189"/>
      <c r="T507" s="1189"/>
      <c r="U507" s="1189"/>
      <c r="V507" s="1189"/>
      <c r="W507" s="1189"/>
      <c r="X507" s="1189"/>
      <c r="Y507" s="1189"/>
      <c r="Z507" s="1189"/>
      <c r="AA507" s="1189"/>
      <c r="AB507" s="1189"/>
      <c r="AC507" s="1189"/>
      <c r="AD507" s="1189"/>
      <c r="AE507" s="1189"/>
      <c r="AF507" s="2536">
        <v>2027</v>
      </c>
      <c r="AG507" s="2537" t="s">
        <v>1122</v>
      </c>
      <c r="AH507" s="2537" t="s">
        <v>1164</v>
      </c>
      <c r="AI507" s="2916"/>
      <c r="AJ507" s="2537" t="s">
        <v>1154</v>
      </c>
      <c r="AK507" s="2537" t="s">
        <v>1154</v>
      </c>
      <c r="AL507" s="1996"/>
      <c r="AM507" s="1833"/>
      <c r="AN507" s="1833"/>
      <c r="AO507" s="1833"/>
      <c r="AP507" s="1833"/>
      <c r="AQ507" s="1833"/>
      <c r="AR507" s="1833"/>
      <c r="AS507" s="1833"/>
      <c r="AT507" s="1833"/>
      <c r="AU507" s="1833"/>
      <c r="AV507" s="1833"/>
      <c r="AW507" s="1833"/>
      <c r="AX507" s="1833"/>
      <c r="AY507" s="1833"/>
      <c r="AZ507" s="1833"/>
      <c r="BA507" s="1833"/>
      <c r="BB507" s="1833"/>
      <c r="BC507" s="1833"/>
      <c r="BD507" s="1833"/>
      <c r="BE507" s="1833"/>
      <c r="BF507" s="1833"/>
      <c r="BG507" s="1646"/>
    </row>
    <row customHeight="1" ht="11.25">
      <c r="A508" s="1177" t="s">
        <v>1088</v>
      </c>
      <c r="B508" s="1177"/>
      <c r="C508" s="1177"/>
      <c r="D508" s="1171"/>
      <c r="E508" s="1181"/>
      <c r="F508" s="1839"/>
      <c r="G508" s="1840"/>
      <c r="H508" s="2545" t="s">
        <v>1196</v>
      </c>
      <c r="I508" s="2546"/>
      <c r="J508" s="2911"/>
      <c r="K508" s="2547"/>
      <c r="L508" s="2137"/>
      <c r="M508" s="2138"/>
      <c r="N508" s="2538"/>
      <c r="O508" s="2539">
        <v>1</v>
      </c>
      <c r="P508" s="2540" t="s">
        <v>63</v>
      </c>
      <c r="Q508" s="2913" t="s">
        <v>614</v>
      </c>
      <c r="R508" s="2914" t="s">
        <v>1124</v>
      </c>
      <c r="S508" s="2914" t="s">
        <v>101</v>
      </c>
      <c r="T508" s="2914" t="s">
        <v>101</v>
      </c>
      <c r="U508" s="2914" t="s">
        <v>102</v>
      </c>
      <c r="V508" s="2914" t="s">
        <v>1125</v>
      </c>
      <c r="W508" s="2914" t="s">
        <v>1126</v>
      </c>
      <c r="X508" s="2914" t="s">
        <v>1127</v>
      </c>
      <c r="Y508" s="2914" t="s">
        <v>1128</v>
      </c>
      <c r="Z508" s="1186"/>
      <c r="AA508" s="1187"/>
      <c r="AB508" s="1187"/>
      <c r="AC508" s="1191"/>
      <c r="AD508" s="1191"/>
      <c r="AE508" s="1192"/>
      <c r="AF508" s="2536"/>
      <c r="AG508" s="2537"/>
      <c r="AH508" s="2537"/>
      <c r="AI508" s="2916"/>
      <c r="AJ508" s="2537"/>
      <c r="AK508" s="2537"/>
      <c r="AL508" s="1996"/>
      <c r="AM508" s="1833"/>
      <c r="AN508" s="1833"/>
      <c r="AO508" s="1833"/>
      <c r="AP508" s="1833"/>
      <c r="AQ508" s="1833"/>
      <c r="AR508" s="1833"/>
      <c r="AS508" s="1833"/>
      <c r="AT508" s="1833"/>
      <c r="AU508" s="1833"/>
      <c r="AV508" s="1833"/>
      <c r="AW508" s="1833"/>
      <c r="AX508" s="1833"/>
      <c r="AY508" s="1833"/>
      <c r="AZ508" s="1833"/>
      <c r="BA508" s="1833"/>
      <c r="BB508" s="1833"/>
      <c r="BC508" s="1833"/>
      <c r="BD508" s="1833"/>
      <c r="BE508" s="1833"/>
      <c r="BF508" s="1833"/>
      <c r="BG508" s="1646"/>
    </row>
    <row customHeight="1" ht="11.25">
      <c r="A509" s="1177" t="s">
        <v>1088</v>
      </c>
      <c r="B509" s="1177"/>
      <c r="C509" s="1177"/>
      <c r="D509" s="1171"/>
      <c r="E509" s="1181"/>
      <c r="F509" s="1839"/>
      <c r="G509" s="1840"/>
      <c r="H509" s="2545" t="s">
        <v>1196</v>
      </c>
      <c r="I509" s="2546"/>
      <c r="J509" s="2911"/>
      <c r="K509" s="2547"/>
      <c r="L509" s="2137"/>
      <c r="M509" s="2138"/>
      <c r="N509" s="2538"/>
      <c r="O509" s="2539"/>
      <c r="P509" s="2541"/>
      <c r="Q509" s="2913"/>
      <c r="R509" s="2543"/>
      <c r="S509" s="2544"/>
      <c r="T509" s="2543"/>
      <c r="U509" s="2543"/>
      <c r="V509" s="2543"/>
      <c r="W509" s="2543"/>
      <c r="X509" s="2543"/>
      <c r="Y509" s="2543"/>
      <c r="Z509" s="1838"/>
      <c r="AA509" s="1804">
        <v>1</v>
      </c>
      <c r="AB509" s="1190" t="s">
        <v>1159</v>
      </c>
      <c r="AC509" s="1180">
        <v>75056.12</v>
      </c>
      <c r="AD509" s="1190" t="str">
        <f>AB509</f>
        <v>      Прочие амортизационные отчисления</v>
      </c>
      <c r="AE509" s="1180">
        <v>0</v>
      </c>
      <c r="AF509" s="2536"/>
      <c r="AG509" s="2537"/>
      <c r="AH509" s="2537"/>
      <c r="AI509" s="2916"/>
      <c r="AJ509" s="2537"/>
      <c r="AK509" s="2537"/>
      <c r="AL509" s="1996"/>
      <c r="AM509" s="1833"/>
      <c r="AN509" s="1833"/>
      <c r="AO509" s="1833"/>
      <c r="AP509" s="1833"/>
      <c r="AQ509" s="1833"/>
      <c r="AR509" s="1833"/>
      <c r="AS509" s="1833"/>
      <c r="AT509" s="1833"/>
      <c r="AU509" s="1833"/>
      <c r="AV509" s="1833"/>
      <c r="AW509" s="1833"/>
      <c r="AX509" s="1833"/>
      <c r="AY509" s="1833"/>
      <c r="AZ509" s="1833"/>
      <c r="BA509" s="1833"/>
      <c r="BB509" s="1833"/>
      <c r="BC509" s="1833"/>
      <c r="BD509" s="1833"/>
      <c r="BE509" s="1833"/>
      <c r="BF509" s="1833"/>
      <c r="BG509" s="1646"/>
    </row>
    <row customHeight="1" ht="11.25">
      <c r="A510" s="1177" t="s">
        <v>1088</v>
      </c>
      <c r="B510" s="1177"/>
      <c r="C510" s="1177"/>
      <c r="D510" s="1171"/>
      <c r="E510" s="1181"/>
      <c r="F510" s="1839"/>
      <c r="G510" s="1840"/>
      <c r="H510" s="2545" t="s">
        <v>1196</v>
      </c>
      <c r="I510" s="2546"/>
      <c r="J510" s="2911"/>
      <c r="K510" s="2547"/>
      <c r="L510" s="2137"/>
      <c r="M510" s="2138"/>
      <c r="N510" s="2538"/>
      <c r="O510" s="2539"/>
      <c r="P510" s="2542"/>
      <c r="Q510" s="2913"/>
      <c r="R510" s="2543"/>
      <c r="S510" s="2544"/>
      <c r="T510" s="2543"/>
      <c r="U510" s="2543"/>
      <c r="V510" s="2543"/>
      <c r="W510" s="2543"/>
      <c r="X510" s="2543"/>
      <c r="Y510" s="2543"/>
      <c r="Z510" s="1186"/>
      <c r="AA510" s="1187"/>
      <c r="AB510" s="1252" t="s">
        <v>1130</v>
      </c>
      <c r="AC510" s="1191"/>
      <c r="AD510" s="1191"/>
      <c r="AE510" s="1193"/>
      <c r="AF510" s="2536"/>
      <c r="AG510" s="2537"/>
      <c r="AH510" s="2537"/>
      <c r="AI510" s="2916"/>
      <c r="AJ510" s="2537"/>
      <c r="AK510" s="2537"/>
      <c r="AL510" s="1996"/>
      <c r="AM510" s="1833"/>
      <c r="AN510" s="1833"/>
      <c r="AO510" s="1833"/>
      <c r="AP510" s="1833"/>
      <c r="AQ510" s="1833"/>
      <c r="AR510" s="1833"/>
      <c r="AS510" s="1833"/>
      <c r="AT510" s="1833"/>
      <c r="AU510" s="1833"/>
      <c r="AV510" s="1833"/>
      <c r="AW510" s="1833"/>
      <c r="AX510" s="1833"/>
      <c r="AY510" s="1833"/>
      <c r="AZ510" s="1833"/>
      <c r="BA510" s="1833"/>
      <c r="BB510" s="1833"/>
      <c r="BC510" s="1833"/>
      <c r="BD510" s="1833"/>
      <c r="BE510" s="1833"/>
      <c r="BF510" s="1833"/>
      <c r="BG510" s="1646"/>
    </row>
    <row customHeight="1" ht="11.25">
      <c r="A511" s="1177" t="s">
        <v>1088</v>
      </c>
      <c r="B511" s="1177"/>
      <c r="C511" s="1177"/>
      <c r="D511" s="1171"/>
      <c r="E511" s="1181"/>
      <c r="F511" s="1839"/>
      <c r="G511" s="1840"/>
      <c r="H511" s="2545" t="s">
        <v>1196</v>
      </c>
      <c r="I511" s="2546"/>
      <c r="J511" s="2911"/>
      <c r="K511" s="2547"/>
      <c r="L511" s="2137"/>
      <c r="M511" s="2138"/>
      <c r="N511" s="1186"/>
      <c r="O511" s="1187"/>
      <c r="P511" s="1179" t="s">
        <v>1131</v>
      </c>
      <c r="Q511" s="1187"/>
      <c r="R511" s="1187"/>
      <c r="S511" s="1187"/>
      <c r="T511" s="1187"/>
      <c r="U511" s="1187"/>
      <c r="V511" s="1187"/>
      <c r="W511" s="1187"/>
      <c r="X511" s="1187"/>
      <c r="Y511" s="1187"/>
      <c r="Z511" s="1187"/>
      <c r="AA511" s="1187"/>
      <c r="AB511" s="1187"/>
      <c r="AC511" s="1187"/>
      <c r="AD511" s="1187"/>
      <c r="AE511" s="1194"/>
      <c r="AF511" s="2536"/>
      <c r="AG511" s="2537"/>
      <c r="AH511" s="2537"/>
      <c r="AI511" s="2916"/>
      <c r="AJ511" s="2537"/>
      <c r="AK511" s="2537"/>
      <c r="AL511" s="1996"/>
      <c r="AM511" s="1833"/>
      <c r="AN511" s="1833"/>
      <c r="AO511" s="1833"/>
      <c r="AP511" s="1833"/>
      <c r="AQ511" s="1833"/>
      <c r="AR511" s="1833"/>
      <c r="AS511" s="1833"/>
      <c r="AT511" s="1833"/>
      <c r="AU511" s="1833"/>
      <c r="AV511" s="1833"/>
      <c r="AW511" s="1833"/>
      <c r="AX511" s="1833"/>
      <c r="AY511" s="1833"/>
      <c r="AZ511" s="1833"/>
      <c r="BA511" s="1833"/>
      <c r="BB511" s="1833"/>
      <c r="BC511" s="1833"/>
      <c r="BD511" s="1833"/>
      <c r="BE511" s="1833"/>
      <c r="BF511" s="1833"/>
      <c r="BG511" s="1646"/>
    </row>
    <row customHeight="1" ht="12">
      <c r="A512" s="1177" t="s">
        <v>1088</v>
      </c>
      <c r="B512" s="1177"/>
      <c r="C512" s="1177"/>
      <c r="D512" s="1171"/>
      <c r="E512" s="1181"/>
      <c r="F512" s="2567"/>
      <c r="G512" s="1201"/>
      <c r="H512" s="1201"/>
      <c r="I512" s="2565" t="s">
        <v>1132</v>
      </c>
      <c r="J512" s="2565"/>
      <c r="K512" s="2565"/>
      <c r="L512" s="1184"/>
      <c r="M512" s="1184"/>
      <c r="N512" s="1185"/>
      <c r="O512" s="1185"/>
      <c r="P512" s="1185"/>
      <c r="Q512" s="1185"/>
      <c r="R512" s="1185"/>
      <c r="S512" s="1185"/>
      <c r="T512" s="1185"/>
      <c r="U512" s="1185"/>
      <c r="V512" s="1185"/>
      <c r="W512" s="1185"/>
      <c r="X512" s="1185"/>
      <c r="Y512" s="1185"/>
      <c r="Z512" s="1185"/>
      <c r="AA512" s="1185"/>
      <c r="AB512" s="1185"/>
      <c r="AC512" s="1185"/>
      <c r="AD512" s="1185"/>
      <c r="AE512" s="1185"/>
      <c r="AF512" s="1185"/>
      <c r="AG512" s="1184"/>
      <c r="AH512" s="1184"/>
      <c r="AI512" s="1185"/>
      <c r="AJ512" s="1184"/>
      <c r="AK512" s="1185"/>
      <c r="AL512" s="1996"/>
      <c r="AM512" s="1833"/>
      <c r="AN512" s="1833"/>
      <c r="AO512" s="1833"/>
      <c r="AP512" s="1833"/>
      <c r="AQ512" s="1833"/>
      <c r="AR512" s="1833"/>
      <c r="AS512" s="1833"/>
      <c r="AT512" s="1833"/>
      <c r="AU512" s="1833"/>
      <c r="AV512" s="1833"/>
      <c r="AW512" s="1833"/>
      <c r="AX512" s="1833"/>
      <c r="AY512" s="1833"/>
      <c r="AZ512" s="1833"/>
      <c r="BA512" s="1833"/>
      <c r="BB512" s="1833"/>
      <c r="BC512" s="1833"/>
      <c r="BD512" s="1833"/>
      <c r="BE512" s="1833"/>
      <c r="BF512" s="1833"/>
      <c r="BG512" s="1646"/>
    </row>
    <row customHeight="1" ht="0.75">
      <c r="A513" s="1177" t="s">
        <v>1088</v>
      </c>
      <c r="B513" s="1177"/>
      <c r="C513" s="1177"/>
      <c r="D513" s="1171"/>
      <c r="E513" s="1181"/>
      <c r="F513" s="2566">
        <v>2028</v>
      </c>
      <c r="G513" s="2545"/>
      <c r="H513" s="2570" t="s">
        <v>390</v>
      </c>
      <c r="I513" s="2571"/>
      <c r="J513" s="2572"/>
      <c r="K513" s="2572"/>
      <c r="L513" s="2564"/>
      <c r="M513" s="2298"/>
      <c r="N513" s="2044"/>
      <c r="O513" s="2043"/>
      <c r="P513" s="2044"/>
      <c r="Q513" s="2044"/>
      <c r="R513" s="2044"/>
      <c r="S513" s="2044"/>
      <c r="T513" s="2044"/>
      <c r="U513" s="2044"/>
      <c r="V513" s="2044"/>
      <c r="W513" s="2044"/>
      <c r="X513" s="2044"/>
      <c r="Y513" s="2044"/>
      <c r="Z513" s="2044"/>
      <c r="AA513" s="2044"/>
      <c r="AB513" s="2044"/>
      <c r="AC513" s="2044"/>
      <c r="AD513" s="2044"/>
      <c r="AE513" s="2044"/>
      <c r="AF513" s="2568"/>
      <c r="AG513" s="2564"/>
      <c r="AH513" s="2564"/>
      <c r="AI513" s="2568"/>
      <c r="AJ513" s="2564"/>
      <c r="AK513" s="2564"/>
      <c r="AL513" s="1996"/>
      <c r="AM513" s="1833"/>
      <c r="AN513" s="1833"/>
      <c r="AO513" s="1833"/>
      <c r="AP513" s="1833"/>
      <c r="AQ513" s="1833"/>
      <c r="AR513" s="1833"/>
      <c r="AS513" s="1833"/>
      <c r="AT513" s="1833"/>
      <c r="AU513" s="1833"/>
      <c r="AV513" s="1833"/>
      <c r="AW513" s="1833"/>
      <c r="AX513" s="1833"/>
      <c r="AY513" s="1833"/>
      <c r="AZ513" s="1833"/>
      <c r="BA513" s="1833"/>
      <c r="BB513" s="1833"/>
      <c r="BC513" s="1833"/>
      <c r="BD513" s="1833"/>
      <c r="BE513" s="1833"/>
      <c r="BF513" s="1833"/>
      <c r="BG513" s="1646"/>
    </row>
    <row customHeight="1" ht="0.75">
      <c r="A514" s="1177" t="s">
        <v>1088</v>
      </c>
      <c r="B514" s="1177"/>
      <c r="C514" s="1177"/>
      <c r="D514" s="1171"/>
      <c r="E514" s="1181"/>
      <c r="F514" s="2566"/>
      <c r="G514" s="2545"/>
      <c r="H514" s="2570"/>
      <c r="I514" s="2571"/>
      <c r="J514" s="2572"/>
      <c r="K514" s="2572"/>
      <c r="L514" s="2564"/>
      <c r="M514" s="2298"/>
      <c r="N514" s="2573"/>
      <c r="O514" s="2574"/>
      <c r="P514" s="2618"/>
      <c r="Q514" s="2569"/>
      <c r="R514" s="2569"/>
      <c r="S514" s="2569"/>
      <c r="T514" s="2569"/>
      <c r="U514" s="2569"/>
      <c r="V514" s="2569"/>
      <c r="W514" s="2569"/>
      <c r="X514" s="2569"/>
      <c r="Y514" s="2569"/>
      <c r="Z514" s="2045"/>
      <c r="AA514" s="2046"/>
      <c r="AB514" s="2046"/>
      <c r="AC514" s="2047"/>
      <c r="AD514" s="2047"/>
      <c r="AE514" s="2048"/>
      <c r="AF514" s="2568"/>
      <c r="AG514" s="2564"/>
      <c r="AH514" s="2564"/>
      <c r="AI514" s="2568"/>
      <c r="AJ514" s="2564"/>
      <c r="AK514" s="2564"/>
      <c r="AL514" s="1996"/>
      <c r="AM514" s="1833"/>
      <c r="AN514" s="1833"/>
      <c r="AO514" s="1833"/>
      <c r="AP514" s="1833"/>
      <c r="AQ514" s="1833"/>
      <c r="AR514" s="1833"/>
      <c r="AS514" s="1833"/>
      <c r="AT514" s="1833"/>
      <c r="AU514" s="1833"/>
      <c r="AV514" s="1833"/>
      <c r="AW514" s="1833"/>
      <c r="AX514" s="1833"/>
      <c r="AY514" s="1833"/>
      <c r="AZ514" s="1833"/>
      <c r="BA514" s="1833"/>
      <c r="BB514" s="1833"/>
      <c r="BC514" s="1833"/>
      <c r="BD514" s="1833"/>
      <c r="BE514" s="1833"/>
      <c r="BF514" s="1833"/>
      <c r="BG514" s="1646"/>
    </row>
    <row customHeight="1" ht="0.75">
      <c r="A515" s="1177" t="s">
        <v>1088</v>
      </c>
      <c r="B515" s="1177"/>
      <c r="C515" s="1177"/>
      <c r="D515" s="1171"/>
      <c r="E515" s="1181"/>
      <c r="F515" s="2566"/>
      <c r="G515" s="2545"/>
      <c r="H515" s="2570"/>
      <c r="I515" s="2571"/>
      <c r="J515" s="2572"/>
      <c r="K515" s="2572"/>
      <c r="L515" s="2564"/>
      <c r="M515" s="2298"/>
      <c r="N515" s="2573"/>
      <c r="O515" s="2574"/>
      <c r="P515" s="2619"/>
      <c r="Q515" s="2569"/>
      <c r="R515" s="2569"/>
      <c r="S515" s="2569"/>
      <c r="T515" s="2569"/>
      <c r="U515" s="2569"/>
      <c r="V515" s="2569"/>
      <c r="W515" s="2569"/>
      <c r="X515" s="2569"/>
      <c r="Y515" s="2569"/>
      <c r="Z515" s="2049"/>
      <c r="AA515" s="2050"/>
      <c r="AB515" s="2051"/>
      <c r="AC515" s="2052"/>
      <c r="AD515" s="2051"/>
      <c r="AE515" s="2052"/>
      <c r="AF515" s="2568"/>
      <c r="AG515" s="2564"/>
      <c r="AH515" s="2564"/>
      <c r="AI515" s="2568"/>
      <c r="AJ515" s="2564"/>
      <c r="AK515" s="2564"/>
      <c r="AL515" s="1996"/>
      <c r="AM515" s="1833"/>
      <c r="AN515" s="1833"/>
      <c r="AO515" s="1833"/>
      <c r="AP515" s="1833"/>
      <c r="AQ515" s="1833"/>
      <c r="AR515" s="1833"/>
      <c r="AS515" s="1833"/>
      <c r="AT515" s="1833"/>
      <c r="AU515" s="1833"/>
      <c r="AV515" s="1833"/>
      <c r="AW515" s="1833"/>
      <c r="AX515" s="1833"/>
      <c r="AY515" s="1833"/>
      <c r="AZ515" s="1833"/>
      <c r="BA515" s="1833"/>
      <c r="BB515" s="1833"/>
      <c r="BC515" s="1833"/>
      <c r="BD515" s="1833"/>
      <c r="BE515" s="1833"/>
      <c r="BF515" s="1833"/>
      <c r="BG515" s="1646"/>
    </row>
    <row customHeight="1" ht="0.75">
      <c r="A516" s="1177" t="s">
        <v>1088</v>
      </c>
      <c r="B516" s="1177"/>
      <c r="C516" s="1177"/>
      <c r="D516" s="1171"/>
      <c r="E516" s="1181"/>
      <c r="F516" s="2566"/>
      <c r="G516" s="2545"/>
      <c r="H516" s="2570"/>
      <c r="I516" s="2571"/>
      <c r="J516" s="2572"/>
      <c r="K516" s="2572"/>
      <c r="L516" s="2564"/>
      <c r="M516" s="2298"/>
      <c r="N516" s="2573"/>
      <c r="O516" s="2574"/>
      <c r="P516" s="2620"/>
      <c r="Q516" s="2569"/>
      <c r="R516" s="2569"/>
      <c r="S516" s="2569"/>
      <c r="T516" s="2569"/>
      <c r="U516" s="2569"/>
      <c r="V516" s="2569"/>
      <c r="W516" s="2569"/>
      <c r="X516" s="2569"/>
      <c r="Y516" s="2569"/>
      <c r="Z516" s="2045"/>
      <c r="AA516" s="2046"/>
      <c r="AB516" s="2053"/>
      <c r="AC516" s="2047"/>
      <c r="AD516" s="2047"/>
      <c r="AE516" s="2054"/>
      <c r="AF516" s="2568"/>
      <c r="AG516" s="2564"/>
      <c r="AH516" s="2564"/>
      <c r="AI516" s="2568"/>
      <c r="AJ516" s="2564"/>
      <c r="AK516" s="2564"/>
      <c r="AL516" s="1996"/>
      <c r="AM516" s="1833"/>
      <c r="AN516" s="1833"/>
      <c r="AO516" s="1833"/>
      <c r="AP516" s="1833"/>
      <c r="AQ516" s="1833"/>
      <c r="AR516" s="1833"/>
      <c r="AS516" s="1833"/>
      <c r="AT516" s="1833"/>
      <c r="AU516" s="1833"/>
      <c r="AV516" s="1833"/>
      <c r="AW516" s="1833"/>
      <c r="AX516" s="1833"/>
      <c r="AY516" s="1833"/>
      <c r="AZ516" s="1833"/>
      <c r="BA516" s="1833"/>
      <c r="BB516" s="1833"/>
      <c r="BC516" s="1833"/>
      <c r="BD516" s="1833"/>
      <c r="BE516" s="1833"/>
      <c r="BF516" s="1833"/>
      <c r="BG516" s="1646"/>
    </row>
    <row customHeight="1" ht="0.75">
      <c r="A517" s="1177" t="s">
        <v>1088</v>
      </c>
      <c r="B517" s="1177"/>
      <c r="C517" s="1177"/>
      <c r="D517" s="1171"/>
      <c r="E517" s="1181"/>
      <c r="F517" s="2566"/>
      <c r="G517" s="2545"/>
      <c r="H517" s="2570"/>
      <c r="I517" s="2571"/>
      <c r="J517" s="2572"/>
      <c r="K517" s="2572"/>
      <c r="L517" s="2564"/>
      <c r="M517" s="2298"/>
      <c r="N517" s="2046"/>
      <c r="O517" s="2046"/>
      <c r="P517" s="2053"/>
      <c r="Q517" s="2046"/>
      <c r="R517" s="2046"/>
      <c r="S517" s="2046"/>
      <c r="T517" s="2046"/>
      <c r="U517" s="2046"/>
      <c r="V517" s="2046"/>
      <c r="W517" s="2046"/>
      <c r="X517" s="2046"/>
      <c r="Y517" s="2046"/>
      <c r="Z517" s="2046"/>
      <c r="AA517" s="2046"/>
      <c r="AB517" s="2046"/>
      <c r="AC517" s="2046"/>
      <c r="AD517" s="2046"/>
      <c r="AE517" s="2055"/>
      <c r="AF517" s="2568"/>
      <c r="AG517" s="2564"/>
      <c r="AH517" s="2564"/>
      <c r="AI517" s="2568"/>
      <c r="AJ517" s="2564"/>
      <c r="AK517" s="2564"/>
      <c r="AL517" s="1996"/>
      <c r="AM517" s="1833"/>
      <c r="AN517" s="1833"/>
      <c r="AO517" s="1833"/>
      <c r="AP517" s="1833"/>
      <c r="AQ517" s="1833"/>
      <c r="AR517" s="1833"/>
      <c r="AS517" s="1833"/>
      <c r="AT517" s="1833"/>
      <c r="AU517" s="1833"/>
      <c r="AV517" s="1833"/>
      <c r="AW517" s="1833"/>
      <c r="AX517" s="1833"/>
      <c r="AY517" s="1833"/>
      <c r="AZ517" s="1833"/>
      <c r="BA517" s="1833"/>
      <c r="BB517" s="1833"/>
      <c r="BC517" s="1833"/>
      <c r="BD517" s="1833"/>
      <c r="BE517" s="1833"/>
      <c r="BF517" s="1833"/>
      <c r="BG517" s="1646"/>
    </row>
    <row customHeight="1" ht="11.25">
      <c r="A518" s="1177" t="s">
        <v>1088</v>
      </c>
      <c r="B518" s="1177" t="s">
        <v>1133</v>
      </c>
      <c r="C518" s="1177"/>
      <c r="D518" s="1171"/>
      <c r="E518" s="1181"/>
      <c r="F518" s="1839"/>
      <c r="G518" s="694" t="s">
        <v>105</v>
      </c>
      <c r="H518" s="2545" t="s">
        <v>120</v>
      </c>
      <c r="I518" s="2546" t="s">
        <v>1134</v>
      </c>
      <c r="J518" s="2515" t="s">
        <v>1135</v>
      </c>
      <c r="K518" s="2547" t="s">
        <v>1152</v>
      </c>
      <c r="L518" s="2137" t="s">
        <v>19</v>
      </c>
      <c r="M518" s="2138"/>
      <c r="N518" s="1994"/>
      <c r="O518" s="1188" t="s">
        <v>390</v>
      </c>
      <c r="P518" s="1189"/>
      <c r="Q518" s="1189"/>
      <c r="R518" s="1189"/>
      <c r="S518" s="1189"/>
      <c r="T518" s="1189"/>
      <c r="U518" s="1189"/>
      <c r="V518" s="1189"/>
      <c r="W518" s="1189"/>
      <c r="X518" s="1189"/>
      <c r="Y518" s="1189"/>
      <c r="Z518" s="1189"/>
      <c r="AA518" s="1189"/>
      <c r="AB518" s="1189"/>
      <c r="AC518" s="1189"/>
      <c r="AD518" s="1189"/>
      <c r="AE518" s="1189"/>
      <c r="AF518" s="2536">
        <v>2028</v>
      </c>
      <c r="AG518" s="2537" t="s">
        <v>1122</v>
      </c>
      <c r="AH518" s="2537" t="s">
        <v>1153</v>
      </c>
      <c r="AI518" s="2908"/>
      <c r="AJ518" s="2537" t="s">
        <v>1154</v>
      </c>
      <c r="AK518" s="2537" t="s">
        <v>1154</v>
      </c>
      <c r="AL518" s="1996"/>
      <c r="AM518" s="1833"/>
      <c r="AN518" s="1833"/>
      <c r="AO518" s="1833"/>
      <c r="AP518" s="1833"/>
      <c r="AQ518" s="1833"/>
      <c r="AR518" s="1833"/>
      <c r="AS518" s="1833"/>
      <c r="AT518" s="1833"/>
      <c r="AU518" s="1833"/>
      <c r="AV518" s="1833"/>
      <c r="AW518" s="1833"/>
      <c r="AX518" s="1833"/>
      <c r="AY518" s="1833"/>
      <c r="AZ518" s="1833"/>
      <c r="BA518" s="1833"/>
      <c r="BB518" s="1833"/>
      <c r="BC518" s="1833"/>
      <c r="BD518" s="1833"/>
      <c r="BE518" s="1833"/>
      <c r="BF518" s="1833"/>
      <c r="BG518" s="1646"/>
    </row>
    <row customHeight="1" ht="11.25">
      <c r="A519" s="1177" t="s">
        <v>1088</v>
      </c>
      <c r="B519" s="1177"/>
      <c r="C519" s="1177"/>
      <c r="D519" s="1171"/>
      <c r="E519" s="1181"/>
      <c r="F519" s="1839"/>
      <c r="G519" s="1840"/>
      <c r="H519" s="2545" t="s">
        <v>390</v>
      </c>
      <c r="I519" s="2546"/>
      <c r="J519" s="2515"/>
      <c r="K519" s="2547"/>
      <c r="L519" s="2137"/>
      <c r="M519" s="2138"/>
      <c r="N519" s="2538"/>
      <c r="O519" s="2539">
        <v>1</v>
      </c>
      <c r="P519" s="2540" t="s">
        <v>19</v>
      </c>
      <c r="Q519" s="2543" t="s">
        <v>22</v>
      </c>
      <c r="R519" s="2543" t="s">
        <v>22</v>
      </c>
      <c r="S519" s="2543" t="s">
        <v>22</v>
      </c>
      <c r="T519" s="2543" t="s">
        <v>22</v>
      </c>
      <c r="U519" s="2543" t="s">
        <v>22</v>
      </c>
      <c r="V519" s="2543" t="s">
        <v>22</v>
      </c>
      <c r="W519" s="2543" t="s">
        <v>22</v>
      </c>
      <c r="X519" s="2543" t="s">
        <v>22</v>
      </c>
      <c r="Y519" s="2543"/>
      <c r="Z519" s="1186"/>
      <c r="AA519" s="1187"/>
      <c r="AB519" s="1187"/>
      <c r="AC519" s="1191"/>
      <c r="AD519" s="1191"/>
      <c r="AE519" s="1192"/>
      <c r="AF519" s="2536"/>
      <c r="AG519" s="2537"/>
      <c r="AH519" s="2537"/>
      <c r="AI519" s="2908"/>
      <c r="AJ519" s="2537"/>
      <c r="AK519" s="2537"/>
      <c r="AL519" s="1996"/>
      <c r="AM519" s="1833"/>
      <c r="AN519" s="1833"/>
      <c r="AO519" s="1833"/>
      <c r="AP519" s="1833"/>
      <c r="AQ519" s="1833"/>
      <c r="AR519" s="1833"/>
      <c r="AS519" s="1833"/>
      <c r="AT519" s="1833"/>
      <c r="AU519" s="1833"/>
      <c r="AV519" s="1833"/>
      <c r="AW519" s="1833"/>
      <c r="AX519" s="1833"/>
      <c r="AY519" s="1833"/>
      <c r="AZ519" s="1833"/>
      <c r="BA519" s="1833"/>
      <c r="BB519" s="1833"/>
      <c r="BC519" s="1833"/>
      <c r="BD519" s="1833"/>
      <c r="BE519" s="1833"/>
      <c r="BF519" s="1833"/>
      <c r="BG519" s="1646"/>
    </row>
    <row customHeight="1" ht="11.25">
      <c r="A520" s="1177" t="s">
        <v>1088</v>
      </c>
      <c r="B520" s="1177"/>
      <c r="C520" s="1177"/>
      <c r="D520" s="1171"/>
      <c r="E520" s="1181"/>
      <c r="F520" s="1839"/>
      <c r="G520" s="1840"/>
      <c r="H520" s="2545" t="s">
        <v>390</v>
      </c>
      <c r="I520" s="2546"/>
      <c r="J520" s="2515"/>
      <c r="K520" s="2547"/>
      <c r="L520" s="2137"/>
      <c r="M520" s="2138"/>
      <c r="N520" s="2538"/>
      <c r="O520" s="2539"/>
      <c r="P520" s="2541"/>
      <c r="Q520" s="2543"/>
      <c r="R520" s="2543"/>
      <c r="S520" s="2544"/>
      <c r="T520" s="2543"/>
      <c r="U520" s="2543"/>
      <c r="V520" s="2543"/>
      <c r="W520" s="2543"/>
      <c r="X520" s="2543"/>
      <c r="Y520" s="2543"/>
      <c r="Z520" s="1838"/>
      <c r="AA520" s="1804">
        <v>1</v>
      </c>
      <c r="AB520" s="1190" t="s">
        <v>1139</v>
      </c>
      <c r="AC520" s="1180">
        <f>33528.99-AC104-AC407</f>
        <v>2636.79</v>
      </c>
      <c r="AD520" s="1190" t="str">
        <f>AB520</f>
        <v>  За счет платы за технологическое присоединение</v>
      </c>
      <c r="AE520" s="1180">
        <v>0</v>
      </c>
      <c r="AF520" s="2536"/>
      <c r="AG520" s="2537"/>
      <c r="AH520" s="2537"/>
      <c r="AI520" s="2908"/>
      <c r="AJ520" s="2537"/>
      <c r="AK520" s="2537"/>
      <c r="AL520" s="1996"/>
      <c r="AM520" s="1833"/>
      <c r="AN520" s="1833"/>
      <c r="AO520" s="1833"/>
      <c r="AP520" s="1833"/>
      <c r="AQ520" s="1833"/>
      <c r="AR520" s="1833"/>
      <c r="AS520" s="1833"/>
      <c r="AT520" s="1833"/>
      <c r="AU520" s="1833"/>
      <c r="AV520" s="1833"/>
      <c r="AW520" s="1833"/>
      <c r="AX520" s="1833"/>
      <c r="AY520" s="1833"/>
      <c r="AZ520" s="1833"/>
      <c r="BA520" s="1833"/>
      <c r="BB520" s="1833"/>
      <c r="BC520" s="1833"/>
      <c r="BD520" s="1833"/>
      <c r="BE520" s="1833"/>
      <c r="BF520" s="1833"/>
      <c r="BG520" s="1646"/>
    </row>
    <row customHeight="1" ht="11.25">
      <c r="A521" s="1177" t="s">
        <v>1088</v>
      </c>
      <c r="B521" s="1177"/>
      <c r="C521" s="1177"/>
      <c r="D521" s="1171"/>
      <c r="E521" s="1181"/>
      <c r="F521" s="1839"/>
      <c r="G521" s="1840"/>
      <c r="H521" s="2545" t="s">
        <v>390</v>
      </c>
      <c r="I521" s="2546"/>
      <c r="J521" s="2515"/>
      <c r="K521" s="2547"/>
      <c r="L521" s="2137"/>
      <c r="M521" s="2138"/>
      <c r="N521" s="2538"/>
      <c r="O521" s="2539"/>
      <c r="P521" s="2542"/>
      <c r="Q521" s="2543"/>
      <c r="R521" s="2543"/>
      <c r="S521" s="2544"/>
      <c r="T521" s="2543"/>
      <c r="U521" s="2543"/>
      <c r="V521" s="2543"/>
      <c r="W521" s="2543"/>
      <c r="X521" s="2543"/>
      <c r="Y521" s="2543"/>
      <c r="Z521" s="1186"/>
      <c r="AA521" s="1187"/>
      <c r="AB521" s="1252" t="s">
        <v>1130</v>
      </c>
      <c r="AC521" s="1191"/>
      <c r="AD521" s="1191"/>
      <c r="AE521" s="1193"/>
      <c r="AF521" s="2536"/>
      <c r="AG521" s="2537"/>
      <c r="AH521" s="2537"/>
      <c r="AI521" s="2908"/>
      <c r="AJ521" s="2537"/>
      <c r="AK521" s="2537"/>
      <c r="AL521" s="1996"/>
      <c r="AM521" s="1833"/>
      <c r="AN521" s="1833"/>
      <c r="AO521" s="1833"/>
      <c r="AP521" s="1833"/>
      <c r="AQ521" s="1833"/>
      <c r="AR521" s="1833"/>
      <c r="AS521" s="1833"/>
      <c r="AT521" s="1833"/>
      <c r="AU521" s="1833"/>
      <c r="AV521" s="1833"/>
      <c r="AW521" s="1833"/>
      <c r="AX521" s="1833"/>
      <c r="AY521" s="1833"/>
      <c r="AZ521" s="1833"/>
      <c r="BA521" s="1833"/>
      <c r="BB521" s="1833"/>
      <c r="BC521" s="1833"/>
      <c r="BD521" s="1833"/>
      <c r="BE521" s="1833"/>
      <c r="BF521" s="1833"/>
      <c r="BG521" s="1646"/>
    </row>
    <row customHeight="1" ht="11.25">
      <c r="A522" s="1177" t="s">
        <v>1088</v>
      </c>
      <c r="B522" s="1177"/>
      <c r="C522" s="1177"/>
      <c r="D522" s="1171"/>
      <c r="E522" s="1181"/>
      <c r="F522" s="1839"/>
      <c r="G522" s="1840"/>
      <c r="H522" s="2545" t="s">
        <v>390</v>
      </c>
      <c r="I522" s="2546"/>
      <c r="J522" s="2515"/>
      <c r="K522" s="2547"/>
      <c r="L522" s="2137"/>
      <c r="M522" s="2138"/>
      <c r="N522" s="1186"/>
      <c r="O522" s="1187"/>
      <c r="P522" s="1179" t="s">
        <v>1131</v>
      </c>
      <c r="Q522" s="1187"/>
      <c r="R522" s="1187"/>
      <c r="S522" s="1187"/>
      <c r="T522" s="1187"/>
      <c r="U522" s="1187"/>
      <c r="V522" s="1187"/>
      <c r="W522" s="1187"/>
      <c r="X522" s="1187"/>
      <c r="Y522" s="1187"/>
      <c r="Z522" s="1187"/>
      <c r="AA522" s="1187"/>
      <c r="AB522" s="1187"/>
      <c r="AC522" s="1187"/>
      <c r="AD522" s="1187"/>
      <c r="AE522" s="1194"/>
      <c r="AF522" s="2536"/>
      <c r="AG522" s="2537"/>
      <c r="AH522" s="2537"/>
      <c r="AI522" s="2908"/>
      <c r="AJ522" s="2537"/>
      <c r="AK522" s="2537"/>
      <c r="AL522" s="1996"/>
      <c r="AM522" s="1833"/>
      <c r="AN522" s="1833"/>
      <c r="AO522" s="1833"/>
      <c r="AP522" s="1833"/>
      <c r="AQ522" s="1833"/>
      <c r="AR522" s="1833"/>
      <c r="AS522" s="1833"/>
      <c r="AT522" s="1833"/>
      <c r="AU522" s="1833"/>
      <c r="AV522" s="1833"/>
      <c r="AW522" s="1833"/>
      <c r="AX522" s="1833"/>
      <c r="AY522" s="1833"/>
      <c r="AZ522" s="1833"/>
      <c r="BA522" s="1833"/>
      <c r="BB522" s="1833"/>
      <c r="BC522" s="1833"/>
      <c r="BD522" s="1833"/>
      <c r="BE522" s="1833"/>
      <c r="BF522" s="1833"/>
      <c r="BG522" s="1646"/>
    </row>
    <row customHeight="1" ht="11.25">
      <c r="A523" s="1177" t="s">
        <v>1088</v>
      </c>
      <c r="B523" s="1177" t="s">
        <v>1133</v>
      </c>
      <c r="C523" s="1177"/>
      <c r="D523" s="1171"/>
      <c r="E523" s="1181"/>
      <c r="F523" s="1839"/>
      <c r="G523" s="694" t="s">
        <v>105</v>
      </c>
      <c r="H523" s="2545" t="s">
        <v>104</v>
      </c>
      <c r="I523" s="2546" t="s">
        <v>1134</v>
      </c>
      <c r="J523" s="2515" t="s">
        <v>1251</v>
      </c>
      <c r="K523" s="2547" t="s">
        <v>1252</v>
      </c>
      <c r="L523" s="2137" t="s">
        <v>19</v>
      </c>
      <c r="M523" s="2138"/>
      <c r="N523" s="1994"/>
      <c r="O523" s="1188" t="s">
        <v>390</v>
      </c>
      <c r="P523" s="1189"/>
      <c r="Q523" s="1189"/>
      <c r="R523" s="1189"/>
      <c r="S523" s="1189"/>
      <c r="T523" s="1189"/>
      <c r="U523" s="1189"/>
      <c r="V523" s="1189"/>
      <c r="W523" s="1189"/>
      <c r="X523" s="1189"/>
      <c r="Y523" s="1189"/>
      <c r="Z523" s="1189"/>
      <c r="AA523" s="1189"/>
      <c r="AB523" s="1189"/>
      <c r="AC523" s="1189"/>
      <c r="AD523" s="1189"/>
      <c r="AE523" s="1189"/>
      <c r="AF523" s="2536">
        <v>2028</v>
      </c>
      <c r="AG523" s="2537" t="s">
        <v>1122</v>
      </c>
      <c r="AH523" s="2537" t="s">
        <v>1153</v>
      </c>
      <c r="AI523" s="2908"/>
      <c r="AJ523" s="2537" t="s">
        <v>1154</v>
      </c>
      <c r="AK523" s="2537" t="s">
        <v>1154</v>
      </c>
      <c r="AL523" s="1996"/>
      <c r="AM523" s="1833"/>
      <c r="AN523" s="1833"/>
      <c r="AO523" s="1833"/>
      <c r="AP523" s="1833"/>
      <c r="AQ523" s="1833"/>
      <c r="AR523" s="1833"/>
      <c r="AS523" s="1833"/>
      <c r="AT523" s="1833"/>
      <c r="AU523" s="1833"/>
      <c r="AV523" s="1833"/>
      <c r="AW523" s="1833"/>
      <c r="AX523" s="1833"/>
      <c r="AY523" s="1833"/>
      <c r="AZ523" s="1833"/>
      <c r="BA523" s="1833"/>
      <c r="BB523" s="1833"/>
      <c r="BC523" s="1833"/>
      <c r="BD523" s="1833"/>
      <c r="BE523" s="1833"/>
      <c r="BF523" s="1833"/>
      <c r="BG523" s="1646"/>
    </row>
    <row customHeight="1" ht="11.25">
      <c r="A524" s="1177" t="s">
        <v>1088</v>
      </c>
      <c r="B524" s="1177"/>
      <c r="C524" s="1177"/>
      <c r="D524" s="1171"/>
      <c r="E524" s="1181"/>
      <c r="F524" s="1839"/>
      <c r="G524" s="1840"/>
      <c r="H524" s="2545" t="s">
        <v>120</v>
      </c>
      <c r="I524" s="2546"/>
      <c r="J524" s="2515"/>
      <c r="K524" s="2547"/>
      <c r="L524" s="2137"/>
      <c r="M524" s="2138"/>
      <c r="N524" s="2538"/>
      <c r="O524" s="2539">
        <v>1</v>
      </c>
      <c r="P524" s="2540" t="s">
        <v>19</v>
      </c>
      <c r="Q524" s="2543" t="s">
        <v>22</v>
      </c>
      <c r="R524" s="2543" t="s">
        <v>22</v>
      </c>
      <c r="S524" s="2543" t="s">
        <v>22</v>
      </c>
      <c r="T524" s="2543" t="s">
        <v>22</v>
      </c>
      <c r="U524" s="2543" t="s">
        <v>22</v>
      </c>
      <c r="V524" s="2543" t="s">
        <v>22</v>
      </c>
      <c r="W524" s="2543" t="s">
        <v>22</v>
      </c>
      <c r="X524" s="2543" t="s">
        <v>22</v>
      </c>
      <c r="Y524" s="2543"/>
      <c r="Z524" s="1186"/>
      <c r="AA524" s="1187"/>
      <c r="AB524" s="1187"/>
      <c r="AC524" s="1191"/>
      <c r="AD524" s="1191"/>
      <c r="AE524" s="1192"/>
      <c r="AF524" s="2536"/>
      <c r="AG524" s="2537"/>
      <c r="AH524" s="2537"/>
      <c r="AI524" s="2908"/>
      <c r="AJ524" s="2537"/>
      <c r="AK524" s="2537"/>
      <c r="AL524" s="1996"/>
      <c r="AM524" s="1833"/>
      <c r="AN524" s="1833"/>
      <c r="AO524" s="1833"/>
      <c r="AP524" s="1833"/>
      <c r="AQ524" s="1833"/>
      <c r="AR524" s="1833"/>
      <c r="AS524" s="1833"/>
      <c r="AT524" s="1833"/>
      <c r="AU524" s="1833"/>
      <c r="AV524" s="1833"/>
      <c r="AW524" s="1833"/>
      <c r="AX524" s="1833"/>
      <c r="AY524" s="1833"/>
      <c r="AZ524" s="1833"/>
      <c r="BA524" s="1833"/>
      <c r="BB524" s="1833"/>
      <c r="BC524" s="1833"/>
      <c r="BD524" s="1833"/>
      <c r="BE524" s="1833"/>
      <c r="BF524" s="1833"/>
      <c r="BG524" s="1646"/>
    </row>
    <row customHeight="1" ht="11.25">
      <c r="A525" s="1177" t="s">
        <v>1088</v>
      </c>
      <c r="B525" s="1177"/>
      <c r="C525" s="1177"/>
      <c r="D525" s="1171"/>
      <c r="E525" s="1181"/>
      <c r="F525" s="1839"/>
      <c r="G525" s="1840"/>
      <c r="H525" s="2545" t="s">
        <v>120</v>
      </c>
      <c r="I525" s="2546"/>
      <c r="J525" s="2515"/>
      <c r="K525" s="2547"/>
      <c r="L525" s="2137"/>
      <c r="M525" s="2138"/>
      <c r="N525" s="2538"/>
      <c r="O525" s="2539"/>
      <c r="P525" s="2541"/>
      <c r="Q525" s="2543"/>
      <c r="R525" s="2543"/>
      <c r="S525" s="2544"/>
      <c r="T525" s="2543"/>
      <c r="U525" s="2543"/>
      <c r="V525" s="2543"/>
      <c r="W525" s="2543"/>
      <c r="X525" s="2543"/>
      <c r="Y525" s="2543"/>
      <c r="Z525" s="1838"/>
      <c r="AA525" s="1804">
        <v>1</v>
      </c>
      <c r="AB525" s="1190" t="s">
        <v>1159</v>
      </c>
      <c r="AC525" s="1180">
        <v>11812.39</v>
      </c>
      <c r="AD525" s="1190" t="str">
        <f>AB525</f>
        <v>      Прочие амортизационные отчисления</v>
      </c>
      <c r="AE525" s="1180">
        <v>0</v>
      </c>
      <c r="AF525" s="2536"/>
      <c r="AG525" s="2537"/>
      <c r="AH525" s="2537"/>
      <c r="AI525" s="2908"/>
      <c r="AJ525" s="2537"/>
      <c r="AK525" s="2537"/>
      <c r="AL525" s="1996"/>
      <c r="AM525" s="1833"/>
      <c r="AN525" s="1833"/>
      <c r="AO525" s="1833"/>
      <c r="AP525" s="1833"/>
      <c r="AQ525" s="1833"/>
      <c r="AR525" s="1833"/>
      <c r="AS525" s="1833"/>
      <c r="AT525" s="1833"/>
      <c r="AU525" s="1833"/>
      <c r="AV525" s="1833"/>
      <c r="AW525" s="1833"/>
      <c r="AX525" s="1833"/>
      <c r="AY525" s="1833"/>
      <c r="AZ525" s="1833"/>
      <c r="BA525" s="1833"/>
      <c r="BB525" s="1833"/>
      <c r="BC525" s="1833"/>
      <c r="BD525" s="1833"/>
      <c r="BE525" s="1833"/>
      <c r="BF525" s="1833"/>
      <c r="BG525" s="1646"/>
    </row>
    <row customHeight="1" ht="11.25">
      <c r="A526" s="1177" t="s">
        <v>1088</v>
      </c>
      <c r="B526" s="1177"/>
      <c r="C526" s="1177"/>
      <c r="D526" s="1171"/>
      <c r="E526" s="1181"/>
      <c r="F526" s="1840"/>
      <c r="G526" s="1840"/>
      <c r="H526" s="1840"/>
      <c r="I526" s="1840"/>
      <c r="J526" s="1840"/>
      <c r="K526" s="1840"/>
      <c r="L526" s="1840"/>
      <c r="M526" s="1840"/>
      <c r="N526" s="1840"/>
      <c r="O526" s="1840"/>
      <c r="P526" s="1840"/>
      <c r="Q526" s="1840"/>
      <c r="R526" s="1840"/>
      <c r="S526" s="1840"/>
      <c r="T526" s="1840"/>
      <c r="U526" s="1840"/>
      <c r="V526" s="1840"/>
      <c r="W526" s="1840"/>
      <c r="X526" s="1840"/>
      <c r="Y526" s="1840"/>
      <c r="Z526" s="694" t="s">
        <v>105</v>
      </c>
      <c r="AA526" s="1824" t="s">
        <v>104</v>
      </c>
      <c r="AB526" s="1190" t="s">
        <v>1129</v>
      </c>
      <c r="AC526" s="1180">
        <v>9897.61</v>
      </c>
      <c r="AD526" s="1190" t="str">
        <f>AB526</f>
        <v>  Прибыль направляемая на инвестиции</v>
      </c>
      <c r="AE526" s="1180">
        <v>0</v>
      </c>
      <c r="AF526" s="2097"/>
      <c r="AG526" s="1769"/>
      <c r="AH526" s="1769"/>
      <c r="AI526" s="2909"/>
      <c r="AJ526" s="1769"/>
      <c r="AK526" s="1995"/>
      <c r="AL526" s="1996"/>
      <c r="AM526" s="1833"/>
      <c r="AN526" s="1833"/>
      <c r="AO526" s="1833"/>
      <c r="AP526" s="1833"/>
      <c r="AQ526" s="1833"/>
      <c r="AR526" s="1833"/>
      <c r="AS526" s="1833"/>
      <c r="AT526" s="1833"/>
      <c r="AU526" s="1833"/>
      <c r="AV526" s="1833"/>
      <c r="AW526" s="1833"/>
      <c r="AX526" s="1833"/>
      <c r="AY526" s="1833"/>
      <c r="AZ526" s="1833"/>
      <c r="BA526" s="1833"/>
      <c r="BB526" s="1833"/>
      <c r="BC526" s="1833"/>
      <c r="BD526" s="1833"/>
      <c r="BE526" s="1833"/>
      <c r="BF526" s="1833"/>
      <c r="BG526" s="1646"/>
    </row>
    <row customHeight="1" ht="11.25">
      <c r="A527" s="1177" t="s">
        <v>1088</v>
      </c>
      <c r="B527" s="1177"/>
      <c r="C527" s="1177"/>
      <c r="D527" s="1171"/>
      <c r="E527" s="1181"/>
      <c r="F527" s="1839"/>
      <c r="G527" s="1840"/>
      <c r="H527" s="2545" t="s">
        <v>120</v>
      </c>
      <c r="I527" s="2546"/>
      <c r="J527" s="2515"/>
      <c r="K527" s="2547"/>
      <c r="L527" s="2137"/>
      <c r="M527" s="2138"/>
      <c r="N527" s="2538"/>
      <c r="O527" s="2539"/>
      <c r="P527" s="2542"/>
      <c r="Q527" s="2543"/>
      <c r="R527" s="2543"/>
      <c r="S527" s="2544"/>
      <c r="T527" s="2543"/>
      <c r="U527" s="2543"/>
      <c r="V527" s="2543"/>
      <c r="W527" s="2543"/>
      <c r="X527" s="2543"/>
      <c r="Y527" s="2543"/>
      <c r="Z527" s="1186"/>
      <c r="AA527" s="1187"/>
      <c r="AB527" s="1252" t="s">
        <v>1130</v>
      </c>
      <c r="AC527" s="1191"/>
      <c r="AD527" s="1191"/>
      <c r="AE527" s="1193"/>
      <c r="AF527" s="2536"/>
      <c r="AG527" s="2537"/>
      <c r="AH527" s="2537"/>
      <c r="AI527" s="2908"/>
      <c r="AJ527" s="2537"/>
      <c r="AK527" s="2537"/>
      <c r="AL527" s="1996"/>
      <c r="AM527" s="1833"/>
      <c r="AN527" s="1833"/>
      <c r="AO527" s="1833"/>
      <c r="AP527" s="1833"/>
      <c r="AQ527" s="1833"/>
      <c r="AR527" s="1833"/>
      <c r="AS527" s="1833"/>
      <c r="AT527" s="1833"/>
      <c r="AU527" s="1833"/>
      <c r="AV527" s="1833"/>
      <c r="AW527" s="1833"/>
      <c r="AX527" s="1833"/>
      <c r="AY527" s="1833"/>
      <c r="AZ527" s="1833"/>
      <c r="BA527" s="1833"/>
      <c r="BB527" s="1833"/>
      <c r="BC527" s="1833"/>
      <c r="BD527" s="1833"/>
      <c r="BE527" s="1833"/>
      <c r="BF527" s="1833"/>
      <c r="BG527" s="1646"/>
    </row>
    <row customHeight="1" ht="11.25">
      <c r="A528" s="1177" t="s">
        <v>1088</v>
      </c>
      <c r="B528" s="1177"/>
      <c r="C528" s="1177"/>
      <c r="D528" s="1171"/>
      <c r="E528" s="1181"/>
      <c r="F528" s="1839"/>
      <c r="G528" s="1840"/>
      <c r="H528" s="2545" t="s">
        <v>120</v>
      </c>
      <c r="I528" s="2546"/>
      <c r="J528" s="2515"/>
      <c r="K528" s="2547"/>
      <c r="L528" s="2137"/>
      <c r="M528" s="2138"/>
      <c r="N528" s="1186"/>
      <c r="O528" s="1187"/>
      <c r="P528" s="1179" t="s">
        <v>1131</v>
      </c>
      <c r="Q528" s="1187"/>
      <c r="R528" s="1187"/>
      <c r="S528" s="1187"/>
      <c r="T528" s="1187"/>
      <c r="U528" s="1187"/>
      <c r="V528" s="1187"/>
      <c r="W528" s="1187"/>
      <c r="X528" s="1187"/>
      <c r="Y528" s="1187"/>
      <c r="Z528" s="1187"/>
      <c r="AA528" s="1187"/>
      <c r="AB528" s="1187"/>
      <c r="AC528" s="1187"/>
      <c r="AD528" s="1187"/>
      <c r="AE528" s="1194"/>
      <c r="AF528" s="2536"/>
      <c r="AG528" s="2537"/>
      <c r="AH528" s="2537"/>
      <c r="AI528" s="2908"/>
      <c r="AJ528" s="2537"/>
      <c r="AK528" s="2537"/>
      <c r="AL528" s="1996"/>
      <c r="AM528" s="1833"/>
      <c r="AN528" s="1833"/>
      <c r="AO528" s="1833"/>
      <c r="AP528" s="1833"/>
      <c r="AQ528" s="1833"/>
      <c r="AR528" s="1833"/>
      <c r="AS528" s="1833"/>
      <c r="AT528" s="1833"/>
      <c r="AU528" s="1833"/>
      <c r="AV528" s="1833"/>
      <c r="AW528" s="1833"/>
      <c r="AX528" s="1833"/>
      <c r="AY528" s="1833"/>
      <c r="AZ528" s="1833"/>
      <c r="BA528" s="1833"/>
      <c r="BB528" s="1833"/>
      <c r="BC528" s="1833"/>
      <c r="BD528" s="1833"/>
      <c r="BE528" s="1833"/>
      <c r="BF528" s="1833"/>
      <c r="BG528" s="1646"/>
    </row>
    <row customHeight="1" ht="11.25">
      <c r="A529" s="1177" t="s">
        <v>1088</v>
      </c>
      <c r="B529" s="1177" t="s">
        <v>22</v>
      </c>
      <c r="C529" s="1177"/>
      <c r="D529" s="1171"/>
      <c r="E529" s="1181"/>
      <c r="F529" s="1839"/>
      <c r="G529" s="694" t="s">
        <v>105</v>
      </c>
      <c r="H529" s="2545" t="s">
        <v>91</v>
      </c>
      <c r="I529" s="2546" t="s">
        <v>1268</v>
      </c>
      <c r="J529" s="2911" t="s">
        <v>22</v>
      </c>
      <c r="K529" s="2547" t="s">
        <v>1269</v>
      </c>
      <c r="L529" s="2137" t="s">
        <v>19</v>
      </c>
      <c r="M529" s="2138"/>
      <c r="N529" s="1994"/>
      <c r="O529" s="1188" t="s">
        <v>390</v>
      </c>
      <c r="P529" s="1189"/>
      <c r="Q529" s="1189"/>
      <c r="R529" s="1189"/>
      <c r="S529" s="1189"/>
      <c r="T529" s="1189"/>
      <c r="U529" s="1189"/>
      <c r="V529" s="1189"/>
      <c r="W529" s="1189"/>
      <c r="X529" s="1189"/>
      <c r="Y529" s="1189"/>
      <c r="Z529" s="1189"/>
      <c r="AA529" s="1189"/>
      <c r="AB529" s="1189"/>
      <c r="AC529" s="1189"/>
      <c r="AD529" s="1189"/>
      <c r="AE529" s="1189"/>
      <c r="AF529" s="2536">
        <v>2028</v>
      </c>
      <c r="AG529" s="2537" t="s">
        <v>1122</v>
      </c>
      <c r="AH529" s="2537" t="s">
        <v>1153</v>
      </c>
      <c r="AI529" s="2916"/>
      <c r="AJ529" s="2537" t="s">
        <v>1154</v>
      </c>
      <c r="AK529" s="2537" t="s">
        <v>1154</v>
      </c>
      <c r="AL529" s="1996"/>
      <c r="AM529" s="1833"/>
      <c r="AN529" s="1833"/>
      <c r="AO529" s="1833"/>
      <c r="AP529" s="1833"/>
      <c r="AQ529" s="1833"/>
      <c r="AR529" s="1833"/>
      <c r="AS529" s="1833"/>
      <c r="AT529" s="1833"/>
      <c r="AU529" s="1833"/>
      <c r="AV529" s="1833"/>
      <c r="AW529" s="1833"/>
      <c r="AX529" s="1833"/>
      <c r="AY529" s="1833"/>
      <c r="AZ529" s="1833"/>
      <c r="BA529" s="1833"/>
      <c r="BB529" s="1833"/>
      <c r="BC529" s="1833"/>
      <c r="BD529" s="1833"/>
      <c r="BE529" s="1833"/>
      <c r="BF529" s="1833"/>
      <c r="BG529" s="1646"/>
    </row>
    <row customHeight="1" ht="11.25">
      <c r="A530" s="1177" t="s">
        <v>1088</v>
      </c>
      <c r="B530" s="1177"/>
      <c r="C530" s="1177"/>
      <c r="D530" s="1171"/>
      <c r="E530" s="1181"/>
      <c r="F530" s="1839"/>
      <c r="G530" s="1840"/>
      <c r="H530" s="2545" t="s">
        <v>104</v>
      </c>
      <c r="I530" s="2546"/>
      <c r="J530" s="2911"/>
      <c r="K530" s="2547"/>
      <c r="L530" s="2137"/>
      <c r="M530" s="2138"/>
      <c r="N530" s="2538"/>
      <c r="O530" s="2539">
        <v>1</v>
      </c>
      <c r="P530" s="2540" t="s">
        <v>19</v>
      </c>
      <c r="Q530" s="2543" t="s">
        <v>22</v>
      </c>
      <c r="R530" s="2543" t="s">
        <v>22</v>
      </c>
      <c r="S530" s="2543" t="s">
        <v>22</v>
      </c>
      <c r="T530" s="2543" t="s">
        <v>22</v>
      </c>
      <c r="U530" s="2543" t="s">
        <v>22</v>
      </c>
      <c r="V530" s="2543" t="s">
        <v>22</v>
      </c>
      <c r="W530" s="2543" t="s">
        <v>22</v>
      </c>
      <c r="X530" s="2543" t="s">
        <v>22</v>
      </c>
      <c r="Y530" s="2543"/>
      <c r="Z530" s="1186"/>
      <c r="AA530" s="1187"/>
      <c r="AB530" s="1187"/>
      <c r="AC530" s="1191"/>
      <c r="AD530" s="1191"/>
      <c r="AE530" s="1192"/>
      <c r="AF530" s="2536"/>
      <c r="AG530" s="2537"/>
      <c r="AH530" s="2537"/>
      <c r="AI530" s="2916"/>
      <c r="AJ530" s="2537"/>
      <c r="AK530" s="2537"/>
      <c r="AL530" s="1996"/>
      <c r="AM530" s="1833"/>
      <c r="AN530" s="1833"/>
      <c r="AO530" s="1833"/>
      <c r="AP530" s="1833"/>
      <c r="AQ530" s="1833"/>
      <c r="AR530" s="1833"/>
      <c r="AS530" s="1833"/>
      <c r="AT530" s="1833"/>
      <c r="AU530" s="1833"/>
      <c r="AV530" s="1833"/>
      <c r="AW530" s="1833"/>
      <c r="AX530" s="1833"/>
      <c r="AY530" s="1833"/>
      <c r="AZ530" s="1833"/>
      <c r="BA530" s="1833"/>
      <c r="BB530" s="1833"/>
      <c r="BC530" s="1833"/>
      <c r="BD530" s="1833"/>
      <c r="BE530" s="1833"/>
      <c r="BF530" s="1833"/>
      <c r="BG530" s="1646"/>
    </row>
    <row customHeight="1" ht="11.25">
      <c r="A531" s="1177" t="s">
        <v>1088</v>
      </c>
      <c r="B531" s="1177"/>
      <c r="C531" s="1177"/>
      <c r="D531" s="1171"/>
      <c r="E531" s="1181"/>
      <c r="F531" s="1839"/>
      <c r="G531" s="1840"/>
      <c r="H531" s="2545" t="s">
        <v>104</v>
      </c>
      <c r="I531" s="2546"/>
      <c r="J531" s="2911"/>
      <c r="K531" s="2547"/>
      <c r="L531" s="2137"/>
      <c r="M531" s="2138"/>
      <c r="N531" s="2538"/>
      <c r="O531" s="2539"/>
      <c r="P531" s="2541"/>
      <c r="Q531" s="2543"/>
      <c r="R531" s="2543"/>
      <c r="S531" s="2544"/>
      <c r="T531" s="2543"/>
      <c r="U531" s="2543"/>
      <c r="V531" s="2543"/>
      <c r="W531" s="2543"/>
      <c r="X531" s="2543"/>
      <c r="Y531" s="2543"/>
      <c r="Z531" s="1838"/>
      <c r="AA531" s="1804">
        <v>1</v>
      </c>
      <c r="AB531" s="1190" t="s">
        <v>1159</v>
      </c>
      <c r="AC531" s="1180">
        <v>63632.71815</v>
      </c>
      <c r="AD531" s="1190" t="str">
        <f>AB531</f>
        <v>      Прочие амортизационные отчисления</v>
      </c>
      <c r="AE531" s="1180">
        <v>0</v>
      </c>
      <c r="AF531" s="2536"/>
      <c r="AG531" s="2537"/>
      <c r="AH531" s="2537"/>
      <c r="AI531" s="2916"/>
      <c r="AJ531" s="2537"/>
      <c r="AK531" s="2537"/>
      <c r="AL531" s="1996"/>
      <c r="AM531" s="1833"/>
      <c r="AN531" s="1833"/>
      <c r="AO531" s="1833"/>
      <c r="AP531" s="1833"/>
      <c r="AQ531" s="1833"/>
      <c r="AR531" s="1833"/>
      <c r="AS531" s="1833"/>
      <c r="AT531" s="1833"/>
      <c r="AU531" s="1833"/>
      <c r="AV531" s="1833"/>
      <c r="AW531" s="1833"/>
      <c r="AX531" s="1833"/>
      <c r="AY531" s="1833"/>
      <c r="AZ531" s="1833"/>
      <c r="BA531" s="1833"/>
      <c r="BB531" s="1833"/>
      <c r="BC531" s="1833"/>
      <c r="BD531" s="1833"/>
      <c r="BE531" s="1833"/>
      <c r="BF531" s="1833"/>
      <c r="BG531" s="1646"/>
    </row>
    <row customHeight="1" ht="11.25">
      <c r="A532" s="1177" t="s">
        <v>1088</v>
      </c>
      <c r="B532" s="1177"/>
      <c r="C532" s="1177"/>
      <c r="D532" s="1171"/>
      <c r="E532" s="1181"/>
      <c r="F532" s="1839"/>
      <c r="G532" s="1840"/>
      <c r="H532" s="2545" t="s">
        <v>104</v>
      </c>
      <c r="I532" s="2546"/>
      <c r="J532" s="2911"/>
      <c r="K532" s="2547"/>
      <c r="L532" s="2137"/>
      <c r="M532" s="2138"/>
      <c r="N532" s="2538"/>
      <c r="O532" s="2539"/>
      <c r="P532" s="2542"/>
      <c r="Q532" s="2543"/>
      <c r="R532" s="2543"/>
      <c r="S532" s="2544"/>
      <c r="T532" s="2543"/>
      <c r="U532" s="2543"/>
      <c r="V532" s="2543"/>
      <c r="W532" s="2543"/>
      <c r="X532" s="2543"/>
      <c r="Y532" s="2543"/>
      <c r="Z532" s="1186"/>
      <c r="AA532" s="1187"/>
      <c r="AB532" s="1252" t="s">
        <v>1130</v>
      </c>
      <c r="AC532" s="1191"/>
      <c r="AD532" s="1191"/>
      <c r="AE532" s="1193"/>
      <c r="AF532" s="2536"/>
      <c r="AG532" s="2537"/>
      <c r="AH532" s="2537"/>
      <c r="AI532" s="2916"/>
      <c r="AJ532" s="2537"/>
      <c r="AK532" s="2537"/>
      <c r="AL532" s="1996"/>
      <c r="AM532" s="1833"/>
      <c r="AN532" s="1833"/>
      <c r="AO532" s="1833"/>
      <c r="AP532" s="1833"/>
      <c r="AQ532" s="1833"/>
      <c r="AR532" s="1833"/>
      <c r="AS532" s="1833"/>
      <c r="AT532" s="1833"/>
      <c r="AU532" s="1833"/>
      <c r="AV532" s="1833"/>
      <c r="AW532" s="1833"/>
      <c r="AX532" s="1833"/>
      <c r="AY532" s="1833"/>
      <c r="AZ532" s="1833"/>
      <c r="BA532" s="1833"/>
      <c r="BB532" s="1833"/>
      <c r="BC532" s="1833"/>
      <c r="BD532" s="1833"/>
      <c r="BE532" s="1833"/>
      <c r="BF532" s="1833"/>
      <c r="BG532" s="1646"/>
    </row>
    <row customHeight="1" ht="11.25">
      <c r="A533" s="1177" t="s">
        <v>1088</v>
      </c>
      <c r="B533" s="1177"/>
      <c r="C533" s="1177"/>
      <c r="D533" s="1171"/>
      <c r="E533" s="1181"/>
      <c r="F533" s="1839"/>
      <c r="G533" s="1840"/>
      <c r="H533" s="2545" t="s">
        <v>104</v>
      </c>
      <c r="I533" s="2546"/>
      <c r="J533" s="2911"/>
      <c r="K533" s="2547"/>
      <c r="L533" s="2137"/>
      <c r="M533" s="2138"/>
      <c r="N533" s="1186"/>
      <c r="O533" s="1187"/>
      <c r="P533" s="1179" t="s">
        <v>1131</v>
      </c>
      <c r="Q533" s="1187"/>
      <c r="R533" s="1187"/>
      <c r="S533" s="1187"/>
      <c r="T533" s="1187"/>
      <c r="U533" s="1187"/>
      <c r="V533" s="1187"/>
      <c r="W533" s="1187"/>
      <c r="X533" s="1187"/>
      <c r="Y533" s="1187"/>
      <c r="Z533" s="1187"/>
      <c r="AA533" s="1187"/>
      <c r="AB533" s="1187"/>
      <c r="AC533" s="1187"/>
      <c r="AD533" s="1187"/>
      <c r="AE533" s="1194"/>
      <c r="AF533" s="2536"/>
      <c r="AG533" s="2537"/>
      <c r="AH533" s="2537"/>
      <c r="AI533" s="2916"/>
      <c r="AJ533" s="2537"/>
      <c r="AK533" s="2537"/>
      <c r="AL533" s="1996"/>
      <c r="AM533" s="1833"/>
      <c r="AN533" s="1833"/>
      <c r="AO533" s="1833"/>
      <c r="AP533" s="1833"/>
      <c r="AQ533" s="1833"/>
      <c r="AR533" s="1833"/>
      <c r="AS533" s="1833"/>
      <c r="AT533" s="1833"/>
      <c r="AU533" s="1833"/>
      <c r="AV533" s="1833"/>
      <c r="AW533" s="1833"/>
      <c r="AX533" s="1833"/>
      <c r="AY533" s="1833"/>
      <c r="AZ533" s="1833"/>
      <c r="BA533" s="1833"/>
      <c r="BB533" s="1833"/>
      <c r="BC533" s="1833"/>
      <c r="BD533" s="1833"/>
      <c r="BE533" s="1833"/>
      <c r="BF533" s="1833"/>
      <c r="BG533" s="1646"/>
    </row>
    <row customHeight="1" ht="11.25">
      <c r="A534" s="1177" t="s">
        <v>1088</v>
      </c>
      <c r="B534" s="1177" t="s">
        <v>22</v>
      </c>
      <c r="C534" s="1177"/>
      <c r="D534" s="1171"/>
      <c r="E534" s="1181"/>
      <c r="F534" s="1839"/>
      <c r="G534" s="694" t="s">
        <v>105</v>
      </c>
      <c r="H534" s="2545" t="s">
        <v>92</v>
      </c>
      <c r="I534" s="2546" t="s">
        <v>1268</v>
      </c>
      <c r="J534" s="2911" t="s">
        <v>22</v>
      </c>
      <c r="K534" s="2547" t="s">
        <v>1270</v>
      </c>
      <c r="L534" s="2137" t="s">
        <v>19</v>
      </c>
      <c r="M534" s="2138"/>
      <c r="N534" s="1994"/>
      <c r="O534" s="1188" t="s">
        <v>390</v>
      </c>
      <c r="P534" s="1189"/>
      <c r="Q534" s="1189"/>
      <c r="R534" s="1189"/>
      <c r="S534" s="1189"/>
      <c r="T534" s="1189"/>
      <c r="U534" s="1189"/>
      <c r="V534" s="1189"/>
      <c r="W534" s="1189"/>
      <c r="X534" s="1189"/>
      <c r="Y534" s="1189"/>
      <c r="Z534" s="1189"/>
      <c r="AA534" s="1189"/>
      <c r="AB534" s="1189"/>
      <c r="AC534" s="1189"/>
      <c r="AD534" s="1189"/>
      <c r="AE534" s="1189"/>
      <c r="AF534" s="2536">
        <v>2028</v>
      </c>
      <c r="AG534" s="2537" t="s">
        <v>1122</v>
      </c>
      <c r="AH534" s="2537" t="s">
        <v>1153</v>
      </c>
      <c r="AI534" s="2916"/>
      <c r="AJ534" s="2537" t="s">
        <v>1154</v>
      </c>
      <c r="AK534" s="2537" t="s">
        <v>1154</v>
      </c>
      <c r="AL534" s="1996"/>
      <c r="AM534" s="1833"/>
      <c r="AN534" s="1833"/>
      <c r="AO534" s="1833"/>
      <c r="AP534" s="1833"/>
      <c r="AQ534" s="1833"/>
      <c r="AR534" s="1833"/>
      <c r="AS534" s="1833"/>
      <c r="AT534" s="1833"/>
      <c r="AU534" s="1833"/>
      <c r="AV534" s="1833"/>
      <c r="AW534" s="1833"/>
      <c r="AX534" s="1833"/>
      <c r="AY534" s="1833"/>
      <c r="AZ534" s="1833"/>
      <c r="BA534" s="1833"/>
      <c r="BB534" s="1833"/>
      <c r="BC534" s="1833"/>
      <c r="BD534" s="1833"/>
      <c r="BE534" s="1833"/>
      <c r="BF534" s="1833"/>
      <c r="BG534" s="1646"/>
    </row>
    <row customHeight="1" ht="11.25">
      <c r="A535" s="1177" t="s">
        <v>1088</v>
      </c>
      <c r="B535" s="1177"/>
      <c r="C535" s="1177"/>
      <c r="D535" s="1171"/>
      <c r="E535" s="1181"/>
      <c r="F535" s="1839"/>
      <c r="G535" s="1840"/>
      <c r="H535" s="2545" t="s">
        <v>91</v>
      </c>
      <c r="I535" s="2546"/>
      <c r="J535" s="2911"/>
      <c r="K535" s="2547"/>
      <c r="L535" s="2137"/>
      <c r="M535" s="2138"/>
      <c r="N535" s="2538"/>
      <c r="O535" s="2539">
        <v>1</v>
      </c>
      <c r="P535" s="2540" t="s">
        <v>19</v>
      </c>
      <c r="Q535" s="2543" t="s">
        <v>22</v>
      </c>
      <c r="R535" s="2543" t="s">
        <v>22</v>
      </c>
      <c r="S535" s="2543" t="s">
        <v>22</v>
      </c>
      <c r="T535" s="2543" t="s">
        <v>22</v>
      </c>
      <c r="U535" s="2543" t="s">
        <v>22</v>
      </c>
      <c r="V535" s="2543" t="s">
        <v>22</v>
      </c>
      <c r="W535" s="2543" t="s">
        <v>22</v>
      </c>
      <c r="X535" s="2543" t="s">
        <v>22</v>
      </c>
      <c r="Y535" s="2543"/>
      <c r="Z535" s="1186"/>
      <c r="AA535" s="1187"/>
      <c r="AB535" s="1187"/>
      <c r="AC535" s="1191"/>
      <c r="AD535" s="1191"/>
      <c r="AE535" s="1192"/>
      <c r="AF535" s="2536"/>
      <c r="AG535" s="2537"/>
      <c r="AH535" s="2537"/>
      <c r="AI535" s="2916"/>
      <c r="AJ535" s="2537"/>
      <c r="AK535" s="2537"/>
      <c r="AL535" s="1996"/>
      <c r="AM535" s="1833"/>
      <c r="AN535" s="1833"/>
      <c r="AO535" s="1833"/>
      <c r="AP535" s="1833"/>
      <c r="AQ535" s="1833"/>
      <c r="AR535" s="1833"/>
      <c r="AS535" s="1833"/>
      <c r="AT535" s="1833"/>
      <c r="AU535" s="1833"/>
      <c r="AV535" s="1833"/>
      <c r="AW535" s="1833"/>
      <c r="AX535" s="1833"/>
      <c r="AY535" s="1833"/>
      <c r="AZ535" s="1833"/>
      <c r="BA535" s="1833"/>
      <c r="BB535" s="1833"/>
      <c r="BC535" s="1833"/>
      <c r="BD535" s="1833"/>
      <c r="BE535" s="1833"/>
      <c r="BF535" s="1833"/>
      <c r="BG535" s="1646"/>
    </row>
    <row customHeight="1" ht="11.25">
      <c r="A536" s="1177" t="s">
        <v>1088</v>
      </c>
      <c r="B536" s="1177"/>
      <c r="C536" s="1177"/>
      <c r="D536" s="1171"/>
      <c r="E536" s="1181"/>
      <c r="F536" s="1839"/>
      <c r="G536" s="1840"/>
      <c r="H536" s="2545" t="s">
        <v>91</v>
      </c>
      <c r="I536" s="2546"/>
      <c r="J536" s="2911"/>
      <c r="K536" s="2547"/>
      <c r="L536" s="2137"/>
      <c r="M536" s="2138"/>
      <c r="N536" s="2538"/>
      <c r="O536" s="2539"/>
      <c r="P536" s="2541"/>
      <c r="Q536" s="2543"/>
      <c r="R536" s="2543"/>
      <c r="S536" s="2544"/>
      <c r="T536" s="2543"/>
      <c r="U536" s="2543"/>
      <c r="V536" s="2543"/>
      <c r="W536" s="2543"/>
      <c r="X536" s="2543"/>
      <c r="Y536" s="2543"/>
      <c r="Z536" s="1838"/>
      <c r="AA536" s="1804">
        <v>1</v>
      </c>
      <c r="AB536" s="1190" t="s">
        <v>1129</v>
      </c>
      <c r="AC536" s="1180">
        <f>247493.20958-AC537</f>
        <v>195985.32</v>
      </c>
      <c r="AD536" s="1190" t="str">
        <f>AB536</f>
        <v>  Прибыль направляемая на инвестиции</v>
      </c>
      <c r="AE536" s="1180">
        <v>0</v>
      </c>
      <c r="AF536" s="2536"/>
      <c r="AG536" s="2537"/>
      <c r="AH536" s="2537"/>
      <c r="AI536" s="2916"/>
      <c r="AJ536" s="2537"/>
      <c r="AK536" s="2537"/>
      <c r="AL536" s="1996"/>
      <c r="AM536" s="1833"/>
      <c r="AN536" s="1833"/>
      <c r="AO536" s="1833"/>
      <c r="AP536" s="1833"/>
      <c r="AQ536" s="1833"/>
      <c r="AR536" s="1833"/>
      <c r="AS536" s="1833"/>
      <c r="AT536" s="1833"/>
      <c r="AU536" s="1833"/>
      <c r="AV536" s="1833"/>
      <c r="AW536" s="1833"/>
      <c r="AX536" s="1833"/>
      <c r="AY536" s="1833"/>
      <c r="AZ536" s="1833"/>
      <c r="BA536" s="1833"/>
      <c r="BB536" s="1833"/>
      <c r="BC536" s="1833"/>
      <c r="BD536" s="1833"/>
      <c r="BE536" s="1833"/>
      <c r="BF536" s="1833"/>
      <c r="BG536" s="1646"/>
    </row>
    <row customHeight="1" ht="11.25">
      <c r="A537" s="1177" t="s">
        <v>1088</v>
      </c>
      <c r="B537" s="1177"/>
      <c r="C537" s="1177"/>
      <c r="D537" s="1171"/>
      <c r="E537" s="1181"/>
      <c r="F537" s="1840"/>
      <c r="G537" s="1840"/>
      <c r="H537" s="1840"/>
      <c r="I537" s="1840"/>
      <c r="J537" s="1840"/>
      <c r="K537" s="1840"/>
      <c r="L537" s="1840"/>
      <c r="M537" s="1840"/>
      <c r="N537" s="1840"/>
      <c r="O537" s="1840"/>
      <c r="P537" s="1840"/>
      <c r="Q537" s="1840"/>
      <c r="R537" s="1840"/>
      <c r="S537" s="1840"/>
      <c r="T537" s="1840"/>
      <c r="U537" s="1840"/>
      <c r="V537" s="1840"/>
      <c r="W537" s="1840"/>
      <c r="X537" s="1840"/>
      <c r="Y537" s="1840"/>
      <c r="Z537" s="694" t="s">
        <v>105</v>
      </c>
      <c r="AA537" s="1824" t="s">
        <v>104</v>
      </c>
      <c r="AB537" s="1190" t="s">
        <v>1234</v>
      </c>
      <c r="AC537" s="1180">
        <v>51507.88958</v>
      </c>
      <c r="AD537" s="1190" t="str">
        <f>AB537</f>
        <v>  Прочие</v>
      </c>
      <c r="AE537" s="1180">
        <v>0</v>
      </c>
      <c r="AF537" s="2097"/>
      <c r="AG537" s="1769"/>
      <c r="AH537" s="1769"/>
      <c r="AI537" s="2917"/>
      <c r="AJ537" s="1769"/>
      <c r="AK537" s="1995"/>
      <c r="AL537" s="1996"/>
      <c r="AM537" s="1833"/>
      <c r="AN537" s="1833"/>
      <c r="AO537" s="1833"/>
      <c r="AP537" s="1833"/>
      <c r="AQ537" s="1833"/>
      <c r="AR537" s="1833"/>
      <c r="AS537" s="1833"/>
      <c r="AT537" s="1833"/>
      <c r="AU537" s="1833"/>
      <c r="AV537" s="1833"/>
      <c r="AW537" s="1833"/>
      <c r="AX537" s="1833"/>
      <c r="AY537" s="1833"/>
      <c r="AZ537" s="1833"/>
      <c r="BA537" s="1833"/>
      <c r="BB537" s="1833"/>
      <c r="BC537" s="1833"/>
      <c r="BD537" s="1833"/>
      <c r="BE537" s="1833"/>
      <c r="BF537" s="1833"/>
      <c r="BG537" s="1646"/>
    </row>
    <row customHeight="1" ht="11.25">
      <c r="A538" s="1177" t="s">
        <v>1088</v>
      </c>
      <c r="B538" s="1177"/>
      <c r="C538" s="1177"/>
      <c r="D538" s="1171"/>
      <c r="E538" s="1181"/>
      <c r="F538" s="1839"/>
      <c r="G538" s="1840"/>
      <c r="H538" s="2545" t="s">
        <v>91</v>
      </c>
      <c r="I538" s="2546"/>
      <c r="J538" s="2911"/>
      <c r="K538" s="2547"/>
      <c r="L538" s="2137"/>
      <c r="M538" s="2138"/>
      <c r="N538" s="2538"/>
      <c r="O538" s="2539"/>
      <c r="P538" s="2542"/>
      <c r="Q538" s="2543"/>
      <c r="R538" s="2543"/>
      <c r="S538" s="2544"/>
      <c r="T538" s="2543"/>
      <c r="U538" s="2543"/>
      <c r="V538" s="2543"/>
      <c r="W538" s="2543"/>
      <c r="X538" s="2543"/>
      <c r="Y538" s="2543"/>
      <c r="Z538" s="1186"/>
      <c r="AA538" s="1187"/>
      <c r="AB538" s="1252" t="s">
        <v>1130</v>
      </c>
      <c r="AC538" s="1191"/>
      <c r="AD538" s="1191"/>
      <c r="AE538" s="1193"/>
      <c r="AF538" s="2536"/>
      <c r="AG538" s="2537"/>
      <c r="AH538" s="2537"/>
      <c r="AI538" s="2916"/>
      <c r="AJ538" s="2537"/>
      <c r="AK538" s="2537"/>
      <c r="AL538" s="1996"/>
      <c r="AM538" s="1833"/>
      <c r="AN538" s="1833"/>
      <c r="AO538" s="1833"/>
      <c r="AP538" s="1833"/>
      <c r="AQ538" s="1833"/>
      <c r="AR538" s="1833"/>
      <c r="AS538" s="1833"/>
      <c r="AT538" s="1833"/>
      <c r="AU538" s="1833"/>
      <c r="AV538" s="1833"/>
      <c r="AW538" s="1833"/>
      <c r="AX538" s="1833"/>
      <c r="AY538" s="1833"/>
      <c r="AZ538" s="1833"/>
      <c r="BA538" s="1833"/>
      <c r="BB538" s="1833"/>
      <c r="BC538" s="1833"/>
      <c r="BD538" s="1833"/>
      <c r="BE538" s="1833"/>
      <c r="BF538" s="1833"/>
      <c r="BG538" s="1646"/>
    </row>
    <row customHeight="1" ht="11.25">
      <c r="A539" s="1177" t="s">
        <v>1088</v>
      </c>
      <c r="B539" s="1177"/>
      <c r="C539" s="1177"/>
      <c r="D539" s="1171"/>
      <c r="E539" s="1181"/>
      <c r="F539" s="1839"/>
      <c r="G539" s="1840"/>
      <c r="H539" s="2545" t="s">
        <v>91</v>
      </c>
      <c r="I539" s="2546"/>
      <c r="J539" s="2911"/>
      <c r="K539" s="2547"/>
      <c r="L539" s="2137"/>
      <c r="M539" s="2138"/>
      <c r="N539" s="1186"/>
      <c r="O539" s="1187"/>
      <c r="P539" s="1179" t="s">
        <v>1131</v>
      </c>
      <c r="Q539" s="1187"/>
      <c r="R539" s="1187"/>
      <c r="S539" s="1187"/>
      <c r="T539" s="1187"/>
      <c r="U539" s="1187"/>
      <c r="V539" s="1187"/>
      <c r="W539" s="1187"/>
      <c r="X539" s="1187"/>
      <c r="Y539" s="1187"/>
      <c r="Z539" s="1187"/>
      <c r="AA539" s="1187"/>
      <c r="AB539" s="1187"/>
      <c r="AC539" s="1187"/>
      <c r="AD539" s="1187"/>
      <c r="AE539" s="1194"/>
      <c r="AF539" s="2536"/>
      <c r="AG539" s="2537"/>
      <c r="AH539" s="2537"/>
      <c r="AI539" s="2916"/>
      <c r="AJ539" s="2537"/>
      <c r="AK539" s="2537"/>
      <c r="AL539" s="1996"/>
      <c r="AM539" s="1833"/>
      <c r="AN539" s="1833"/>
      <c r="AO539" s="1833"/>
      <c r="AP539" s="1833"/>
      <c r="AQ539" s="1833"/>
      <c r="AR539" s="1833"/>
      <c r="AS539" s="1833"/>
      <c r="AT539" s="1833"/>
      <c r="AU539" s="1833"/>
      <c r="AV539" s="1833"/>
      <c r="AW539" s="1833"/>
      <c r="AX539" s="1833"/>
      <c r="AY539" s="1833"/>
      <c r="AZ539" s="1833"/>
      <c r="BA539" s="1833"/>
      <c r="BB539" s="1833"/>
      <c r="BC539" s="1833"/>
      <c r="BD539" s="1833"/>
      <c r="BE539" s="1833"/>
      <c r="BF539" s="1833"/>
      <c r="BG539" s="1646"/>
    </row>
    <row customHeight="1" ht="11.25">
      <c r="A540" s="1177" t="s">
        <v>1088</v>
      </c>
      <c r="B540" s="1177" t="s">
        <v>1155</v>
      </c>
      <c r="C540" s="1177"/>
      <c r="D540" s="1171"/>
      <c r="E540" s="1181"/>
      <c r="F540" s="1839"/>
      <c r="G540" s="694" t="s">
        <v>105</v>
      </c>
      <c r="H540" s="2545" t="s">
        <v>121</v>
      </c>
      <c r="I540" s="2546" t="s">
        <v>1156</v>
      </c>
      <c r="J540" s="2515" t="s">
        <v>1160</v>
      </c>
      <c r="K540" s="2547" t="s">
        <v>1233</v>
      </c>
      <c r="L540" s="2137" t="s">
        <v>19</v>
      </c>
      <c r="M540" s="2138"/>
      <c r="N540" s="1994"/>
      <c r="O540" s="1188" t="s">
        <v>390</v>
      </c>
      <c r="P540" s="1189"/>
      <c r="Q540" s="1189"/>
      <c r="R540" s="1189"/>
      <c r="S540" s="1189"/>
      <c r="T540" s="1189"/>
      <c r="U540" s="1189"/>
      <c r="V540" s="1189"/>
      <c r="W540" s="1189"/>
      <c r="X540" s="1189"/>
      <c r="Y540" s="1189"/>
      <c r="Z540" s="1189"/>
      <c r="AA540" s="1189"/>
      <c r="AB540" s="1189"/>
      <c r="AC540" s="1189"/>
      <c r="AD540" s="1189"/>
      <c r="AE540" s="1189"/>
      <c r="AF540" s="2536">
        <v>2028</v>
      </c>
      <c r="AG540" s="2537" t="s">
        <v>1122</v>
      </c>
      <c r="AH540" s="2537" t="s">
        <v>1153</v>
      </c>
      <c r="AI540" s="2916"/>
      <c r="AJ540" s="2537" t="s">
        <v>1154</v>
      </c>
      <c r="AK540" s="2537" t="s">
        <v>1154</v>
      </c>
      <c r="AL540" s="1996"/>
      <c r="AM540" s="1833"/>
      <c r="AN540" s="1833"/>
      <c r="AO540" s="1833"/>
      <c r="AP540" s="1833"/>
      <c r="AQ540" s="1833"/>
      <c r="AR540" s="1833"/>
      <c r="AS540" s="1833"/>
      <c r="AT540" s="1833"/>
      <c r="AU540" s="1833"/>
      <c r="AV540" s="1833"/>
      <c r="AW540" s="1833"/>
      <c r="AX540" s="1833"/>
      <c r="AY540" s="1833"/>
      <c r="AZ540" s="1833"/>
      <c r="BA540" s="1833"/>
      <c r="BB540" s="1833"/>
      <c r="BC540" s="1833"/>
      <c r="BD540" s="1833"/>
      <c r="BE540" s="1833"/>
      <c r="BF540" s="1833"/>
      <c r="BG540" s="1646"/>
    </row>
    <row customHeight="1" ht="11.25">
      <c r="A541" s="1177" t="s">
        <v>1088</v>
      </c>
      <c r="B541" s="1177"/>
      <c r="C541" s="1177"/>
      <c r="D541" s="1171"/>
      <c r="E541" s="1181"/>
      <c r="F541" s="1839"/>
      <c r="G541" s="1840"/>
      <c r="H541" s="2545" t="s">
        <v>92</v>
      </c>
      <c r="I541" s="2546"/>
      <c r="J541" s="2515"/>
      <c r="K541" s="2547"/>
      <c r="L541" s="2137"/>
      <c r="M541" s="2138"/>
      <c r="N541" s="2538"/>
      <c r="O541" s="2539">
        <v>1</v>
      </c>
      <c r="P541" s="2540" t="s">
        <v>19</v>
      </c>
      <c r="Q541" s="2543" t="s">
        <v>22</v>
      </c>
      <c r="R541" s="2543" t="s">
        <v>22</v>
      </c>
      <c r="S541" s="2543" t="s">
        <v>22</v>
      </c>
      <c r="T541" s="2543" t="s">
        <v>22</v>
      </c>
      <c r="U541" s="2543" t="s">
        <v>22</v>
      </c>
      <c r="V541" s="2543" t="s">
        <v>22</v>
      </c>
      <c r="W541" s="2543" t="s">
        <v>22</v>
      </c>
      <c r="X541" s="2543" t="s">
        <v>22</v>
      </c>
      <c r="Y541" s="2543"/>
      <c r="Z541" s="1186"/>
      <c r="AA541" s="1187"/>
      <c r="AB541" s="1187"/>
      <c r="AC541" s="1191"/>
      <c r="AD541" s="1191"/>
      <c r="AE541" s="1192"/>
      <c r="AF541" s="2536"/>
      <c r="AG541" s="2537"/>
      <c r="AH541" s="2537"/>
      <c r="AI541" s="2916"/>
      <c r="AJ541" s="2537"/>
      <c r="AK541" s="2537"/>
      <c r="AL541" s="1996"/>
      <c r="AM541" s="1833"/>
      <c r="AN541" s="1833"/>
      <c r="AO541" s="1833"/>
      <c r="AP541" s="1833"/>
      <c r="AQ541" s="1833"/>
      <c r="AR541" s="1833"/>
      <c r="AS541" s="1833"/>
      <c r="AT541" s="1833"/>
      <c r="AU541" s="1833"/>
      <c r="AV541" s="1833"/>
      <c r="AW541" s="1833"/>
      <c r="AX541" s="1833"/>
      <c r="AY541" s="1833"/>
      <c r="AZ541" s="1833"/>
      <c r="BA541" s="1833"/>
      <c r="BB541" s="1833"/>
      <c r="BC541" s="1833"/>
      <c r="BD541" s="1833"/>
      <c r="BE541" s="1833"/>
      <c r="BF541" s="1833"/>
      <c r="BG541" s="1646"/>
    </row>
    <row customHeight="1" ht="11.25">
      <c r="A542" s="1177" t="s">
        <v>1088</v>
      </c>
      <c r="B542" s="1177"/>
      <c r="C542" s="1177"/>
      <c r="D542" s="1171"/>
      <c r="E542" s="1181"/>
      <c r="F542" s="1839"/>
      <c r="G542" s="1840"/>
      <c r="H542" s="2545" t="s">
        <v>92</v>
      </c>
      <c r="I542" s="2546"/>
      <c r="J542" s="2515"/>
      <c r="K542" s="2547"/>
      <c r="L542" s="2137"/>
      <c r="M542" s="2138"/>
      <c r="N542" s="2538"/>
      <c r="O542" s="2539"/>
      <c r="P542" s="2541"/>
      <c r="Q542" s="2543"/>
      <c r="R542" s="2543"/>
      <c r="S542" s="2544"/>
      <c r="T542" s="2543"/>
      <c r="U542" s="2543"/>
      <c r="V542" s="2543"/>
      <c r="W542" s="2543"/>
      <c r="X542" s="2543"/>
      <c r="Y542" s="2543"/>
      <c r="Z542" s="1838"/>
      <c r="AA542" s="1804">
        <v>1</v>
      </c>
      <c r="AB542" s="1190" t="s">
        <v>1159</v>
      </c>
      <c r="AC542" s="1180">
        <v>6884.61</v>
      </c>
      <c r="AD542" s="1190" t="str">
        <f>AB542</f>
        <v>      Прочие амортизационные отчисления</v>
      </c>
      <c r="AE542" s="1180">
        <v>0</v>
      </c>
      <c r="AF542" s="2536"/>
      <c r="AG542" s="2537"/>
      <c r="AH542" s="2537"/>
      <c r="AI542" s="2916"/>
      <c r="AJ542" s="2537"/>
      <c r="AK542" s="2537"/>
      <c r="AL542" s="1996"/>
      <c r="AM542" s="1833"/>
      <c r="AN542" s="1833"/>
      <c r="AO542" s="1833"/>
      <c r="AP542" s="1833"/>
      <c r="AQ542" s="1833"/>
      <c r="AR542" s="1833"/>
      <c r="AS542" s="1833"/>
      <c r="AT542" s="1833"/>
      <c r="AU542" s="1833"/>
      <c r="AV542" s="1833"/>
      <c r="AW542" s="1833"/>
      <c r="AX542" s="1833"/>
      <c r="AY542" s="1833"/>
      <c r="AZ542" s="1833"/>
      <c r="BA542" s="1833"/>
      <c r="BB542" s="1833"/>
      <c r="BC542" s="1833"/>
      <c r="BD542" s="1833"/>
      <c r="BE542" s="1833"/>
      <c r="BF542" s="1833"/>
      <c r="BG542" s="1646"/>
    </row>
    <row customHeight="1" ht="11.25">
      <c r="A543" s="1177" t="s">
        <v>1088</v>
      </c>
      <c r="B543" s="1177"/>
      <c r="C543" s="1177"/>
      <c r="D543" s="1171"/>
      <c r="E543" s="1181"/>
      <c r="F543" s="1839"/>
      <c r="G543" s="1840"/>
      <c r="H543" s="2545" t="s">
        <v>92</v>
      </c>
      <c r="I543" s="2546"/>
      <c r="J543" s="2515"/>
      <c r="K543" s="2547"/>
      <c r="L543" s="2137"/>
      <c r="M543" s="2138"/>
      <c r="N543" s="2538"/>
      <c r="O543" s="2539"/>
      <c r="P543" s="2542"/>
      <c r="Q543" s="2543"/>
      <c r="R543" s="2543"/>
      <c r="S543" s="2544"/>
      <c r="T543" s="2543"/>
      <c r="U543" s="2543"/>
      <c r="V543" s="2543"/>
      <c r="W543" s="2543"/>
      <c r="X543" s="2543"/>
      <c r="Y543" s="2543"/>
      <c r="Z543" s="1186"/>
      <c r="AA543" s="1187"/>
      <c r="AB543" s="1252" t="s">
        <v>1130</v>
      </c>
      <c r="AC543" s="1191"/>
      <c r="AD543" s="1191"/>
      <c r="AE543" s="1193"/>
      <c r="AF543" s="2536"/>
      <c r="AG543" s="2537"/>
      <c r="AH543" s="2537"/>
      <c r="AI543" s="2916"/>
      <c r="AJ543" s="2537"/>
      <c r="AK543" s="2537"/>
      <c r="AL543" s="1996"/>
      <c r="AM543" s="1833"/>
      <c r="AN543" s="1833"/>
      <c r="AO543" s="1833"/>
      <c r="AP543" s="1833"/>
      <c r="AQ543" s="1833"/>
      <c r="AR543" s="1833"/>
      <c r="AS543" s="1833"/>
      <c r="AT543" s="1833"/>
      <c r="AU543" s="1833"/>
      <c r="AV543" s="1833"/>
      <c r="AW543" s="1833"/>
      <c r="AX543" s="1833"/>
      <c r="AY543" s="1833"/>
      <c r="AZ543" s="1833"/>
      <c r="BA543" s="1833"/>
      <c r="BB543" s="1833"/>
      <c r="BC543" s="1833"/>
      <c r="BD543" s="1833"/>
      <c r="BE543" s="1833"/>
      <c r="BF543" s="1833"/>
      <c r="BG543" s="1646"/>
    </row>
    <row customHeight="1" ht="11.25">
      <c r="A544" s="1177" t="s">
        <v>1088</v>
      </c>
      <c r="B544" s="1177"/>
      <c r="C544" s="1177"/>
      <c r="D544" s="1171"/>
      <c r="E544" s="1181"/>
      <c r="F544" s="1839"/>
      <c r="G544" s="1840"/>
      <c r="H544" s="2545" t="s">
        <v>92</v>
      </c>
      <c r="I544" s="2546"/>
      <c r="J544" s="2515"/>
      <c r="K544" s="2547"/>
      <c r="L544" s="2137"/>
      <c r="M544" s="2138"/>
      <c r="N544" s="1186"/>
      <c r="O544" s="1187"/>
      <c r="P544" s="1179" t="s">
        <v>1131</v>
      </c>
      <c r="Q544" s="1187"/>
      <c r="R544" s="1187"/>
      <c r="S544" s="1187"/>
      <c r="T544" s="1187"/>
      <c r="U544" s="1187"/>
      <c r="V544" s="1187"/>
      <c r="W544" s="1187"/>
      <c r="X544" s="1187"/>
      <c r="Y544" s="1187"/>
      <c r="Z544" s="1187"/>
      <c r="AA544" s="1187"/>
      <c r="AB544" s="1187"/>
      <c r="AC544" s="1187"/>
      <c r="AD544" s="1187"/>
      <c r="AE544" s="1194"/>
      <c r="AF544" s="2536"/>
      <c r="AG544" s="2537"/>
      <c r="AH544" s="2537"/>
      <c r="AI544" s="2916"/>
      <c r="AJ544" s="2537"/>
      <c r="AK544" s="2537"/>
      <c r="AL544" s="1996"/>
      <c r="AM544" s="1833"/>
      <c r="AN544" s="1833"/>
      <c r="AO544" s="1833"/>
      <c r="AP544" s="1833"/>
      <c r="AQ544" s="1833"/>
      <c r="AR544" s="1833"/>
      <c r="AS544" s="1833"/>
      <c r="AT544" s="1833"/>
      <c r="AU544" s="1833"/>
      <c r="AV544" s="1833"/>
      <c r="AW544" s="1833"/>
      <c r="AX544" s="1833"/>
      <c r="AY544" s="1833"/>
      <c r="AZ544" s="1833"/>
      <c r="BA544" s="1833"/>
      <c r="BB544" s="1833"/>
      <c r="BC544" s="1833"/>
      <c r="BD544" s="1833"/>
      <c r="BE544" s="1833"/>
      <c r="BF544" s="1833"/>
      <c r="BG544" s="1646"/>
    </row>
    <row customHeight="1" ht="11.25">
      <c r="A545" s="1177" t="s">
        <v>1088</v>
      </c>
      <c r="B545" s="1177" t="s">
        <v>1155</v>
      </c>
      <c r="C545" s="1177"/>
      <c r="D545" s="1171"/>
      <c r="E545" s="1181"/>
      <c r="F545" s="1839"/>
      <c r="G545" s="694" t="s">
        <v>105</v>
      </c>
      <c r="H545" s="2545" t="s">
        <v>93</v>
      </c>
      <c r="I545" s="2546" t="s">
        <v>1156</v>
      </c>
      <c r="J545" s="2515" t="s">
        <v>1160</v>
      </c>
      <c r="K545" s="2547" t="s">
        <v>1162</v>
      </c>
      <c r="L545" s="2137" t="s">
        <v>19</v>
      </c>
      <c r="M545" s="2138"/>
      <c r="N545" s="1994"/>
      <c r="O545" s="1188" t="s">
        <v>390</v>
      </c>
      <c r="P545" s="1189"/>
      <c r="Q545" s="1189"/>
      <c r="R545" s="1189"/>
      <c r="S545" s="1189"/>
      <c r="T545" s="1189"/>
      <c r="U545" s="1189"/>
      <c r="V545" s="1189"/>
      <c r="W545" s="1189"/>
      <c r="X545" s="1189"/>
      <c r="Y545" s="1189"/>
      <c r="Z545" s="1189"/>
      <c r="AA545" s="1189"/>
      <c r="AB545" s="1189"/>
      <c r="AC545" s="1189"/>
      <c r="AD545" s="1189"/>
      <c r="AE545" s="1189"/>
      <c r="AF545" s="2536">
        <v>2028</v>
      </c>
      <c r="AG545" s="2537" t="s">
        <v>1122</v>
      </c>
      <c r="AH545" s="2537" t="s">
        <v>1153</v>
      </c>
      <c r="AI545" s="2916"/>
      <c r="AJ545" s="2537" t="s">
        <v>1154</v>
      </c>
      <c r="AK545" s="2537" t="s">
        <v>1154</v>
      </c>
      <c r="AL545" s="1996"/>
      <c r="AM545" s="1833"/>
      <c r="AN545" s="1833"/>
      <c r="AO545" s="1833"/>
      <c r="AP545" s="1833"/>
      <c r="AQ545" s="1833"/>
      <c r="AR545" s="1833"/>
      <c r="AS545" s="1833"/>
      <c r="AT545" s="1833"/>
      <c r="AU545" s="1833"/>
      <c r="AV545" s="1833"/>
      <c r="AW545" s="1833"/>
      <c r="AX545" s="1833"/>
      <c r="AY545" s="1833"/>
      <c r="AZ545" s="1833"/>
      <c r="BA545" s="1833"/>
      <c r="BB545" s="1833"/>
      <c r="BC545" s="1833"/>
      <c r="BD545" s="1833"/>
      <c r="BE545" s="1833"/>
      <c r="BF545" s="1833"/>
      <c r="BG545" s="1646"/>
    </row>
    <row customHeight="1" ht="11.25">
      <c r="A546" s="1177" t="s">
        <v>1088</v>
      </c>
      <c r="B546" s="1177"/>
      <c r="C546" s="1177"/>
      <c r="D546" s="1171"/>
      <c r="E546" s="1181"/>
      <c r="F546" s="1839"/>
      <c r="G546" s="1840"/>
      <c r="H546" s="2545" t="s">
        <v>121</v>
      </c>
      <c r="I546" s="2546"/>
      <c r="J546" s="2515"/>
      <c r="K546" s="2547"/>
      <c r="L546" s="2137"/>
      <c r="M546" s="2138"/>
      <c r="N546" s="2538"/>
      <c r="O546" s="2539">
        <v>1</v>
      </c>
      <c r="P546" s="2540" t="s">
        <v>19</v>
      </c>
      <c r="Q546" s="2543" t="s">
        <v>22</v>
      </c>
      <c r="R546" s="2543" t="s">
        <v>22</v>
      </c>
      <c r="S546" s="2543" t="s">
        <v>22</v>
      </c>
      <c r="T546" s="2543" t="s">
        <v>22</v>
      </c>
      <c r="U546" s="2543" t="s">
        <v>22</v>
      </c>
      <c r="V546" s="2543" t="s">
        <v>22</v>
      </c>
      <c r="W546" s="2543" t="s">
        <v>22</v>
      </c>
      <c r="X546" s="2543" t="s">
        <v>22</v>
      </c>
      <c r="Y546" s="2543"/>
      <c r="Z546" s="1186"/>
      <c r="AA546" s="1187"/>
      <c r="AB546" s="1187"/>
      <c r="AC546" s="1191"/>
      <c r="AD546" s="1191"/>
      <c r="AE546" s="1192"/>
      <c r="AF546" s="2536"/>
      <c r="AG546" s="2537"/>
      <c r="AH546" s="2537"/>
      <c r="AI546" s="2916"/>
      <c r="AJ546" s="2537"/>
      <c r="AK546" s="2537"/>
      <c r="AL546" s="1996"/>
      <c r="AM546" s="1833"/>
      <c r="AN546" s="1833"/>
      <c r="AO546" s="1833"/>
      <c r="AP546" s="1833"/>
      <c r="AQ546" s="1833"/>
      <c r="AR546" s="1833"/>
      <c r="AS546" s="1833"/>
      <c r="AT546" s="1833"/>
      <c r="AU546" s="1833"/>
      <c r="AV546" s="1833"/>
      <c r="AW546" s="1833"/>
      <c r="AX546" s="1833"/>
      <c r="AY546" s="1833"/>
      <c r="AZ546" s="1833"/>
      <c r="BA546" s="1833"/>
      <c r="BB546" s="1833"/>
      <c r="BC546" s="1833"/>
      <c r="BD546" s="1833"/>
      <c r="BE546" s="1833"/>
      <c r="BF546" s="1833"/>
      <c r="BG546" s="1646"/>
    </row>
    <row customHeight="1" ht="11.25">
      <c r="A547" s="1177" t="s">
        <v>1088</v>
      </c>
      <c r="B547" s="1177"/>
      <c r="C547" s="1177"/>
      <c r="D547" s="1171"/>
      <c r="E547" s="1181"/>
      <c r="F547" s="1839"/>
      <c r="G547" s="1840"/>
      <c r="H547" s="2545" t="s">
        <v>121</v>
      </c>
      <c r="I547" s="2546"/>
      <c r="J547" s="2515"/>
      <c r="K547" s="2547"/>
      <c r="L547" s="2137"/>
      <c r="M547" s="2138"/>
      <c r="N547" s="2538"/>
      <c r="O547" s="2539"/>
      <c r="P547" s="2541"/>
      <c r="Q547" s="2543"/>
      <c r="R547" s="2543"/>
      <c r="S547" s="2544"/>
      <c r="T547" s="2543"/>
      <c r="U547" s="2543"/>
      <c r="V547" s="2543"/>
      <c r="W547" s="2543"/>
      <c r="X547" s="2543"/>
      <c r="Y547" s="2543"/>
      <c r="Z547" s="1838"/>
      <c r="AA547" s="1804">
        <v>1</v>
      </c>
      <c r="AB547" s="1190" t="s">
        <v>1234</v>
      </c>
      <c r="AC547" s="1180">
        <v>203946.06</v>
      </c>
      <c r="AD547" s="1190" t="str">
        <f>AB547</f>
        <v>  Прочие</v>
      </c>
      <c r="AE547" s="1180">
        <v>0</v>
      </c>
      <c r="AF547" s="2536"/>
      <c r="AG547" s="2537"/>
      <c r="AH547" s="2537"/>
      <c r="AI547" s="2916"/>
      <c r="AJ547" s="2537"/>
      <c r="AK547" s="2537"/>
      <c r="AL547" s="1996"/>
      <c r="AM547" s="1833"/>
      <c r="AN547" s="1833"/>
      <c r="AO547" s="1833"/>
      <c r="AP547" s="1833"/>
      <c r="AQ547" s="1833"/>
      <c r="AR547" s="1833"/>
      <c r="AS547" s="1833"/>
      <c r="AT547" s="1833"/>
      <c r="AU547" s="1833"/>
      <c r="AV547" s="1833"/>
      <c r="AW547" s="1833"/>
      <c r="AX547" s="1833"/>
      <c r="AY547" s="1833"/>
      <c r="AZ547" s="1833"/>
      <c r="BA547" s="1833"/>
      <c r="BB547" s="1833"/>
      <c r="BC547" s="1833"/>
      <c r="BD547" s="1833"/>
      <c r="BE547" s="1833"/>
      <c r="BF547" s="1833"/>
      <c r="BG547" s="1646"/>
    </row>
    <row customHeight="1" ht="11.25">
      <c r="A548" s="1177" t="s">
        <v>1088</v>
      </c>
      <c r="B548" s="1177"/>
      <c r="C548" s="1177"/>
      <c r="D548" s="1171"/>
      <c r="E548" s="1181"/>
      <c r="F548" s="1839"/>
      <c r="G548" s="1840"/>
      <c r="H548" s="2545" t="s">
        <v>121</v>
      </c>
      <c r="I548" s="2546"/>
      <c r="J548" s="2515"/>
      <c r="K548" s="2547"/>
      <c r="L548" s="2137"/>
      <c r="M548" s="2138"/>
      <c r="N548" s="2538"/>
      <c r="O548" s="2539"/>
      <c r="P548" s="2542"/>
      <c r="Q548" s="2543"/>
      <c r="R548" s="2543"/>
      <c r="S548" s="2544"/>
      <c r="T548" s="2543"/>
      <c r="U548" s="2543"/>
      <c r="V548" s="2543"/>
      <c r="W548" s="2543"/>
      <c r="X548" s="2543"/>
      <c r="Y548" s="2543"/>
      <c r="Z548" s="1186"/>
      <c r="AA548" s="1187"/>
      <c r="AB548" s="1252" t="s">
        <v>1130</v>
      </c>
      <c r="AC548" s="1191"/>
      <c r="AD548" s="1191"/>
      <c r="AE548" s="1193"/>
      <c r="AF548" s="2536"/>
      <c r="AG548" s="2537"/>
      <c r="AH548" s="2537"/>
      <c r="AI548" s="2916"/>
      <c r="AJ548" s="2537"/>
      <c r="AK548" s="2537"/>
      <c r="AL548" s="1996"/>
      <c r="AM548" s="1833"/>
      <c r="AN548" s="1833"/>
      <c r="AO548" s="1833"/>
      <c r="AP548" s="1833"/>
      <c r="AQ548" s="1833"/>
      <c r="AR548" s="1833"/>
      <c r="AS548" s="1833"/>
      <c r="AT548" s="1833"/>
      <c r="AU548" s="1833"/>
      <c r="AV548" s="1833"/>
      <c r="AW548" s="1833"/>
      <c r="AX548" s="1833"/>
      <c r="AY548" s="1833"/>
      <c r="AZ548" s="1833"/>
      <c r="BA548" s="1833"/>
      <c r="BB548" s="1833"/>
      <c r="BC548" s="1833"/>
      <c r="BD548" s="1833"/>
      <c r="BE548" s="1833"/>
      <c r="BF548" s="1833"/>
      <c r="BG548" s="1646"/>
    </row>
    <row customHeight="1" ht="11.25">
      <c r="A549" s="1177" t="s">
        <v>1088</v>
      </c>
      <c r="B549" s="1177"/>
      <c r="C549" s="1177"/>
      <c r="D549" s="1171"/>
      <c r="E549" s="1181"/>
      <c r="F549" s="1839"/>
      <c r="G549" s="1840"/>
      <c r="H549" s="2545" t="s">
        <v>121</v>
      </c>
      <c r="I549" s="2546"/>
      <c r="J549" s="2515"/>
      <c r="K549" s="2547"/>
      <c r="L549" s="2137"/>
      <c r="M549" s="2138"/>
      <c r="N549" s="1186"/>
      <c r="O549" s="1187"/>
      <c r="P549" s="1179" t="s">
        <v>1131</v>
      </c>
      <c r="Q549" s="1187"/>
      <c r="R549" s="1187"/>
      <c r="S549" s="1187"/>
      <c r="T549" s="1187"/>
      <c r="U549" s="1187"/>
      <c r="V549" s="1187"/>
      <c r="W549" s="1187"/>
      <c r="X549" s="1187"/>
      <c r="Y549" s="1187"/>
      <c r="Z549" s="1187"/>
      <c r="AA549" s="1187"/>
      <c r="AB549" s="1187"/>
      <c r="AC549" s="1187"/>
      <c r="AD549" s="1187"/>
      <c r="AE549" s="1194"/>
      <c r="AF549" s="2536"/>
      <c r="AG549" s="2537"/>
      <c r="AH549" s="2537"/>
      <c r="AI549" s="2916"/>
      <c r="AJ549" s="2537"/>
      <c r="AK549" s="2537"/>
      <c r="AL549" s="1996"/>
      <c r="AM549" s="1833"/>
      <c r="AN549" s="1833"/>
      <c r="AO549" s="1833"/>
      <c r="AP549" s="1833"/>
      <c r="AQ549" s="1833"/>
      <c r="AR549" s="1833"/>
      <c r="AS549" s="1833"/>
      <c r="AT549" s="1833"/>
      <c r="AU549" s="1833"/>
      <c r="AV549" s="1833"/>
      <c r="AW549" s="1833"/>
      <c r="AX549" s="1833"/>
      <c r="AY549" s="1833"/>
      <c r="AZ549" s="1833"/>
      <c r="BA549" s="1833"/>
      <c r="BB549" s="1833"/>
      <c r="BC549" s="1833"/>
      <c r="BD549" s="1833"/>
      <c r="BE549" s="1833"/>
      <c r="BF549" s="1833"/>
      <c r="BG549" s="1646"/>
    </row>
    <row customHeight="1" ht="11.25">
      <c r="A550" s="1177" t="s">
        <v>1088</v>
      </c>
      <c r="B550" s="1177" t="s">
        <v>1155</v>
      </c>
      <c r="C550" s="1177"/>
      <c r="D550" s="1171"/>
      <c r="E550" s="1181"/>
      <c r="F550" s="1839"/>
      <c r="G550" s="694" t="s">
        <v>105</v>
      </c>
      <c r="H550" s="2545" t="s">
        <v>94</v>
      </c>
      <c r="I550" s="2546" t="s">
        <v>1156</v>
      </c>
      <c r="J550" s="2515" t="s">
        <v>1160</v>
      </c>
      <c r="K550" s="2547" t="s">
        <v>1161</v>
      </c>
      <c r="L550" s="2137" t="s">
        <v>19</v>
      </c>
      <c r="M550" s="2138"/>
      <c r="N550" s="1994"/>
      <c r="O550" s="1188" t="s">
        <v>390</v>
      </c>
      <c r="P550" s="1189"/>
      <c r="Q550" s="1189"/>
      <c r="R550" s="1189"/>
      <c r="S550" s="1189"/>
      <c r="T550" s="1189"/>
      <c r="U550" s="1189"/>
      <c r="V550" s="1189"/>
      <c r="W550" s="1189"/>
      <c r="X550" s="1189"/>
      <c r="Y550" s="1189"/>
      <c r="Z550" s="1189"/>
      <c r="AA550" s="1189"/>
      <c r="AB550" s="1189"/>
      <c r="AC550" s="1189"/>
      <c r="AD550" s="1189"/>
      <c r="AE550" s="1189"/>
      <c r="AF550" s="2536">
        <v>2028</v>
      </c>
      <c r="AG550" s="2537" t="s">
        <v>1122</v>
      </c>
      <c r="AH550" s="2537" t="s">
        <v>1153</v>
      </c>
      <c r="AI550" s="2916"/>
      <c r="AJ550" s="2537" t="s">
        <v>1154</v>
      </c>
      <c r="AK550" s="2537" t="s">
        <v>1154</v>
      </c>
      <c r="AL550" s="1996"/>
      <c r="AM550" s="1833"/>
      <c r="AN550" s="1833"/>
      <c r="AO550" s="1833"/>
      <c r="AP550" s="1833"/>
      <c r="AQ550" s="1833"/>
      <c r="AR550" s="1833"/>
      <c r="AS550" s="1833"/>
      <c r="AT550" s="1833"/>
      <c r="AU550" s="1833"/>
      <c r="AV550" s="1833"/>
      <c r="AW550" s="1833"/>
      <c r="AX550" s="1833"/>
      <c r="AY550" s="1833"/>
      <c r="AZ550" s="1833"/>
      <c r="BA550" s="1833"/>
      <c r="BB550" s="1833"/>
      <c r="BC550" s="1833"/>
      <c r="BD550" s="1833"/>
      <c r="BE550" s="1833"/>
      <c r="BF550" s="1833"/>
      <c r="BG550" s="1646"/>
    </row>
    <row customHeight="1" ht="11.25">
      <c r="A551" s="1177" t="s">
        <v>1088</v>
      </c>
      <c r="B551" s="1177"/>
      <c r="C551" s="1177"/>
      <c r="D551" s="1171"/>
      <c r="E551" s="1181"/>
      <c r="F551" s="1839"/>
      <c r="G551" s="1840"/>
      <c r="H551" s="2545" t="s">
        <v>93</v>
      </c>
      <c r="I551" s="2546"/>
      <c r="J551" s="2515"/>
      <c r="K551" s="2547"/>
      <c r="L551" s="2137"/>
      <c r="M551" s="2138"/>
      <c r="N551" s="2538"/>
      <c r="O551" s="2539">
        <v>1</v>
      </c>
      <c r="P551" s="2540" t="s">
        <v>19</v>
      </c>
      <c r="Q551" s="2920" t="s">
        <v>22</v>
      </c>
      <c r="R551" s="2920" t="s">
        <v>22</v>
      </c>
      <c r="S551" s="2920" t="s">
        <v>22</v>
      </c>
      <c r="T551" s="2920" t="s">
        <v>22</v>
      </c>
      <c r="U551" s="2920" t="s">
        <v>22</v>
      </c>
      <c r="V551" s="2920" t="s">
        <v>22</v>
      </c>
      <c r="W551" s="2920" t="s">
        <v>22</v>
      </c>
      <c r="X551" s="2920" t="s">
        <v>22</v>
      </c>
      <c r="Y551" s="2920" t="s">
        <v>22</v>
      </c>
      <c r="Z551" s="1186"/>
      <c r="AA551" s="1187"/>
      <c r="AB551" s="1187"/>
      <c r="AC551" s="1191"/>
      <c r="AD551" s="1191"/>
      <c r="AE551" s="1192"/>
      <c r="AF551" s="2536"/>
      <c r="AG551" s="2537"/>
      <c r="AH551" s="2537"/>
      <c r="AI551" s="2916"/>
      <c r="AJ551" s="2537"/>
      <c r="AK551" s="2537"/>
      <c r="AL551" s="1996"/>
      <c r="AM551" s="1833"/>
      <c r="AN551" s="1833"/>
      <c r="AO551" s="1833"/>
      <c r="AP551" s="1833"/>
      <c r="AQ551" s="1833"/>
      <c r="AR551" s="1833"/>
      <c r="AS551" s="1833"/>
      <c r="AT551" s="1833"/>
      <c r="AU551" s="1833"/>
      <c r="AV551" s="1833"/>
      <c r="AW551" s="1833"/>
      <c r="AX551" s="1833"/>
      <c r="AY551" s="1833"/>
      <c r="AZ551" s="1833"/>
      <c r="BA551" s="1833"/>
      <c r="BB551" s="1833"/>
      <c r="BC551" s="1833"/>
      <c r="BD551" s="1833"/>
      <c r="BE551" s="1833"/>
      <c r="BF551" s="1833"/>
      <c r="BG551" s="1646"/>
    </row>
    <row customHeight="1" ht="11.25">
      <c r="A552" s="1177" t="s">
        <v>1088</v>
      </c>
      <c r="B552" s="1177"/>
      <c r="C552" s="1177"/>
      <c r="D552" s="1171"/>
      <c r="E552" s="1181"/>
      <c r="F552" s="1839"/>
      <c r="G552" s="1840"/>
      <c r="H552" s="2545" t="s">
        <v>93</v>
      </c>
      <c r="I552" s="2546"/>
      <c r="J552" s="2515"/>
      <c r="K552" s="2547"/>
      <c r="L552" s="2137"/>
      <c r="M552" s="2138"/>
      <c r="N552" s="2538"/>
      <c r="O552" s="2539"/>
      <c r="P552" s="2541"/>
      <c r="Q552" s="2913"/>
      <c r="R552" s="2543"/>
      <c r="S552" s="2544"/>
      <c r="T552" s="2543"/>
      <c r="U552" s="2543"/>
      <c r="V552" s="2543"/>
      <c r="W552" s="2543"/>
      <c r="X552" s="2543"/>
      <c r="Y552" s="2543"/>
      <c r="Z552" s="1838"/>
      <c r="AA552" s="1804">
        <v>1</v>
      </c>
      <c r="AB552" s="1190" t="s">
        <v>1234</v>
      </c>
      <c r="AC552" s="1180">
        <v>249911.66</v>
      </c>
      <c r="AD552" s="1190" t="str">
        <f>AB552</f>
        <v>  Прочие</v>
      </c>
      <c r="AE552" s="1180">
        <v>0</v>
      </c>
      <c r="AF552" s="2536"/>
      <c r="AG552" s="2537"/>
      <c r="AH552" s="2537"/>
      <c r="AI552" s="2916"/>
      <c r="AJ552" s="2537"/>
      <c r="AK552" s="2537"/>
      <c r="AL552" s="1996"/>
      <c r="AM552" s="1833"/>
      <c r="AN552" s="1833"/>
      <c r="AO552" s="1833"/>
      <c r="AP552" s="1833"/>
      <c r="AQ552" s="1833"/>
      <c r="AR552" s="1833"/>
      <c r="AS552" s="1833"/>
      <c r="AT552" s="1833"/>
      <c r="AU552" s="1833"/>
      <c r="AV552" s="1833"/>
      <c r="AW552" s="1833"/>
      <c r="AX552" s="1833"/>
      <c r="AY552" s="1833"/>
      <c r="AZ552" s="1833"/>
      <c r="BA552" s="1833"/>
      <c r="BB552" s="1833"/>
      <c r="BC552" s="1833"/>
      <c r="BD552" s="1833"/>
      <c r="BE552" s="1833"/>
      <c r="BF552" s="1833"/>
      <c r="BG552" s="1646"/>
    </row>
    <row customHeight="1" ht="11.25">
      <c r="A553" s="1177" t="s">
        <v>1088</v>
      </c>
      <c r="B553" s="1177"/>
      <c r="C553" s="1177"/>
      <c r="D553" s="1171"/>
      <c r="E553" s="1181"/>
      <c r="F553" s="1839"/>
      <c r="G553" s="1840"/>
      <c r="H553" s="2545" t="s">
        <v>93</v>
      </c>
      <c r="I553" s="2546"/>
      <c r="J553" s="2515"/>
      <c r="K553" s="2547"/>
      <c r="L553" s="2137"/>
      <c r="M553" s="2138"/>
      <c r="N553" s="2538"/>
      <c r="O553" s="2539"/>
      <c r="P553" s="2542"/>
      <c r="Q553" s="2913"/>
      <c r="R553" s="2543"/>
      <c r="S553" s="2544"/>
      <c r="T553" s="2543"/>
      <c r="U553" s="2543"/>
      <c r="V553" s="2543"/>
      <c r="W553" s="2543"/>
      <c r="X553" s="2543"/>
      <c r="Y553" s="2543"/>
      <c r="Z553" s="1186"/>
      <c r="AA553" s="1187"/>
      <c r="AB553" s="1252" t="s">
        <v>1130</v>
      </c>
      <c r="AC553" s="1191"/>
      <c r="AD553" s="1191"/>
      <c r="AE553" s="1193"/>
      <c r="AF553" s="2536"/>
      <c r="AG553" s="2537"/>
      <c r="AH553" s="2537"/>
      <c r="AI553" s="2916"/>
      <c r="AJ553" s="2537"/>
      <c r="AK553" s="2537"/>
      <c r="AL553" s="1996"/>
      <c r="AM553" s="1833"/>
      <c r="AN553" s="1833"/>
      <c r="AO553" s="1833"/>
      <c r="AP553" s="1833"/>
      <c r="AQ553" s="1833"/>
      <c r="AR553" s="1833"/>
      <c r="AS553" s="1833"/>
      <c r="AT553" s="1833"/>
      <c r="AU553" s="1833"/>
      <c r="AV553" s="1833"/>
      <c r="AW553" s="1833"/>
      <c r="AX553" s="1833"/>
      <c r="AY553" s="1833"/>
      <c r="AZ553" s="1833"/>
      <c r="BA553" s="1833"/>
      <c r="BB553" s="1833"/>
      <c r="BC553" s="1833"/>
      <c r="BD553" s="1833"/>
      <c r="BE553" s="1833"/>
      <c r="BF553" s="1833"/>
      <c r="BG553" s="1646"/>
    </row>
    <row customHeight="1" ht="11.25">
      <c r="A554" s="1177" t="s">
        <v>1088</v>
      </c>
      <c r="B554" s="1177"/>
      <c r="C554" s="1177"/>
      <c r="D554" s="1171"/>
      <c r="E554" s="1181"/>
      <c r="F554" s="1839"/>
      <c r="G554" s="1840"/>
      <c r="H554" s="2545" t="s">
        <v>93</v>
      </c>
      <c r="I554" s="2546"/>
      <c r="J554" s="2515"/>
      <c r="K554" s="2547"/>
      <c r="L554" s="2137"/>
      <c r="M554" s="2138"/>
      <c r="N554" s="1186"/>
      <c r="O554" s="1187"/>
      <c r="P554" s="1179" t="s">
        <v>1131</v>
      </c>
      <c r="Q554" s="1187"/>
      <c r="R554" s="1187"/>
      <c r="S554" s="1187"/>
      <c r="T554" s="1187"/>
      <c r="U554" s="1187"/>
      <c r="V554" s="1187"/>
      <c r="W554" s="1187"/>
      <c r="X554" s="1187"/>
      <c r="Y554" s="1187"/>
      <c r="Z554" s="1187"/>
      <c r="AA554" s="1187"/>
      <c r="AB554" s="1187"/>
      <c r="AC554" s="1187"/>
      <c r="AD554" s="1187"/>
      <c r="AE554" s="1194"/>
      <c r="AF554" s="2536"/>
      <c r="AG554" s="2537"/>
      <c r="AH554" s="2537"/>
      <c r="AI554" s="2916"/>
      <c r="AJ554" s="2537"/>
      <c r="AK554" s="2537"/>
      <c r="AL554" s="1996"/>
      <c r="AM554" s="1833"/>
      <c r="AN554" s="1833"/>
      <c r="AO554" s="1833"/>
      <c r="AP554" s="1833"/>
      <c r="AQ554" s="1833"/>
      <c r="AR554" s="1833"/>
      <c r="AS554" s="1833"/>
      <c r="AT554" s="1833"/>
      <c r="AU554" s="1833"/>
      <c r="AV554" s="1833"/>
      <c r="AW554" s="1833"/>
      <c r="AX554" s="1833"/>
      <c r="AY554" s="1833"/>
      <c r="AZ554" s="1833"/>
      <c r="BA554" s="1833"/>
      <c r="BB554" s="1833"/>
      <c r="BC554" s="1833"/>
      <c r="BD554" s="1833"/>
      <c r="BE554" s="1833"/>
      <c r="BF554" s="1833"/>
      <c r="BG554" s="1646"/>
    </row>
    <row customHeight="1" ht="11.25">
      <c r="A555" s="1177" t="s">
        <v>1088</v>
      </c>
      <c r="B555" s="1177" t="s">
        <v>1155</v>
      </c>
      <c r="C555" s="1177"/>
      <c r="D555" s="1171"/>
      <c r="E555" s="1181"/>
      <c r="F555" s="1839"/>
      <c r="G555" s="694" t="s">
        <v>105</v>
      </c>
      <c r="H555" s="2545" t="s">
        <v>122</v>
      </c>
      <c r="I555" s="2546" t="s">
        <v>1156</v>
      </c>
      <c r="J555" s="2515" t="s">
        <v>1160</v>
      </c>
      <c r="K555" s="2547" t="s">
        <v>1271</v>
      </c>
      <c r="L555" s="2137" t="s">
        <v>19</v>
      </c>
      <c r="M555" s="2138"/>
      <c r="N555" s="1994"/>
      <c r="O555" s="1188" t="s">
        <v>390</v>
      </c>
      <c r="P555" s="1189"/>
      <c r="Q555" s="1189"/>
      <c r="R555" s="1189"/>
      <c r="S555" s="1189"/>
      <c r="T555" s="1189"/>
      <c r="U555" s="1189"/>
      <c r="V555" s="1189"/>
      <c r="W555" s="1189"/>
      <c r="X555" s="1189"/>
      <c r="Y555" s="1189"/>
      <c r="Z555" s="1189"/>
      <c r="AA555" s="1189"/>
      <c r="AB555" s="1189"/>
      <c r="AC555" s="1189"/>
      <c r="AD555" s="1189"/>
      <c r="AE555" s="1189"/>
      <c r="AF555" s="2536">
        <v>2028</v>
      </c>
      <c r="AG555" s="2537" t="s">
        <v>1122</v>
      </c>
      <c r="AH555" s="2537" t="s">
        <v>1153</v>
      </c>
      <c r="AI555" s="2916"/>
      <c r="AJ555" s="2537" t="s">
        <v>1154</v>
      </c>
      <c r="AK555" s="2537" t="s">
        <v>1154</v>
      </c>
      <c r="AL555" s="1996"/>
      <c r="AM555" s="1833"/>
      <c r="AN555" s="1833"/>
      <c r="AO555" s="1833"/>
      <c r="AP555" s="1833"/>
      <c r="AQ555" s="1833"/>
      <c r="AR555" s="1833"/>
      <c r="AS555" s="1833"/>
      <c r="AT555" s="1833"/>
      <c r="AU555" s="1833"/>
      <c r="AV555" s="1833"/>
      <c r="AW555" s="1833"/>
      <c r="AX555" s="1833"/>
      <c r="AY555" s="1833"/>
      <c r="AZ555" s="1833"/>
      <c r="BA555" s="1833"/>
      <c r="BB555" s="1833"/>
      <c r="BC555" s="1833"/>
      <c r="BD555" s="1833"/>
      <c r="BE555" s="1833"/>
      <c r="BF555" s="1833"/>
      <c r="BG555" s="1646"/>
    </row>
    <row customHeight="1" ht="11.25">
      <c r="A556" s="1177" t="s">
        <v>1088</v>
      </c>
      <c r="B556" s="1177"/>
      <c r="C556" s="1177"/>
      <c r="D556" s="1171"/>
      <c r="E556" s="1181"/>
      <c r="F556" s="1839"/>
      <c r="G556" s="1840"/>
      <c r="H556" s="2545" t="s">
        <v>94</v>
      </c>
      <c r="I556" s="2546"/>
      <c r="J556" s="2515"/>
      <c r="K556" s="2547"/>
      <c r="L556" s="2137"/>
      <c r="M556" s="2138"/>
      <c r="N556" s="2538"/>
      <c r="O556" s="2539">
        <v>1</v>
      </c>
      <c r="P556" s="2540" t="s">
        <v>19</v>
      </c>
      <c r="Q556" s="2543" t="s">
        <v>22</v>
      </c>
      <c r="R556" s="2543" t="s">
        <v>22</v>
      </c>
      <c r="S556" s="2543" t="s">
        <v>22</v>
      </c>
      <c r="T556" s="2543" t="s">
        <v>22</v>
      </c>
      <c r="U556" s="2543" t="s">
        <v>22</v>
      </c>
      <c r="V556" s="2543" t="s">
        <v>22</v>
      </c>
      <c r="W556" s="2543" t="s">
        <v>22</v>
      </c>
      <c r="X556" s="2543" t="s">
        <v>22</v>
      </c>
      <c r="Y556" s="2543"/>
      <c r="Z556" s="1186"/>
      <c r="AA556" s="1187"/>
      <c r="AB556" s="1187"/>
      <c r="AC556" s="1191"/>
      <c r="AD556" s="1191"/>
      <c r="AE556" s="1192"/>
      <c r="AF556" s="2536"/>
      <c r="AG556" s="2537"/>
      <c r="AH556" s="2537"/>
      <c r="AI556" s="2916"/>
      <c r="AJ556" s="2537"/>
      <c r="AK556" s="2537"/>
      <c r="AL556" s="1996"/>
      <c r="AM556" s="1833"/>
      <c r="AN556" s="1833"/>
      <c r="AO556" s="1833"/>
      <c r="AP556" s="1833"/>
      <c r="AQ556" s="1833"/>
      <c r="AR556" s="1833"/>
      <c r="AS556" s="1833"/>
      <c r="AT556" s="1833"/>
      <c r="AU556" s="1833"/>
      <c r="AV556" s="1833"/>
      <c r="AW556" s="1833"/>
      <c r="AX556" s="1833"/>
      <c r="AY556" s="1833"/>
      <c r="AZ556" s="1833"/>
      <c r="BA556" s="1833"/>
      <c r="BB556" s="1833"/>
      <c r="BC556" s="1833"/>
      <c r="BD556" s="1833"/>
      <c r="BE556" s="1833"/>
      <c r="BF556" s="1833"/>
      <c r="BG556" s="1646"/>
    </row>
    <row customHeight="1" ht="11.25">
      <c r="A557" s="1177" t="s">
        <v>1088</v>
      </c>
      <c r="B557" s="1177"/>
      <c r="C557" s="1177"/>
      <c r="D557" s="1171"/>
      <c r="E557" s="1181"/>
      <c r="F557" s="1839"/>
      <c r="G557" s="1840"/>
      <c r="H557" s="2545" t="s">
        <v>94</v>
      </c>
      <c r="I557" s="2546"/>
      <c r="J557" s="2515"/>
      <c r="K557" s="2547"/>
      <c r="L557" s="2137"/>
      <c r="M557" s="2138"/>
      <c r="N557" s="2538"/>
      <c r="O557" s="2539"/>
      <c r="P557" s="2541"/>
      <c r="Q557" s="2543"/>
      <c r="R557" s="2543"/>
      <c r="S557" s="2544"/>
      <c r="T557" s="2543"/>
      <c r="U557" s="2543"/>
      <c r="V557" s="2543"/>
      <c r="W557" s="2543"/>
      <c r="X557" s="2543"/>
      <c r="Y557" s="2543"/>
      <c r="Z557" s="1838"/>
      <c r="AA557" s="1804">
        <v>1</v>
      </c>
      <c r="AB557" s="1190" t="s">
        <v>1234</v>
      </c>
      <c r="AC557" s="1180">
        <v>261746.07</v>
      </c>
      <c r="AD557" s="1190" t="str">
        <f>AB557</f>
        <v>  Прочие</v>
      </c>
      <c r="AE557" s="1180">
        <v>0</v>
      </c>
      <c r="AF557" s="2536"/>
      <c r="AG557" s="2537"/>
      <c r="AH557" s="2537"/>
      <c r="AI557" s="2916"/>
      <c r="AJ557" s="2537"/>
      <c r="AK557" s="2537"/>
      <c r="AL557" s="1996"/>
      <c r="AM557" s="1833"/>
      <c r="AN557" s="1833"/>
      <c r="AO557" s="1833"/>
      <c r="AP557" s="1833"/>
      <c r="AQ557" s="1833"/>
      <c r="AR557" s="1833"/>
      <c r="AS557" s="1833"/>
      <c r="AT557" s="1833"/>
      <c r="AU557" s="1833"/>
      <c r="AV557" s="1833"/>
      <c r="AW557" s="1833"/>
      <c r="AX557" s="1833"/>
      <c r="AY557" s="1833"/>
      <c r="AZ557" s="1833"/>
      <c r="BA557" s="1833"/>
      <c r="BB557" s="1833"/>
      <c r="BC557" s="1833"/>
      <c r="BD557" s="1833"/>
      <c r="BE557" s="1833"/>
      <c r="BF557" s="1833"/>
      <c r="BG557" s="1646"/>
    </row>
    <row customHeight="1" ht="11.25">
      <c r="A558" s="1177" t="s">
        <v>1088</v>
      </c>
      <c r="B558" s="1177"/>
      <c r="C558" s="1177"/>
      <c r="D558" s="1171"/>
      <c r="E558" s="1181"/>
      <c r="F558" s="1839"/>
      <c r="G558" s="1840"/>
      <c r="H558" s="2545" t="s">
        <v>94</v>
      </c>
      <c r="I558" s="2546"/>
      <c r="J558" s="2515"/>
      <c r="K558" s="2547"/>
      <c r="L558" s="2137"/>
      <c r="M558" s="2138"/>
      <c r="N558" s="2538"/>
      <c r="O558" s="2539"/>
      <c r="P558" s="2542"/>
      <c r="Q558" s="2543"/>
      <c r="R558" s="2543"/>
      <c r="S558" s="2544"/>
      <c r="T558" s="2543"/>
      <c r="U558" s="2543"/>
      <c r="V558" s="2543"/>
      <c r="W558" s="2543"/>
      <c r="X558" s="2543"/>
      <c r="Y558" s="2543"/>
      <c r="Z558" s="1186"/>
      <c r="AA558" s="1187"/>
      <c r="AB558" s="1252" t="s">
        <v>1130</v>
      </c>
      <c r="AC558" s="1191"/>
      <c r="AD558" s="1191"/>
      <c r="AE558" s="1193"/>
      <c r="AF558" s="2536"/>
      <c r="AG558" s="2537"/>
      <c r="AH558" s="2537"/>
      <c r="AI558" s="2916"/>
      <c r="AJ558" s="2537"/>
      <c r="AK558" s="2537"/>
      <c r="AL558" s="1996"/>
      <c r="AM558" s="1833"/>
      <c r="AN558" s="1833"/>
      <c r="AO558" s="1833"/>
      <c r="AP558" s="1833"/>
      <c r="AQ558" s="1833"/>
      <c r="AR558" s="1833"/>
      <c r="AS558" s="1833"/>
      <c r="AT558" s="1833"/>
      <c r="AU558" s="1833"/>
      <c r="AV558" s="1833"/>
      <c r="AW558" s="1833"/>
      <c r="AX558" s="1833"/>
      <c r="AY558" s="1833"/>
      <c r="AZ558" s="1833"/>
      <c r="BA558" s="1833"/>
      <c r="BB558" s="1833"/>
      <c r="BC558" s="1833"/>
      <c r="BD558" s="1833"/>
      <c r="BE558" s="1833"/>
      <c r="BF558" s="1833"/>
      <c r="BG558" s="1646"/>
    </row>
    <row customHeight="1" ht="11.25">
      <c r="A559" s="1177" t="s">
        <v>1088</v>
      </c>
      <c r="B559" s="1177"/>
      <c r="C559" s="1177"/>
      <c r="D559" s="1171"/>
      <c r="E559" s="1181"/>
      <c r="F559" s="1839"/>
      <c r="G559" s="1840"/>
      <c r="H559" s="2545" t="s">
        <v>94</v>
      </c>
      <c r="I559" s="2546"/>
      <c r="J559" s="2515"/>
      <c r="K559" s="2547"/>
      <c r="L559" s="2137"/>
      <c r="M559" s="2138"/>
      <c r="N559" s="1186"/>
      <c r="O559" s="1187"/>
      <c r="P559" s="1179" t="s">
        <v>1131</v>
      </c>
      <c r="Q559" s="1187"/>
      <c r="R559" s="1187"/>
      <c r="S559" s="1187"/>
      <c r="T559" s="1187"/>
      <c r="U559" s="1187"/>
      <c r="V559" s="1187"/>
      <c r="W559" s="1187"/>
      <c r="X559" s="1187"/>
      <c r="Y559" s="1187"/>
      <c r="Z559" s="1187"/>
      <c r="AA559" s="1187"/>
      <c r="AB559" s="1187"/>
      <c r="AC559" s="1187"/>
      <c r="AD559" s="1187"/>
      <c r="AE559" s="1194"/>
      <c r="AF559" s="2536"/>
      <c r="AG559" s="2537"/>
      <c r="AH559" s="2537"/>
      <c r="AI559" s="2916"/>
      <c r="AJ559" s="2537"/>
      <c r="AK559" s="2537"/>
      <c r="AL559" s="1996"/>
      <c r="AM559" s="1833"/>
      <c r="AN559" s="1833"/>
      <c r="AO559" s="1833"/>
      <c r="AP559" s="1833"/>
      <c r="AQ559" s="1833"/>
      <c r="AR559" s="1833"/>
      <c r="AS559" s="1833"/>
      <c r="AT559" s="1833"/>
      <c r="AU559" s="1833"/>
      <c r="AV559" s="1833"/>
      <c r="AW559" s="1833"/>
      <c r="AX559" s="1833"/>
      <c r="AY559" s="1833"/>
      <c r="AZ559" s="1833"/>
      <c r="BA559" s="1833"/>
      <c r="BB559" s="1833"/>
      <c r="BC559" s="1833"/>
      <c r="BD559" s="1833"/>
      <c r="BE559" s="1833"/>
      <c r="BF559" s="1833"/>
      <c r="BG559" s="1646"/>
    </row>
    <row customHeight="1" ht="11.25">
      <c r="A560" s="1177" t="s">
        <v>1088</v>
      </c>
      <c r="B560" s="1177" t="s">
        <v>1155</v>
      </c>
      <c r="C560" s="1177"/>
      <c r="D560" s="1171"/>
      <c r="E560" s="1181"/>
      <c r="F560" s="1839"/>
      <c r="G560" s="694" t="s">
        <v>105</v>
      </c>
      <c r="H560" s="2545" t="s">
        <v>164</v>
      </c>
      <c r="I560" s="2546" t="s">
        <v>1156</v>
      </c>
      <c r="J560" s="2515" t="s">
        <v>1160</v>
      </c>
      <c r="K560" s="2547" t="s">
        <v>1272</v>
      </c>
      <c r="L560" s="2137" t="s">
        <v>19</v>
      </c>
      <c r="M560" s="2138"/>
      <c r="N560" s="1994"/>
      <c r="O560" s="1188" t="s">
        <v>390</v>
      </c>
      <c r="P560" s="1189"/>
      <c r="Q560" s="1189"/>
      <c r="R560" s="1189"/>
      <c r="S560" s="1189"/>
      <c r="T560" s="1189"/>
      <c r="U560" s="1189"/>
      <c r="V560" s="1189"/>
      <c r="W560" s="1189"/>
      <c r="X560" s="1189"/>
      <c r="Y560" s="1189"/>
      <c r="Z560" s="1189"/>
      <c r="AA560" s="1189"/>
      <c r="AB560" s="1189"/>
      <c r="AC560" s="1189"/>
      <c r="AD560" s="1189"/>
      <c r="AE560" s="1189"/>
      <c r="AF560" s="2536">
        <v>2028</v>
      </c>
      <c r="AG560" s="2537" t="s">
        <v>1122</v>
      </c>
      <c r="AH560" s="2537" t="s">
        <v>1153</v>
      </c>
      <c r="AI560" s="2916"/>
      <c r="AJ560" s="2537" t="s">
        <v>1154</v>
      </c>
      <c r="AK560" s="2537" t="s">
        <v>1154</v>
      </c>
      <c r="AL560" s="1996"/>
      <c r="AM560" s="1833"/>
      <c r="AN560" s="1833"/>
      <c r="AO560" s="1833"/>
      <c r="AP560" s="1833"/>
      <c r="AQ560" s="1833"/>
      <c r="AR560" s="1833"/>
      <c r="AS560" s="1833"/>
      <c r="AT560" s="1833"/>
      <c r="AU560" s="1833"/>
      <c r="AV560" s="1833"/>
      <c r="AW560" s="1833"/>
      <c r="AX560" s="1833"/>
      <c r="AY560" s="1833"/>
      <c r="AZ560" s="1833"/>
      <c r="BA560" s="1833"/>
      <c r="BB560" s="1833"/>
      <c r="BC560" s="1833"/>
      <c r="BD560" s="1833"/>
      <c r="BE560" s="1833"/>
      <c r="BF560" s="1833"/>
      <c r="BG560" s="1646"/>
    </row>
    <row customHeight="1" ht="11.25">
      <c r="A561" s="1177" t="s">
        <v>1088</v>
      </c>
      <c r="B561" s="1177"/>
      <c r="C561" s="1177"/>
      <c r="D561" s="1171"/>
      <c r="E561" s="1181"/>
      <c r="F561" s="1839"/>
      <c r="G561" s="1840"/>
      <c r="H561" s="2545" t="s">
        <v>122</v>
      </c>
      <c r="I561" s="2546"/>
      <c r="J561" s="2515"/>
      <c r="K561" s="2547"/>
      <c r="L561" s="2137"/>
      <c r="M561" s="2138"/>
      <c r="N561" s="2538"/>
      <c r="O561" s="2539">
        <v>1</v>
      </c>
      <c r="P561" s="2540" t="s">
        <v>19</v>
      </c>
      <c r="Q561" s="2543" t="s">
        <v>22</v>
      </c>
      <c r="R561" s="2543" t="s">
        <v>22</v>
      </c>
      <c r="S561" s="2543" t="s">
        <v>22</v>
      </c>
      <c r="T561" s="2543" t="s">
        <v>22</v>
      </c>
      <c r="U561" s="2543" t="s">
        <v>22</v>
      </c>
      <c r="V561" s="2543" t="s">
        <v>22</v>
      </c>
      <c r="W561" s="2543" t="s">
        <v>22</v>
      </c>
      <c r="X561" s="2543" t="s">
        <v>22</v>
      </c>
      <c r="Y561" s="2543"/>
      <c r="Z561" s="1186"/>
      <c r="AA561" s="1187"/>
      <c r="AB561" s="1187"/>
      <c r="AC561" s="1191"/>
      <c r="AD561" s="1191"/>
      <c r="AE561" s="1192"/>
      <c r="AF561" s="2536"/>
      <c r="AG561" s="2537"/>
      <c r="AH561" s="2537"/>
      <c r="AI561" s="2916"/>
      <c r="AJ561" s="2537"/>
      <c r="AK561" s="2537"/>
      <c r="AL561" s="1996"/>
      <c r="AM561" s="1833"/>
      <c r="AN561" s="1833"/>
      <c r="AO561" s="1833"/>
      <c r="AP561" s="1833"/>
      <c r="AQ561" s="1833"/>
      <c r="AR561" s="1833"/>
      <c r="AS561" s="1833"/>
      <c r="AT561" s="1833"/>
      <c r="AU561" s="1833"/>
      <c r="AV561" s="1833"/>
      <c r="AW561" s="1833"/>
      <c r="AX561" s="1833"/>
      <c r="AY561" s="1833"/>
      <c r="AZ561" s="1833"/>
      <c r="BA561" s="1833"/>
      <c r="BB561" s="1833"/>
      <c r="BC561" s="1833"/>
      <c r="BD561" s="1833"/>
      <c r="BE561" s="1833"/>
      <c r="BF561" s="1833"/>
      <c r="BG561" s="1646"/>
    </row>
    <row customHeight="1" ht="11.25">
      <c r="A562" s="1177" t="s">
        <v>1088</v>
      </c>
      <c r="B562" s="1177"/>
      <c r="C562" s="1177"/>
      <c r="D562" s="1171"/>
      <c r="E562" s="1181"/>
      <c r="F562" s="1839"/>
      <c r="G562" s="1840"/>
      <c r="H562" s="2545" t="s">
        <v>122</v>
      </c>
      <c r="I562" s="2546"/>
      <c r="J562" s="2515"/>
      <c r="K562" s="2547"/>
      <c r="L562" s="2137"/>
      <c r="M562" s="2138"/>
      <c r="N562" s="2538"/>
      <c r="O562" s="2539"/>
      <c r="P562" s="2541"/>
      <c r="Q562" s="2543"/>
      <c r="R562" s="2543"/>
      <c r="S562" s="2544"/>
      <c r="T562" s="2543"/>
      <c r="U562" s="2543"/>
      <c r="V562" s="2543"/>
      <c r="W562" s="2543"/>
      <c r="X562" s="2543"/>
      <c r="Y562" s="2543"/>
      <c r="Z562" s="1838"/>
      <c r="AA562" s="1804">
        <v>1</v>
      </c>
      <c r="AB562" s="1190" t="s">
        <v>1234</v>
      </c>
      <c r="AC562" s="1180">
        <v>261746.07</v>
      </c>
      <c r="AD562" s="1190" t="str">
        <f>AB562</f>
        <v>  Прочие</v>
      </c>
      <c r="AE562" s="1180">
        <v>0</v>
      </c>
      <c r="AF562" s="2536"/>
      <c r="AG562" s="2537"/>
      <c r="AH562" s="2537"/>
      <c r="AI562" s="2916"/>
      <c r="AJ562" s="2537"/>
      <c r="AK562" s="2537"/>
      <c r="AL562" s="1996"/>
      <c r="AM562" s="1833"/>
      <c r="AN562" s="1833"/>
      <c r="AO562" s="1833"/>
      <c r="AP562" s="1833"/>
      <c r="AQ562" s="1833"/>
      <c r="AR562" s="1833"/>
      <c r="AS562" s="1833"/>
      <c r="AT562" s="1833"/>
      <c r="AU562" s="1833"/>
      <c r="AV562" s="1833"/>
      <c r="AW562" s="1833"/>
      <c r="AX562" s="1833"/>
      <c r="AY562" s="1833"/>
      <c r="AZ562" s="1833"/>
      <c r="BA562" s="1833"/>
      <c r="BB562" s="1833"/>
      <c r="BC562" s="1833"/>
      <c r="BD562" s="1833"/>
      <c r="BE562" s="1833"/>
      <c r="BF562" s="1833"/>
      <c r="BG562" s="1646"/>
    </row>
    <row customHeight="1" ht="11.25">
      <c r="A563" s="1177" t="s">
        <v>1088</v>
      </c>
      <c r="B563" s="1177"/>
      <c r="C563" s="1177"/>
      <c r="D563" s="1171"/>
      <c r="E563" s="1181"/>
      <c r="F563" s="1839"/>
      <c r="G563" s="1840"/>
      <c r="H563" s="2545" t="s">
        <v>122</v>
      </c>
      <c r="I563" s="2546"/>
      <c r="J563" s="2515"/>
      <c r="K563" s="2547"/>
      <c r="L563" s="2137"/>
      <c r="M563" s="2138"/>
      <c r="N563" s="2538"/>
      <c r="O563" s="2539"/>
      <c r="P563" s="2542"/>
      <c r="Q563" s="2543"/>
      <c r="R563" s="2543"/>
      <c r="S563" s="2544"/>
      <c r="T563" s="2543"/>
      <c r="U563" s="2543"/>
      <c r="V563" s="2543"/>
      <c r="W563" s="2543"/>
      <c r="X563" s="2543"/>
      <c r="Y563" s="2543"/>
      <c r="Z563" s="1186"/>
      <c r="AA563" s="1187"/>
      <c r="AB563" s="1252" t="s">
        <v>1130</v>
      </c>
      <c r="AC563" s="1191"/>
      <c r="AD563" s="1191"/>
      <c r="AE563" s="1193"/>
      <c r="AF563" s="2536"/>
      <c r="AG563" s="2537"/>
      <c r="AH563" s="2537"/>
      <c r="AI563" s="2916"/>
      <c r="AJ563" s="2537"/>
      <c r="AK563" s="2537"/>
      <c r="AL563" s="1996"/>
      <c r="AM563" s="1833"/>
      <c r="AN563" s="1833"/>
      <c r="AO563" s="1833"/>
      <c r="AP563" s="1833"/>
      <c r="AQ563" s="1833"/>
      <c r="AR563" s="1833"/>
      <c r="AS563" s="1833"/>
      <c r="AT563" s="1833"/>
      <c r="AU563" s="1833"/>
      <c r="AV563" s="1833"/>
      <c r="AW563" s="1833"/>
      <c r="AX563" s="1833"/>
      <c r="AY563" s="1833"/>
      <c r="AZ563" s="1833"/>
      <c r="BA563" s="1833"/>
      <c r="BB563" s="1833"/>
      <c r="BC563" s="1833"/>
      <c r="BD563" s="1833"/>
      <c r="BE563" s="1833"/>
      <c r="BF563" s="1833"/>
      <c r="BG563" s="1646"/>
    </row>
    <row customHeight="1" ht="11.25">
      <c r="A564" s="1177" t="s">
        <v>1088</v>
      </c>
      <c r="B564" s="1177"/>
      <c r="C564" s="1177"/>
      <c r="D564" s="1171"/>
      <c r="E564" s="1181"/>
      <c r="F564" s="1839"/>
      <c r="G564" s="1840"/>
      <c r="H564" s="2545" t="s">
        <v>122</v>
      </c>
      <c r="I564" s="2546"/>
      <c r="J564" s="2515"/>
      <c r="K564" s="2547"/>
      <c r="L564" s="2137"/>
      <c r="M564" s="2138"/>
      <c r="N564" s="1186"/>
      <c r="O564" s="1187"/>
      <c r="P564" s="1179" t="s">
        <v>1131</v>
      </c>
      <c r="Q564" s="1187"/>
      <c r="R564" s="1187"/>
      <c r="S564" s="1187"/>
      <c r="T564" s="1187"/>
      <c r="U564" s="1187"/>
      <c r="V564" s="1187"/>
      <c r="W564" s="1187"/>
      <c r="X564" s="1187"/>
      <c r="Y564" s="1187"/>
      <c r="Z564" s="1187"/>
      <c r="AA564" s="1187"/>
      <c r="AB564" s="1187"/>
      <c r="AC564" s="1187"/>
      <c r="AD564" s="1187"/>
      <c r="AE564" s="1194"/>
      <c r="AF564" s="2536"/>
      <c r="AG564" s="2537"/>
      <c r="AH564" s="2537"/>
      <c r="AI564" s="2916"/>
      <c r="AJ564" s="2537"/>
      <c r="AK564" s="2537"/>
      <c r="AL564" s="1996"/>
      <c r="AM564" s="1833"/>
      <c r="AN564" s="1833"/>
      <c r="AO564" s="1833"/>
      <c r="AP564" s="1833"/>
      <c r="AQ564" s="1833"/>
      <c r="AR564" s="1833"/>
      <c r="AS564" s="1833"/>
      <c r="AT564" s="1833"/>
      <c r="AU564" s="1833"/>
      <c r="AV564" s="1833"/>
      <c r="AW564" s="1833"/>
      <c r="AX564" s="1833"/>
      <c r="AY564" s="1833"/>
      <c r="AZ564" s="1833"/>
      <c r="BA564" s="1833"/>
      <c r="BB564" s="1833"/>
      <c r="BC564" s="1833"/>
      <c r="BD564" s="1833"/>
      <c r="BE564" s="1833"/>
      <c r="BF564" s="1833"/>
      <c r="BG564" s="1646"/>
    </row>
    <row customHeight="1" ht="11.25">
      <c r="A565" s="1177" t="s">
        <v>1088</v>
      </c>
      <c r="B565" s="1177" t="s">
        <v>1155</v>
      </c>
      <c r="C565" s="1177"/>
      <c r="D565" s="1171"/>
      <c r="E565" s="1181"/>
      <c r="F565" s="1839"/>
      <c r="G565" s="694" t="s">
        <v>105</v>
      </c>
      <c r="H565" s="2545" t="s">
        <v>165</v>
      </c>
      <c r="I565" s="2546" t="s">
        <v>1156</v>
      </c>
      <c r="J565" s="2515" t="s">
        <v>1157</v>
      </c>
      <c r="K565" s="2547" t="s">
        <v>1158</v>
      </c>
      <c r="L565" s="2137" t="s">
        <v>19</v>
      </c>
      <c r="M565" s="2138"/>
      <c r="N565" s="1994"/>
      <c r="O565" s="1188" t="s">
        <v>390</v>
      </c>
      <c r="P565" s="1189"/>
      <c r="Q565" s="1189"/>
      <c r="R565" s="1189"/>
      <c r="S565" s="1189"/>
      <c r="T565" s="1189"/>
      <c r="U565" s="1189"/>
      <c r="V565" s="1189"/>
      <c r="W565" s="1189"/>
      <c r="X565" s="1189"/>
      <c r="Y565" s="1189"/>
      <c r="Z565" s="1189"/>
      <c r="AA565" s="1189"/>
      <c r="AB565" s="1189"/>
      <c r="AC565" s="1189"/>
      <c r="AD565" s="1189"/>
      <c r="AE565" s="1189"/>
      <c r="AF565" s="2536">
        <v>2028</v>
      </c>
      <c r="AG565" s="2537" t="s">
        <v>1122</v>
      </c>
      <c r="AH565" s="2537" t="s">
        <v>1153</v>
      </c>
      <c r="AI565" s="2916"/>
      <c r="AJ565" s="2537" t="s">
        <v>1154</v>
      </c>
      <c r="AK565" s="2537" t="s">
        <v>1154</v>
      </c>
      <c r="AL565" s="1996"/>
      <c r="AM565" s="1833"/>
      <c r="AN565" s="1833"/>
      <c r="AO565" s="1833"/>
      <c r="AP565" s="1833"/>
      <c r="AQ565" s="1833"/>
      <c r="AR565" s="1833"/>
      <c r="AS565" s="1833"/>
      <c r="AT565" s="1833"/>
      <c r="AU565" s="1833"/>
      <c r="AV565" s="1833"/>
      <c r="AW565" s="1833"/>
      <c r="AX565" s="1833"/>
      <c r="AY565" s="1833"/>
      <c r="AZ565" s="1833"/>
      <c r="BA565" s="1833"/>
      <c r="BB565" s="1833"/>
      <c r="BC565" s="1833"/>
      <c r="BD565" s="1833"/>
      <c r="BE565" s="1833"/>
      <c r="BF565" s="1833"/>
      <c r="BG565" s="1646"/>
    </row>
    <row customHeight="1" ht="11.25">
      <c r="A566" s="1177" t="s">
        <v>1088</v>
      </c>
      <c r="B566" s="1177"/>
      <c r="C566" s="1177"/>
      <c r="D566" s="1171"/>
      <c r="E566" s="1181"/>
      <c r="F566" s="1839"/>
      <c r="G566" s="1840"/>
      <c r="H566" s="2545" t="s">
        <v>164</v>
      </c>
      <c r="I566" s="2546"/>
      <c r="J566" s="2515"/>
      <c r="K566" s="2547"/>
      <c r="L566" s="2137"/>
      <c r="M566" s="2138"/>
      <c r="N566" s="2538"/>
      <c r="O566" s="2539">
        <v>1</v>
      </c>
      <c r="P566" s="2540" t="s">
        <v>63</v>
      </c>
      <c r="Q566" s="2913" t="s">
        <v>1238</v>
      </c>
      <c r="R566" s="2914" t="s">
        <v>1124</v>
      </c>
      <c r="S566" s="2914" t="s">
        <v>101</v>
      </c>
      <c r="T566" s="2914" t="s">
        <v>101</v>
      </c>
      <c r="U566" s="2914" t="s">
        <v>102</v>
      </c>
      <c r="V566" s="2914" t="s">
        <v>1125</v>
      </c>
      <c r="W566" s="2914" t="s">
        <v>1126</v>
      </c>
      <c r="X566" s="2914" t="s">
        <v>1239</v>
      </c>
      <c r="Y566" s="2914" t="s">
        <v>93</v>
      </c>
      <c r="Z566" s="1186"/>
      <c r="AA566" s="1187"/>
      <c r="AB566" s="1187"/>
      <c r="AC566" s="1191"/>
      <c r="AD566" s="1191"/>
      <c r="AE566" s="1192"/>
      <c r="AF566" s="2536"/>
      <c r="AG566" s="2537"/>
      <c r="AH566" s="2537"/>
      <c r="AI566" s="2916"/>
      <c r="AJ566" s="2537"/>
      <c r="AK566" s="2537"/>
      <c r="AL566" s="1996"/>
      <c r="AM566" s="1833"/>
      <c r="AN566" s="1833"/>
      <c r="AO566" s="1833"/>
      <c r="AP566" s="1833"/>
      <c r="AQ566" s="1833"/>
      <c r="AR566" s="1833"/>
      <c r="AS566" s="1833"/>
      <c r="AT566" s="1833"/>
      <c r="AU566" s="1833"/>
      <c r="AV566" s="1833"/>
      <c r="AW566" s="1833"/>
      <c r="AX566" s="1833"/>
      <c r="AY566" s="1833"/>
      <c r="AZ566" s="1833"/>
      <c r="BA566" s="1833"/>
      <c r="BB566" s="1833"/>
      <c r="BC566" s="1833"/>
      <c r="BD566" s="1833"/>
      <c r="BE566" s="1833"/>
      <c r="BF566" s="1833"/>
      <c r="BG566" s="1646"/>
    </row>
    <row customHeight="1" ht="11.25">
      <c r="A567" s="1177" t="s">
        <v>1088</v>
      </c>
      <c r="B567" s="1177"/>
      <c r="C567" s="1177"/>
      <c r="D567" s="1171"/>
      <c r="E567" s="1181"/>
      <c r="F567" s="1839"/>
      <c r="G567" s="1840"/>
      <c r="H567" s="2545" t="s">
        <v>164</v>
      </c>
      <c r="I567" s="2546"/>
      <c r="J567" s="2515"/>
      <c r="K567" s="2547"/>
      <c r="L567" s="2137"/>
      <c r="M567" s="2138"/>
      <c r="N567" s="2538"/>
      <c r="O567" s="2539"/>
      <c r="P567" s="2541"/>
      <c r="Q567" s="2913"/>
      <c r="R567" s="2543"/>
      <c r="S567" s="2544"/>
      <c r="T567" s="2543"/>
      <c r="U567" s="2543"/>
      <c r="V567" s="2543"/>
      <c r="W567" s="2543"/>
      <c r="X567" s="2543"/>
      <c r="Y567" s="2543"/>
      <c r="Z567" s="1838"/>
      <c r="AA567" s="1804">
        <v>1</v>
      </c>
      <c r="AB567" s="1190" t="s">
        <v>1159</v>
      </c>
      <c r="AC567" s="1180">
        <v>5407.5</v>
      </c>
      <c r="AD567" s="1190" t="str">
        <f>AB567</f>
        <v>      Прочие амортизационные отчисления</v>
      </c>
      <c r="AE567" s="1180">
        <v>0</v>
      </c>
      <c r="AF567" s="2536"/>
      <c r="AG567" s="2537"/>
      <c r="AH567" s="2537"/>
      <c r="AI567" s="2916"/>
      <c r="AJ567" s="2537"/>
      <c r="AK567" s="2537"/>
      <c r="AL567" s="1996"/>
      <c r="AM567" s="1833"/>
      <c r="AN567" s="1833"/>
      <c r="AO567" s="1833"/>
      <c r="AP567" s="1833"/>
      <c r="AQ567" s="1833"/>
      <c r="AR567" s="1833"/>
      <c r="AS567" s="1833"/>
      <c r="AT567" s="1833"/>
      <c r="AU567" s="1833"/>
      <c r="AV567" s="1833"/>
      <c r="AW567" s="1833"/>
      <c r="AX567" s="1833"/>
      <c r="AY567" s="1833"/>
      <c r="AZ567" s="1833"/>
      <c r="BA567" s="1833"/>
      <c r="BB567" s="1833"/>
      <c r="BC567" s="1833"/>
      <c r="BD567" s="1833"/>
      <c r="BE567" s="1833"/>
      <c r="BF567" s="1833"/>
      <c r="BG567" s="1646"/>
    </row>
    <row customHeight="1" ht="11.25">
      <c r="A568" s="1177" t="s">
        <v>1088</v>
      </c>
      <c r="B568" s="1177"/>
      <c r="C568" s="1177"/>
      <c r="D568" s="1171"/>
      <c r="E568" s="1181"/>
      <c r="F568" s="1839"/>
      <c r="G568" s="1840"/>
      <c r="H568" s="2545" t="s">
        <v>164</v>
      </c>
      <c r="I568" s="2546"/>
      <c r="J568" s="2515"/>
      <c r="K568" s="2547"/>
      <c r="L568" s="2137"/>
      <c r="M568" s="2138"/>
      <c r="N568" s="2538"/>
      <c r="O568" s="2539"/>
      <c r="P568" s="2542"/>
      <c r="Q568" s="2913"/>
      <c r="R568" s="2543"/>
      <c r="S568" s="2544"/>
      <c r="T568" s="2543"/>
      <c r="U568" s="2543"/>
      <c r="V568" s="2543"/>
      <c r="W568" s="2543"/>
      <c r="X568" s="2543"/>
      <c r="Y568" s="2543"/>
      <c r="Z568" s="1186"/>
      <c r="AA568" s="1187"/>
      <c r="AB568" s="1252" t="s">
        <v>1130</v>
      </c>
      <c r="AC568" s="1191"/>
      <c r="AD568" s="1191"/>
      <c r="AE568" s="1193"/>
      <c r="AF568" s="2536"/>
      <c r="AG568" s="2537"/>
      <c r="AH568" s="2537"/>
      <c r="AI568" s="2916"/>
      <c r="AJ568" s="2537"/>
      <c r="AK568" s="2537"/>
      <c r="AL568" s="1996"/>
      <c r="AM568" s="1833"/>
      <c r="AN568" s="1833"/>
      <c r="AO568" s="1833"/>
      <c r="AP568" s="1833"/>
      <c r="AQ568" s="1833"/>
      <c r="AR568" s="1833"/>
      <c r="AS568" s="1833"/>
      <c r="AT568" s="1833"/>
      <c r="AU568" s="1833"/>
      <c r="AV568" s="1833"/>
      <c r="AW568" s="1833"/>
      <c r="AX568" s="1833"/>
      <c r="AY568" s="1833"/>
      <c r="AZ568" s="1833"/>
      <c r="BA568" s="1833"/>
      <c r="BB568" s="1833"/>
      <c r="BC568" s="1833"/>
      <c r="BD568" s="1833"/>
      <c r="BE568" s="1833"/>
      <c r="BF568" s="1833"/>
      <c r="BG568" s="1646"/>
    </row>
    <row customHeight="1" ht="11.25">
      <c r="A569" s="1177" t="s">
        <v>1088</v>
      </c>
      <c r="B569" s="1177"/>
      <c r="C569" s="1177"/>
      <c r="D569" s="1171"/>
      <c r="E569" s="1181"/>
      <c r="F569" s="1839"/>
      <c r="G569" s="1840"/>
      <c r="H569" s="2545" t="s">
        <v>164</v>
      </c>
      <c r="I569" s="2546"/>
      <c r="J569" s="2515"/>
      <c r="K569" s="2547"/>
      <c r="L569" s="2137"/>
      <c r="M569" s="2138"/>
      <c r="N569" s="1186"/>
      <c r="O569" s="1187"/>
      <c r="P569" s="1179" t="s">
        <v>1131</v>
      </c>
      <c r="Q569" s="1187"/>
      <c r="R569" s="1187"/>
      <c r="S569" s="1187"/>
      <c r="T569" s="1187"/>
      <c r="U569" s="1187"/>
      <c r="V569" s="1187"/>
      <c r="W569" s="1187"/>
      <c r="X569" s="1187"/>
      <c r="Y569" s="1187"/>
      <c r="Z569" s="1187"/>
      <c r="AA569" s="1187"/>
      <c r="AB569" s="1187"/>
      <c r="AC569" s="1187"/>
      <c r="AD569" s="1187"/>
      <c r="AE569" s="1194"/>
      <c r="AF569" s="2536"/>
      <c r="AG569" s="2537"/>
      <c r="AH569" s="2537"/>
      <c r="AI569" s="2916"/>
      <c r="AJ569" s="2537"/>
      <c r="AK569" s="2537"/>
      <c r="AL569" s="1996"/>
      <c r="AM569" s="1833"/>
      <c r="AN569" s="1833"/>
      <c r="AO569" s="1833"/>
      <c r="AP569" s="1833"/>
      <c r="AQ569" s="1833"/>
      <c r="AR569" s="1833"/>
      <c r="AS569" s="1833"/>
      <c r="AT569" s="1833"/>
      <c r="AU569" s="1833"/>
      <c r="AV569" s="1833"/>
      <c r="AW569" s="1833"/>
      <c r="AX569" s="1833"/>
      <c r="AY569" s="1833"/>
      <c r="AZ569" s="1833"/>
      <c r="BA569" s="1833"/>
      <c r="BB569" s="1833"/>
      <c r="BC569" s="1833"/>
      <c r="BD569" s="1833"/>
      <c r="BE569" s="1833"/>
      <c r="BF569" s="1833"/>
      <c r="BG569" s="1646"/>
    </row>
    <row customHeight="1" ht="11.25">
      <c r="A570" s="1177" t="s">
        <v>1088</v>
      </c>
      <c r="B570" s="1177" t="s">
        <v>1155</v>
      </c>
      <c r="C570" s="1177"/>
      <c r="D570" s="1171"/>
      <c r="E570" s="1181"/>
      <c r="F570" s="1839"/>
      <c r="G570" s="694" t="s">
        <v>105</v>
      </c>
      <c r="H570" s="2545" t="s">
        <v>166</v>
      </c>
      <c r="I570" s="2546" t="s">
        <v>1156</v>
      </c>
      <c r="J570" s="2515" t="s">
        <v>1157</v>
      </c>
      <c r="K570" s="2547" t="s">
        <v>1273</v>
      </c>
      <c r="L570" s="2137" t="s">
        <v>19</v>
      </c>
      <c r="M570" s="2138"/>
      <c r="N570" s="1994"/>
      <c r="O570" s="1188" t="s">
        <v>390</v>
      </c>
      <c r="P570" s="1189"/>
      <c r="Q570" s="1189"/>
      <c r="R570" s="1189"/>
      <c r="S570" s="1189"/>
      <c r="T570" s="1189"/>
      <c r="U570" s="1189"/>
      <c r="V570" s="1189"/>
      <c r="W570" s="1189"/>
      <c r="X570" s="1189"/>
      <c r="Y570" s="1189"/>
      <c r="Z570" s="1189"/>
      <c r="AA570" s="1189"/>
      <c r="AB570" s="1189"/>
      <c r="AC570" s="1189"/>
      <c r="AD570" s="1189"/>
      <c r="AE570" s="1189"/>
      <c r="AF570" s="2536">
        <v>2028</v>
      </c>
      <c r="AG570" s="2537" t="s">
        <v>1122</v>
      </c>
      <c r="AH570" s="2537" t="s">
        <v>1153</v>
      </c>
      <c r="AI570" s="2916"/>
      <c r="AJ570" s="2537" t="s">
        <v>1154</v>
      </c>
      <c r="AK570" s="2537" t="s">
        <v>1154</v>
      </c>
      <c r="AL570" s="1996"/>
      <c r="AM570" s="1833"/>
      <c r="AN570" s="1833"/>
      <c r="AO570" s="1833"/>
      <c r="AP570" s="1833"/>
      <c r="AQ570" s="1833"/>
      <c r="AR570" s="1833"/>
      <c r="AS570" s="1833"/>
      <c r="AT570" s="1833"/>
      <c r="AU570" s="1833"/>
      <c r="AV570" s="1833"/>
      <c r="AW570" s="1833"/>
      <c r="AX570" s="1833"/>
      <c r="AY570" s="1833"/>
      <c r="AZ570" s="1833"/>
      <c r="BA570" s="1833"/>
      <c r="BB570" s="1833"/>
      <c r="BC570" s="1833"/>
      <c r="BD570" s="1833"/>
      <c r="BE570" s="1833"/>
      <c r="BF570" s="1833"/>
      <c r="BG570" s="1646"/>
    </row>
    <row customHeight="1" ht="11.25">
      <c r="A571" s="1177" t="s">
        <v>1088</v>
      </c>
      <c r="B571" s="1177"/>
      <c r="C571" s="1177"/>
      <c r="D571" s="1171"/>
      <c r="E571" s="1181"/>
      <c r="F571" s="1839"/>
      <c r="G571" s="1840"/>
      <c r="H571" s="2545" t="s">
        <v>165</v>
      </c>
      <c r="I571" s="2546"/>
      <c r="J571" s="2515"/>
      <c r="K571" s="2547"/>
      <c r="L571" s="2137"/>
      <c r="M571" s="2138"/>
      <c r="N571" s="2538"/>
      <c r="O571" s="2539">
        <v>1</v>
      </c>
      <c r="P571" s="2540" t="s">
        <v>19</v>
      </c>
      <c r="Q571" s="2543" t="s">
        <v>22</v>
      </c>
      <c r="R571" s="2543" t="s">
        <v>22</v>
      </c>
      <c r="S571" s="2543" t="s">
        <v>22</v>
      </c>
      <c r="T571" s="2543" t="s">
        <v>22</v>
      </c>
      <c r="U571" s="2543" t="s">
        <v>22</v>
      </c>
      <c r="V571" s="2543" t="s">
        <v>22</v>
      </c>
      <c r="W571" s="2543" t="s">
        <v>22</v>
      </c>
      <c r="X571" s="2543" t="s">
        <v>22</v>
      </c>
      <c r="Y571" s="2543"/>
      <c r="Z571" s="1186"/>
      <c r="AA571" s="1187"/>
      <c r="AB571" s="1187"/>
      <c r="AC571" s="1191"/>
      <c r="AD571" s="1191"/>
      <c r="AE571" s="1192"/>
      <c r="AF571" s="2536"/>
      <c r="AG571" s="2537"/>
      <c r="AH571" s="2537"/>
      <c r="AI571" s="2916"/>
      <c r="AJ571" s="2537"/>
      <c r="AK571" s="2537"/>
      <c r="AL571" s="1996"/>
      <c r="AM571" s="1833"/>
      <c r="AN571" s="1833"/>
      <c r="AO571" s="1833"/>
      <c r="AP571" s="1833"/>
      <c r="AQ571" s="1833"/>
      <c r="AR571" s="1833"/>
      <c r="AS571" s="1833"/>
      <c r="AT571" s="1833"/>
      <c r="AU571" s="1833"/>
      <c r="AV571" s="1833"/>
      <c r="AW571" s="1833"/>
      <c r="AX571" s="1833"/>
      <c r="AY571" s="1833"/>
      <c r="AZ571" s="1833"/>
      <c r="BA571" s="1833"/>
      <c r="BB571" s="1833"/>
      <c r="BC571" s="1833"/>
      <c r="BD571" s="1833"/>
      <c r="BE571" s="1833"/>
      <c r="BF571" s="1833"/>
      <c r="BG571" s="1646"/>
    </row>
    <row customHeight="1" ht="11.25">
      <c r="A572" s="1177" t="s">
        <v>1088</v>
      </c>
      <c r="B572" s="1177"/>
      <c r="C572" s="1177"/>
      <c r="D572" s="1171"/>
      <c r="E572" s="1181"/>
      <c r="F572" s="1839"/>
      <c r="G572" s="1840"/>
      <c r="H572" s="2545" t="s">
        <v>165</v>
      </c>
      <c r="I572" s="2546"/>
      <c r="J572" s="2515"/>
      <c r="K572" s="2547"/>
      <c r="L572" s="2137"/>
      <c r="M572" s="2138"/>
      <c r="N572" s="2538"/>
      <c r="O572" s="2539"/>
      <c r="P572" s="2541"/>
      <c r="Q572" s="2543"/>
      <c r="R572" s="2543"/>
      <c r="S572" s="2544"/>
      <c r="T572" s="2543"/>
      <c r="U572" s="2543"/>
      <c r="V572" s="2543"/>
      <c r="W572" s="2543"/>
      <c r="X572" s="2543"/>
      <c r="Y572" s="2543"/>
      <c r="Z572" s="1838"/>
      <c r="AA572" s="1804">
        <v>1</v>
      </c>
      <c r="AB572" s="1190" t="s">
        <v>1159</v>
      </c>
      <c r="AC572" s="1180">
        <v>1000</v>
      </c>
      <c r="AD572" s="1190" t="str">
        <f>AB572</f>
        <v>      Прочие амортизационные отчисления</v>
      </c>
      <c r="AE572" s="1180">
        <v>0</v>
      </c>
      <c r="AF572" s="2536"/>
      <c r="AG572" s="2537"/>
      <c r="AH572" s="2537"/>
      <c r="AI572" s="2916"/>
      <c r="AJ572" s="2537"/>
      <c r="AK572" s="2537"/>
      <c r="AL572" s="1996"/>
      <c r="AM572" s="1833"/>
      <c r="AN572" s="1833"/>
      <c r="AO572" s="1833"/>
      <c r="AP572" s="1833"/>
      <c r="AQ572" s="1833"/>
      <c r="AR572" s="1833"/>
      <c r="AS572" s="1833"/>
      <c r="AT572" s="1833"/>
      <c r="AU572" s="1833"/>
      <c r="AV572" s="1833"/>
      <c r="AW572" s="1833"/>
      <c r="AX572" s="1833"/>
      <c r="AY572" s="1833"/>
      <c r="AZ572" s="1833"/>
      <c r="BA572" s="1833"/>
      <c r="BB572" s="1833"/>
      <c r="BC572" s="1833"/>
      <c r="BD572" s="1833"/>
      <c r="BE572" s="1833"/>
      <c r="BF572" s="1833"/>
      <c r="BG572" s="1646"/>
    </row>
    <row customHeight="1" ht="11.25">
      <c r="A573" s="1177" t="s">
        <v>1088</v>
      </c>
      <c r="B573" s="1177"/>
      <c r="C573" s="1177"/>
      <c r="D573" s="1171"/>
      <c r="E573" s="1181"/>
      <c r="F573" s="1839"/>
      <c r="G573" s="1840"/>
      <c r="H573" s="2545" t="s">
        <v>165</v>
      </c>
      <c r="I573" s="2546"/>
      <c r="J573" s="2515"/>
      <c r="K573" s="2547"/>
      <c r="L573" s="2137"/>
      <c r="M573" s="2138"/>
      <c r="N573" s="2538"/>
      <c r="O573" s="2539"/>
      <c r="P573" s="2542"/>
      <c r="Q573" s="2543"/>
      <c r="R573" s="2543"/>
      <c r="S573" s="2544"/>
      <c r="T573" s="2543"/>
      <c r="U573" s="2543"/>
      <c r="V573" s="2543"/>
      <c r="W573" s="2543"/>
      <c r="X573" s="2543"/>
      <c r="Y573" s="2543"/>
      <c r="Z573" s="1186"/>
      <c r="AA573" s="1187"/>
      <c r="AB573" s="1252" t="s">
        <v>1130</v>
      </c>
      <c r="AC573" s="1191"/>
      <c r="AD573" s="1191"/>
      <c r="AE573" s="1193"/>
      <c r="AF573" s="2536"/>
      <c r="AG573" s="2537"/>
      <c r="AH573" s="2537"/>
      <c r="AI573" s="2916"/>
      <c r="AJ573" s="2537"/>
      <c r="AK573" s="2537"/>
      <c r="AL573" s="1996"/>
      <c r="AM573" s="1833"/>
      <c r="AN573" s="1833"/>
      <c r="AO573" s="1833"/>
      <c r="AP573" s="1833"/>
      <c r="AQ573" s="1833"/>
      <c r="AR573" s="1833"/>
      <c r="AS573" s="1833"/>
      <c r="AT573" s="1833"/>
      <c r="AU573" s="1833"/>
      <c r="AV573" s="1833"/>
      <c r="AW573" s="1833"/>
      <c r="AX573" s="1833"/>
      <c r="AY573" s="1833"/>
      <c r="AZ573" s="1833"/>
      <c r="BA573" s="1833"/>
      <c r="BB573" s="1833"/>
      <c r="BC573" s="1833"/>
      <c r="BD573" s="1833"/>
      <c r="BE573" s="1833"/>
      <c r="BF573" s="1833"/>
      <c r="BG573" s="1646"/>
    </row>
    <row customHeight="1" ht="11.25">
      <c r="A574" s="1177" t="s">
        <v>1088</v>
      </c>
      <c r="B574" s="1177"/>
      <c r="C574" s="1177"/>
      <c r="D574" s="1171"/>
      <c r="E574" s="1181"/>
      <c r="F574" s="1839"/>
      <c r="G574" s="1840"/>
      <c r="H574" s="2545" t="s">
        <v>165</v>
      </c>
      <c r="I574" s="2546"/>
      <c r="J574" s="2515"/>
      <c r="K574" s="2547"/>
      <c r="L574" s="2137"/>
      <c r="M574" s="2138"/>
      <c r="N574" s="1186"/>
      <c r="O574" s="1187"/>
      <c r="P574" s="1179" t="s">
        <v>1131</v>
      </c>
      <c r="Q574" s="1187"/>
      <c r="R574" s="1187"/>
      <c r="S574" s="1187"/>
      <c r="T574" s="1187"/>
      <c r="U574" s="1187"/>
      <c r="V574" s="1187"/>
      <c r="W574" s="1187"/>
      <c r="X574" s="1187"/>
      <c r="Y574" s="1187"/>
      <c r="Z574" s="1187"/>
      <c r="AA574" s="1187"/>
      <c r="AB574" s="1187"/>
      <c r="AC574" s="1187"/>
      <c r="AD574" s="1187"/>
      <c r="AE574" s="1194"/>
      <c r="AF574" s="2536"/>
      <c r="AG574" s="2537"/>
      <c r="AH574" s="2537"/>
      <c r="AI574" s="2916"/>
      <c r="AJ574" s="2537"/>
      <c r="AK574" s="2537"/>
      <c r="AL574" s="1996"/>
      <c r="AM574" s="1833"/>
      <c r="AN574" s="1833"/>
      <c r="AO574" s="1833"/>
      <c r="AP574" s="1833"/>
      <c r="AQ574" s="1833"/>
      <c r="AR574" s="1833"/>
      <c r="AS574" s="1833"/>
      <c r="AT574" s="1833"/>
      <c r="AU574" s="1833"/>
      <c r="AV574" s="1833"/>
      <c r="AW574" s="1833"/>
      <c r="AX574" s="1833"/>
      <c r="AY574" s="1833"/>
      <c r="AZ574" s="1833"/>
      <c r="BA574" s="1833"/>
      <c r="BB574" s="1833"/>
      <c r="BC574" s="1833"/>
      <c r="BD574" s="1833"/>
      <c r="BE574" s="1833"/>
      <c r="BF574" s="1833"/>
      <c r="BG574" s="1646"/>
    </row>
    <row customHeight="1" ht="11.25">
      <c r="A575" s="1177" t="s">
        <v>1088</v>
      </c>
      <c r="B575" s="1177" t="s">
        <v>1155</v>
      </c>
      <c r="C575" s="1177"/>
      <c r="D575" s="1171"/>
      <c r="E575" s="1181"/>
      <c r="F575" s="1839"/>
      <c r="G575" s="694" t="s">
        <v>105</v>
      </c>
      <c r="H575" s="2545" t="s">
        <v>167</v>
      </c>
      <c r="I575" s="2546" t="s">
        <v>1156</v>
      </c>
      <c r="J575" s="2515" t="s">
        <v>1157</v>
      </c>
      <c r="K575" s="2547" t="s">
        <v>1274</v>
      </c>
      <c r="L575" s="2137" t="s">
        <v>19</v>
      </c>
      <c r="M575" s="2138"/>
      <c r="N575" s="1994"/>
      <c r="O575" s="1188" t="s">
        <v>390</v>
      </c>
      <c r="P575" s="1189"/>
      <c r="Q575" s="1189"/>
      <c r="R575" s="1189"/>
      <c r="S575" s="1189"/>
      <c r="T575" s="1189"/>
      <c r="U575" s="1189"/>
      <c r="V575" s="1189"/>
      <c r="W575" s="1189"/>
      <c r="X575" s="1189"/>
      <c r="Y575" s="1189"/>
      <c r="Z575" s="1189"/>
      <c r="AA575" s="1189"/>
      <c r="AB575" s="1189"/>
      <c r="AC575" s="1189"/>
      <c r="AD575" s="1189"/>
      <c r="AE575" s="1189"/>
      <c r="AF575" s="2536">
        <v>2028</v>
      </c>
      <c r="AG575" s="2537" t="s">
        <v>1122</v>
      </c>
      <c r="AH575" s="2537" t="s">
        <v>1153</v>
      </c>
      <c r="AI575" s="2916"/>
      <c r="AJ575" s="2537" t="s">
        <v>1154</v>
      </c>
      <c r="AK575" s="2537" t="s">
        <v>1154</v>
      </c>
      <c r="AL575" s="1996"/>
      <c r="AM575" s="1833"/>
      <c r="AN575" s="1833"/>
      <c r="AO575" s="1833"/>
      <c r="AP575" s="1833"/>
      <c r="AQ575" s="1833"/>
      <c r="AR575" s="1833"/>
      <c r="AS575" s="1833"/>
      <c r="AT575" s="1833"/>
      <c r="AU575" s="1833"/>
      <c r="AV575" s="1833"/>
      <c r="AW575" s="1833"/>
      <c r="AX575" s="1833"/>
      <c r="AY575" s="1833"/>
      <c r="AZ575" s="1833"/>
      <c r="BA575" s="1833"/>
      <c r="BB575" s="1833"/>
      <c r="BC575" s="1833"/>
      <c r="BD575" s="1833"/>
      <c r="BE575" s="1833"/>
      <c r="BF575" s="1833"/>
      <c r="BG575" s="1646"/>
    </row>
    <row customHeight="1" ht="11.25">
      <c r="A576" s="1177" t="s">
        <v>1088</v>
      </c>
      <c r="B576" s="1177"/>
      <c r="C576" s="1177"/>
      <c r="D576" s="1171"/>
      <c r="E576" s="1181"/>
      <c r="F576" s="1839"/>
      <c r="G576" s="1840"/>
      <c r="H576" s="2545" t="s">
        <v>166</v>
      </c>
      <c r="I576" s="2546"/>
      <c r="J576" s="2515"/>
      <c r="K576" s="2547"/>
      <c r="L576" s="2137"/>
      <c r="M576" s="2138"/>
      <c r="N576" s="2538"/>
      <c r="O576" s="2539">
        <v>1</v>
      </c>
      <c r="P576" s="2540" t="s">
        <v>19</v>
      </c>
      <c r="Q576" s="2543" t="s">
        <v>22</v>
      </c>
      <c r="R576" s="2543" t="s">
        <v>22</v>
      </c>
      <c r="S576" s="2543" t="s">
        <v>22</v>
      </c>
      <c r="T576" s="2543" t="s">
        <v>22</v>
      </c>
      <c r="U576" s="2543" t="s">
        <v>22</v>
      </c>
      <c r="V576" s="2543" t="s">
        <v>22</v>
      </c>
      <c r="W576" s="2543" t="s">
        <v>22</v>
      </c>
      <c r="X576" s="2543" t="s">
        <v>22</v>
      </c>
      <c r="Y576" s="2543"/>
      <c r="Z576" s="1186"/>
      <c r="AA576" s="1187"/>
      <c r="AB576" s="1187"/>
      <c r="AC576" s="1191"/>
      <c r="AD576" s="1191"/>
      <c r="AE576" s="1192"/>
      <c r="AF576" s="2536"/>
      <c r="AG576" s="2537"/>
      <c r="AH576" s="2537"/>
      <c r="AI576" s="2916"/>
      <c r="AJ576" s="2537"/>
      <c r="AK576" s="2537"/>
      <c r="AL576" s="1996"/>
      <c r="AM576" s="1833"/>
      <c r="AN576" s="1833"/>
      <c r="AO576" s="1833"/>
      <c r="AP576" s="1833"/>
      <c r="AQ576" s="1833"/>
      <c r="AR576" s="1833"/>
      <c r="AS576" s="1833"/>
      <c r="AT576" s="1833"/>
      <c r="AU576" s="1833"/>
      <c r="AV576" s="1833"/>
      <c r="AW576" s="1833"/>
      <c r="AX576" s="1833"/>
      <c r="AY576" s="1833"/>
      <c r="AZ576" s="1833"/>
      <c r="BA576" s="1833"/>
      <c r="BB576" s="1833"/>
      <c r="BC576" s="1833"/>
      <c r="BD576" s="1833"/>
      <c r="BE576" s="1833"/>
      <c r="BF576" s="1833"/>
      <c r="BG576" s="1646"/>
    </row>
    <row customHeight="1" ht="11.25">
      <c r="A577" s="1177" t="s">
        <v>1088</v>
      </c>
      <c r="B577" s="1177"/>
      <c r="C577" s="1177"/>
      <c r="D577" s="1171"/>
      <c r="E577" s="1181"/>
      <c r="F577" s="1839"/>
      <c r="G577" s="1840"/>
      <c r="H577" s="2545" t="s">
        <v>166</v>
      </c>
      <c r="I577" s="2546"/>
      <c r="J577" s="2515"/>
      <c r="K577" s="2547"/>
      <c r="L577" s="2137"/>
      <c r="M577" s="2138"/>
      <c r="N577" s="2538"/>
      <c r="O577" s="2539"/>
      <c r="P577" s="2541"/>
      <c r="Q577" s="2543"/>
      <c r="R577" s="2543"/>
      <c r="S577" s="2544"/>
      <c r="T577" s="2543"/>
      <c r="U577" s="2543"/>
      <c r="V577" s="2543"/>
      <c r="W577" s="2543"/>
      <c r="X577" s="2543"/>
      <c r="Y577" s="2543"/>
      <c r="Z577" s="1838"/>
      <c r="AA577" s="1804">
        <v>1</v>
      </c>
      <c r="AB577" s="1190" t="s">
        <v>1159</v>
      </c>
      <c r="AC577" s="1180">
        <v>1000</v>
      </c>
      <c r="AD577" s="1190" t="str">
        <f>AB577</f>
        <v>      Прочие амортизационные отчисления</v>
      </c>
      <c r="AE577" s="1180">
        <v>0</v>
      </c>
      <c r="AF577" s="2536"/>
      <c r="AG577" s="2537"/>
      <c r="AH577" s="2537"/>
      <c r="AI577" s="2916"/>
      <c r="AJ577" s="2537"/>
      <c r="AK577" s="2537"/>
      <c r="AL577" s="1996"/>
      <c r="AM577" s="1833"/>
      <c r="AN577" s="1833"/>
      <c r="AO577" s="1833"/>
      <c r="AP577" s="1833"/>
      <c r="AQ577" s="1833"/>
      <c r="AR577" s="1833"/>
      <c r="AS577" s="1833"/>
      <c r="AT577" s="1833"/>
      <c r="AU577" s="1833"/>
      <c r="AV577" s="1833"/>
      <c r="AW577" s="1833"/>
      <c r="AX577" s="1833"/>
      <c r="AY577" s="1833"/>
      <c r="AZ577" s="1833"/>
      <c r="BA577" s="1833"/>
      <c r="BB577" s="1833"/>
      <c r="BC577" s="1833"/>
      <c r="BD577" s="1833"/>
      <c r="BE577" s="1833"/>
      <c r="BF577" s="1833"/>
      <c r="BG577" s="1646"/>
    </row>
    <row customHeight="1" ht="11.25">
      <c r="A578" s="1177" t="s">
        <v>1088</v>
      </c>
      <c r="B578" s="1177"/>
      <c r="C578" s="1177"/>
      <c r="D578" s="1171"/>
      <c r="E578" s="1181"/>
      <c r="F578" s="1839"/>
      <c r="G578" s="1840"/>
      <c r="H578" s="2545" t="s">
        <v>166</v>
      </c>
      <c r="I578" s="2546"/>
      <c r="J578" s="2515"/>
      <c r="K578" s="2547"/>
      <c r="L578" s="2137"/>
      <c r="M578" s="2138"/>
      <c r="N578" s="2538"/>
      <c r="O578" s="2539"/>
      <c r="P578" s="2542"/>
      <c r="Q578" s="2543"/>
      <c r="R578" s="2543"/>
      <c r="S578" s="2544"/>
      <c r="T578" s="2543"/>
      <c r="U578" s="2543"/>
      <c r="V578" s="2543"/>
      <c r="W578" s="2543"/>
      <c r="X578" s="2543"/>
      <c r="Y578" s="2543"/>
      <c r="Z578" s="1186"/>
      <c r="AA578" s="1187"/>
      <c r="AB578" s="1252" t="s">
        <v>1130</v>
      </c>
      <c r="AC578" s="1191"/>
      <c r="AD578" s="1191"/>
      <c r="AE578" s="1193"/>
      <c r="AF578" s="2536"/>
      <c r="AG578" s="2537"/>
      <c r="AH578" s="2537"/>
      <c r="AI578" s="2916"/>
      <c r="AJ578" s="2537"/>
      <c r="AK578" s="2537"/>
      <c r="AL578" s="1996"/>
      <c r="AM578" s="1833"/>
      <c r="AN578" s="1833"/>
      <c r="AO578" s="1833"/>
      <c r="AP578" s="1833"/>
      <c r="AQ578" s="1833"/>
      <c r="AR578" s="1833"/>
      <c r="AS578" s="1833"/>
      <c r="AT578" s="1833"/>
      <c r="AU578" s="1833"/>
      <c r="AV578" s="1833"/>
      <c r="AW578" s="1833"/>
      <c r="AX578" s="1833"/>
      <c r="AY578" s="1833"/>
      <c r="AZ578" s="1833"/>
      <c r="BA578" s="1833"/>
      <c r="BB578" s="1833"/>
      <c r="BC578" s="1833"/>
      <c r="BD578" s="1833"/>
      <c r="BE578" s="1833"/>
      <c r="BF578" s="1833"/>
      <c r="BG578" s="1646"/>
    </row>
    <row customHeight="1" ht="11.25">
      <c r="A579" s="1177" t="s">
        <v>1088</v>
      </c>
      <c r="B579" s="1177"/>
      <c r="C579" s="1177"/>
      <c r="D579" s="1171"/>
      <c r="E579" s="1181"/>
      <c r="F579" s="1839"/>
      <c r="G579" s="1840"/>
      <c r="H579" s="2545" t="s">
        <v>166</v>
      </c>
      <c r="I579" s="2546"/>
      <c r="J579" s="2515"/>
      <c r="K579" s="2547"/>
      <c r="L579" s="2137"/>
      <c r="M579" s="2138"/>
      <c r="N579" s="1186"/>
      <c r="O579" s="1187"/>
      <c r="P579" s="1179" t="s">
        <v>1131</v>
      </c>
      <c r="Q579" s="1187"/>
      <c r="R579" s="1187"/>
      <c r="S579" s="1187"/>
      <c r="T579" s="1187"/>
      <c r="U579" s="1187"/>
      <c r="V579" s="1187"/>
      <c r="W579" s="1187"/>
      <c r="X579" s="1187"/>
      <c r="Y579" s="1187"/>
      <c r="Z579" s="1187"/>
      <c r="AA579" s="1187"/>
      <c r="AB579" s="1187"/>
      <c r="AC579" s="1187"/>
      <c r="AD579" s="1187"/>
      <c r="AE579" s="1194"/>
      <c r="AF579" s="2536"/>
      <c r="AG579" s="2537"/>
      <c r="AH579" s="2537"/>
      <c r="AI579" s="2916"/>
      <c r="AJ579" s="2537"/>
      <c r="AK579" s="2537"/>
      <c r="AL579" s="1996"/>
      <c r="AM579" s="1833"/>
      <c r="AN579" s="1833"/>
      <c r="AO579" s="1833"/>
      <c r="AP579" s="1833"/>
      <c r="AQ579" s="1833"/>
      <c r="AR579" s="1833"/>
      <c r="AS579" s="1833"/>
      <c r="AT579" s="1833"/>
      <c r="AU579" s="1833"/>
      <c r="AV579" s="1833"/>
      <c r="AW579" s="1833"/>
      <c r="AX579" s="1833"/>
      <c r="AY579" s="1833"/>
      <c r="AZ579" s="1833"/>
      <c r="BA579" s="1833"/>
      <c r="BB579" s="1833"/>
      <c r="BC579" s="1833"/>
      <c r="BD579" s="1833"/>
      <c r="BE579" s="1833"/>
      <c r="BF579" s="1833"/>
      <c r="BG579" s="1646"/>
    </row>
    <row customHeight="1" ht="11.25">
      <c r="A580" s="1177" t="s">
        <v>1088</v>
      </c>
      <c r="B580" s="1177" t="s">
        <v>1155</v>
      </c>
      <c r="C580" s="1177"/>
      <c r="D580" s="1171"/>
      <c r="E580" s="1181"/>
      <c r="F580" s="1839"/>
      <c r="G580" s="694" t="s">
        <v>105</v>
      </c>
      <c r="H580" s="2545" t="s">
        <v>168</v>
      </c>
      <c r="I580" s="2546" t="s">
        <v>1156</v>
      </c>
      <c r="J580" s="2515" t="s">
        <v>1157</v>
      </c>
      <c r="K580" s="2547" t="s">
        <v>1275</v>
      </c>
      <c r="L580" s="2137" t="s">
        <v>19</v>
      </c>
      <c r="M580" s="2138"/>
      <c r="N580" s="1994"/>
      <c r="O580" s="1188" t="s">
        <v>390</v>
      </c>
      <c r="P580" s="1189"/>
      <c r="Q580" s="1189"/>
      <c r="R580" s="1189"/>
      <c r="S580" s="1189"/>
      <c r="T580" s="1189"/>
      <c r="U580" s="1189"/>
      <c r="V580" s="1189"/>
      <c r="W580" s="1189"/>
      <c r="X580" s="1189"/>
      <c r="Y580" s="1189"/>
      <c r="Z580" s="1189"/>
      <c r="AA580" s="1189"/>
      <c r="AB580" s="1189"/>
      <c r="AC580" s="1189"/>
      <c r="AD580" s="1189"/>
      <c r="AE580" s="1189"/>
      <c r="AF580" s="2536">
        <v>2028</v>
      </c>
      <c r="AG580" s="2537" t="s">
        <v>1122</v>
      </c>
      <c r="AH580" s="2537" t="s">
        <v>1153</v>
      </c>
      <c r="AI580" s="2916"/>
      <c r="AJ580" s="2537" t="s">
        <v>1154</v>
      </c>
      <c r="AK580" s="2537" t="s">
        <v>1154</v>
      </c>
      <c r="AL580" s="1996"/>
      <c r="AM580" s="1833"/>
      <c r="AN580" s="1833"/>
      <c r="AO580" s="1833"/>
      <c r="AP580" s="1833"/>
      <c r="AQ580" s="1833"/>
      <c r="AR580" s="1833"/>
      <c r="AS580" s="1833"/>
      <c r="AT580" s="1833"/>
      <c r="AU580" s="1833"/>
      <c r="AV580" s="1833"/>
      <c r="AW580" s="1833"/>
      <c r="AX580" s="1833"/>
      <c r="AY580" s="1833"/>
      <c r="AZ580" s="1833"/>
      <c r="BA580" s="1833"/>
      <c r="BB580" s="1833"/>
      <c r="BC580" s="1833"/>
      <c r="BD580" s="1833"/>
      <c r="BE580" s="1833"/>
      <c r="BF580" s="1833"/>
      <c r="BG580" s="1646"/>
    </row>
    <row customHeight="1" ht="11.25">
      <c r="A581" s="1177" t="s">
        <v>1088</v>
      </c>
      <c r="B581" s="1177"/>
      <c r="C581" s="1177"/>
      <c r="D581" s="1171"/>
      <c r="E581" s="1181"/>
      <c r="F581" s="1839"/>
      <c r="G581" s="1840"/>
      <c r="H581" s="2545" t="s">
        <v>167</v>
      </c>
      <c r="I581" s="2546"/>
      <c r="J581" s="2515"/>
      <c r="K581" s="2547"/>
      <c r="L581" s="2137"/>
      <c r="M581" s="2138"/>
      <c r="N581" s="2538"/>
      <c r="O581" s="2539">
        <v>1</v>
      </c>
      <c r="P581" s="2540" t="s">
        <v>19</v>
      </c>
      <c r="Q581" s="2543" t="s">
        <v>22</v>
      </c>
      <c r="R581" s="2543" t="s">
        <v>22</v>
      </c>
      <c r="S581" s="2543" t="s">
        <v>22</v>
      </c>
      <c r="T581" s="2543" t="s">
        <v>22</v>
      </c>
      <c r="U581" s="2543" t="s">
        <v>22</v>
      </c>
      <c r="V581" s="2543" t="s">
        <v>22</v>
      </c>
      <c r="W581" s="2543" t="s">
        <v>22</v>
      </c>
      <c r="X581" s="2543" t="s">
        <v>22</v>
      </c>
      <c r="Y581" s="2543"/>
      <c r="Z581" s="1186"/>
      <c r="AA581" s="1187"/>
      <c r="AB581" s="1187"/>
      <c r="AC581" s="1191"/>
      <c r="AD581" s="1191"/>
      <c r="AE581" s="1192"/>
      <c r="AF581" s="2536"/>
      <c r="AG581" s="2537"/>
      <c r="AH581" s="2537"/>
      <c r="AI581" s="2916"/>
      <c r="AJ581" s="2537"/>
      <c r="AK581" s="2537"/>
      <c r="AL581" s="1996"/>
      <c r="AM581" s="1833"/>
      <c r="AN581" s="1833"/>
      <c r="AO581" s="1833"/>
      <c r="AP581" s="1833"/>
      <c r="AQ581" s="1833"/>
      <c r="AR581" s="1833"/>
      <c r="AS581" s="1833"/>
      <c r="AT581" s="1833"/>
      <c r="AU581" s="1833"/>
      <c r="AV581" s="1833"/>
      <c r="AW581" s="1833"/>
      <c r="AX581" s="1833"/>
      <c r="AY581" s="1833"/>
      <c r="AZ581" s="1833"/>
      <c r="BA581" s="1833"/>
      <c r="BB581" s="1833"/>
      <c r="BC581" s="1833"/>
      <c r="BD581" s="1833"/>
      <c r="BE581" s="1833"/>
      <c r="BF581" s="1833"/>
      <c r="BG581" s="1646"/>
    </row>
    <row customHeight="1" ht="11.25">
      <c r="A582" s="1177" t="s">
        <v>1088</v>
      </c>
      <c r="B582" s="1177"/>
      <c r="C582" s="1177"/>
      <c r="D582" s="1171"/>
      <c r="E582" s="1181"/>
      <c r="F582" s="1839"/>
      <c r="G582" s="1840"/>
      <c r="H582" s="2545" t="s">
        <v>167</v>
      </c>
      <c r="I582" s="2546"/>
      <c r="J582" s="2515"/>
      <c r="K582" s="2547"/>
      <c r="L582" s="2137"/>
      <c r="M582" s="2138"/>
      <c r="N582" s="2538"/>
      <c r="O582" s="2539"/>
      <c r="P582" s="2541"/>
      <c r="Q582" s="2543"/>
      <c r="R582" s="2543"/>
      <c r="S582" s="2544"/>
      <c r="T582" s="2543"/>
      <c r="U582" s="2543"/>
      <c r="V582" s="2543"/>
      <c r="W582" s="2543"/>
      <c r="X582" s="2543"/>
      <c r="Y582" s="2543"/>
      <c r="Z582" s="1838"/>
      <c r="AA582" s="1804">
        <v>1</v>
      </c>
      <c r="AB582" s="1190" t="s">
        <v>1159</v>
      </c>
      <c r="AC582" s="1180">
        <v>5392.77</v>
      </c>
      <c r="AD582" s="1190" t="str">
        <f>AB582</f>
        <v>      Прочие амортизационные отчисления</v>
      </c>
      <c r="AE582" s="1180">
        <v>0</v>
      </c>
      <c r="AF582" s="2536"/>
      <c r="AG582" s="2537"/>
      <c r="AH582" s="2537"/>
      <c r="AI582" s="2916"/>
      <c r="AJ582" s="2537"/>
      <c r="AK582" s="2537"/>
      <c r="AL582" s="1996"/>
      <c r="AM582" s="1833"/>
      <c r="AN582" s="1833"/>
      <c r="AO582" s="1833"/>
      <c r="AP582" s="1833"/>
      <c r="AQ582" s="1833"/>
      <c r="AR582" s="1833"/>
      <c r="AS582" s="1833"/>
      <c r="AT582" s="1833"/>
      <c r="AU582" s="1833"/>
      <c r="AV582" s="1833"/>
      <c r="AW582" s="1833"/>
      <c r="AX582" s="1833"/>
      <c r="AY582" s="1833"/>
      <c r="AZ582" s="1833"/>
      <c r="BA582" s="1833"/>
      <c r="BB582" s="1833"/>
      <c r="BC582" s="1833"/>
      <c r="BD582" s="1833"/>
      <c r="BE582" s="1833"/>
      <c r="BF582" s="1833"/>
      <c r="BG582" s="1646"/>
    </row>
    <row customHeight="1" ht="11.25">
      <c r="A583" s="1177" t="s">
        <v>1088</v>
      </c>
      <c r="B583" s="1177"/>
      <c r="C583" s="1177"/>
      <c r="D583" s="1171"/>
      <c r="E583" s="1181"/>
      <c r="F583" s="1839"/>
      <c r="G583" s="1840"/>
      <c r="H583" s="2545" t="s">
        <v>167</v>
      </c>
      <c r="I583" s="2546"/>
      <c r="J583" s="2515"/>
      <c r="K583" s="2547"/>
      <c r="L583" s="2137"/>
      <c r="M583" s="2138"/>
      <c r="N583" s="2538"/>
      <c r="O583" s="2539"/>
      <c r="P583" s="2542"/>
      <c r="Q583" s="2543"/>
      <c r="R583" s="2543"/>
      <c r="S583" s="2544"/>
      <c r="T583" s="2543"/>
      <c r="U583" s="2543"/>
      <c r="V583" s="2543"/>
      <c r="W583" s="2543"/>
      <c r="X583" s="2543"/>
      <c r="Y583" s="2543"/>
      <c r="Z583" s="1186"/>
      <c r="AA583" s="1187"/>
      <c r="AB583" s="1252" t="s">
        <v>1130</v>
      </c>
      <c r="AC583" s="1191"/>
      <c r="AD583" s="1191"/>
      <c r="AE583" s="1193"/>
      <c r="AF583" s="2536"/>
      <c r="AG583" s="2537"/>
      <c r="AH583" s="2537"/>
      <c r="AI583" s="2916"/>
      <c r="AJ583" s="2537"/>
      <c r="AK583" s="2537"/>
      <c r="AL583" s="1996"/>
      <c r="AM583" s="1833"/>
      <c r="AN583" s="1833"/>
      <c r="AO583" s="1833"/>
      <c r="AP583" s="1833"/>
      <c r="AQ583" s="1833"/>
      <c r="AR583" s="1833"/>
      <c r="AS583" s="1833"/>
      <c r="AT583" s="1833"/>
      <c r="AU583" s="1833"/>
      <c r="AV583" s="1833"/>
      <c r="AW583" s="1833"/>
      <c r="AX583" s="1833"/>
      <c r="AY583" s="1833"/>
      <c r="AZ583" s="1833"/>
      <c r="BA583" s="1833"/>
      <c r="BB583" s="1833"/>
      <c r="BC583" s="1833"/>
      <c r="BD583" s="1833"/>
      <c r="BE583" s="1833"/>
      <c r="BF583" s="1833"/>
      <c r="BG583" s="1646"/>
    </row>
    <row customHeight="1" ht="11.25">
      <c r="A584" s="1177" t="s">
        <v>1088</v>
      </c>
      <c r="B584" s="1177"/>
      <c r="C584" s="1177"/>
      <c r="D584" s="1171"/>
      <c r="E584" s="1181"/>
      <c r="F584" s="1839"/>
      <c r="G584" s="1840"/>
      <c r="H584" s="2545" t="s">
        <v>167</v>
      </c>
      <c r="I584" s="2546"/>
      <c r="J584" s="2515"/>
      <c r="K584" s="2547"/>
      <c r="L584" s="2137"/>
      <c r="M584" s="2138"/>
      <c r="N584" s="1186"/>
      <c r="O584" s="1187"/>
      <c r="P584" s="1179" t="s">
        <v>1131</v>
      </c>
      <c r="Q584" s="1187"/>
      <c r="R584" s="1187"/>
      <c r="S584" s="1187"/>
      <c r="T584" s="1187"/>
      <c r="U584" s="1187"/>
      <c r="V584" s="1187"/>
      <c r="W584" s="1187"/>
      <c r="X584" s="1187"/>
      <c r="Y584" s="1187"/>
      <c r="Z584" s="1187"/>
      <c r="AA584" s="1187"/>
      <c r="AB584" s="1187"/>
      <c r="AC584" s="1187"/>
      <c r="AD584" s="1187"/>
      <c r="AE584" s="1194"/>
      <c r="AF584" s="2536"/>
      <c r="AG584" s="2537"/>
      <c r="AH584" s="2537"/>
      <c r="AI584" s="2916"/>
      <c r="AJ584" s="2537"/>
      <c r="AK584" s="2537"/>
      <c r="AL584" s="1996"/>
      <c r="AM584" s="1833"/>
      <c r="AN584" s="1833"/>
      <c r="AO584" s="1833"/>
      <c r="AP584" s="1833"/>
      <c r="AQ584" s="1833"/>
      <c r="AR584" s="1833"/>
      <c r="AS584" s="1833"/>
      <c r="AT584" s="1833"/>
      <c r="AU584" s="1833"/>
      <c r="AV584" s="1833"/>
      <c r="AW584" s="1833"/>
      <c r="AX584" s="1833"/>
      <c r="AY584" s="1833"/>
      <c r="AZ584" s="1833"/>
      <c r="BA584" s="1833"/>
      <c r="BB584" s="1833"/>
      <c r="BC584" s="1833"/>
      <c r="BD584" s="1833"/>
      <c r="BE584" s="1833"/>
      <c r="BF584" s="1833"/>
      <c r="BG584" s="1646"/>
    </row>
    <row customHeight="1" ht="11.25">
      <c r="A585" s="1177" t="s">
        <v>1088</v>
      </c>
      <c r="B585" s="1177" t="s">
        <v>1155</v>
      </c>
      <c r="C585" s="1177"/>
      <c r="D585" s="1171"/>
      <c r="E585" s="1181"/>
      <c r="F585" s="1839"/>
      <c r="G585" s="694" t="s">
        <v>105</v>
      </c>
      <c r="H585" s="2545" t="s">
        <v>169</v>
      </c>
      <c r="I585" s="2546" t="s">
        <v>1156</v>
      </c>
      <c r="J585" s="2515" t="s">
        <v>1157</v>
      </c>
      <c r="K585" s="2547" t="s">
        <v>1276</v>
      </c>
      <c r="L585" s="2137" t="s">
        <v>19</v>
      </c>
      <c r="M585" s="2138"/>
      <c r="N585" s="1994"/>
      <c r="O585" s="1188" t="s">
        <v>390</v>
      </c>
      <c r="P585" s="1189"/>
      <c r="Q585" s="1189"/>
      <c r="R585" s="1189"/>
      <c r="S585" s="1189"/>
      <c r="T585" s="1189"/>
      <c r="U585" s="1189"/>
      <c r="V585" s="1189"/>
      <c r="W585" s="1189"/>
      <c r="X585" s="1189"/>
      <c r="Y585" s="1189"/>
      <c r="Z585" s="1189"/>
      <c r="AA585" s="1189"/>
      <c r="AB585" s="1189"/>
      <c r="AC585" s="1189"/>
      <c r="AD585" s="1189"/>
      <c r="AE585" s="1189"/>
      <c r="AF585" s="2536">
        <v>2028</v>
      </c>
      <c r="AG585" s="2537" t="s">
        <v>1122</v>
      </c>
      <c r="AH585" s="2537" t="s">
        <v>1153</v>
      </c>
      <c r="AI585" s="2916"/>
      <c r="AJ585" s="2537" t="s">
        <v>1154</v>
      </c>
      <c r="AK585" s="2537" t="s">
        <v>1154</v>
      </c>
      <c r="AL585" s="1996"/>
      <c r="AM585" s="1833"/>
      <c r="AN585" s="1833"/>
      <c r="AO585" s="1833"/>
      <c r="AP585" s="1833"/>
      <c r="AQ585" s="1833"/>
      <c r="AR585" s="1833"/>
      <c r="AS585" s="1833"/>
      <c r="AT585" s="1833"/>
      <c r="AU585" s="1833"/>
      <c r="AV585" s="1833"/>
      <c r="AW585" s="1833"/>
      <c r="AX585" s="1833"/>
      <c r="AY585" s="1833"/>
      <c r="AZ585" s="1833"/>
      <c r="BA585" s="1833"/>
      <c r="BB585" s="1833"/>
      <c r="BC585" s="1833"/>
      <c r="BD585" s="1833"/>
      <c r="BE585" s="1833"/>
      <c r="BF585" s="1833"/>
      <c r="BG585" s="1646"/>
    </row>
    <row customHeight="1" ht="11.25">
      <c r="A586" s="1177" t="s">
        <v>1088</v>
      </c>
      <c r="B586" s="1177"/>
      <c r="C586" s="1177"/>
      <c r="D586" s="1171"/>
      <c r="E586" s="1181"/>
      <c r="F586" s="1839"/>
      <c r="G586" s="1840"/>
      <c r="H586" s="2545" t="s">
        <v>168</v>
      </c>
      <c r="I586" s="2546"/>
      <c r="J586" s="2515"/>
      <c r="K586" s="2547"/>
      <c r="L586" s="2137"/>
      <c r="M586" s="2138"/>
      <c r="N586" s="2538"/>
      <c r="O586" s="2539">
        <v>1</v>
      </c>
      <c r="P586" s="2540" t="s">
        <v>19</v>
      </c>
      <c r="Q586" s="2543" t="s">
        <v>22</v>
      </c>
      <c r="R586" s="2543" t="s">
        <v>22</v>
      </c>
      <c r="S586" s="2543" t="s">
        <v>22</v>
      </c>
      <c r="T586" s="2543" t="s">
        <v>22</v>
      </c>
      <c r="U586" s="2543" t="s">
        <v>22</v>
      </c>
      <c r="V586" s="2543" t="s">
        <v>22</v>
      </c>
      <c r="W586" s="2543" t="s">
        <v>22</v>
      </c>
      <c r="X586" s="2543" t="s">
        <v>22</v>
      </c>
      <c r="Y586" s="2543"/>
      <c r="Z586" s="1186"/>
      <c r="AA586" s="1187"/>
      <c r="AB586" s="1187"/>
      <c r="AC586" s="1191"/>
      <c r="AD586" s="1191"/>
      <c r="AE586" s="1192"/>
      <c r="AF586" s="2536"/>
      <c r="AG586" s="2537"/>
      <c r="AH586" s="2537"/>
      <c r="AI586" s="2916"/>
      <c r="AJ586" s="2537"/>
      <c r="AK586" s="2537"/>
      <c r="AL586" s="1996"/>
      <c r="AM586" s="1833"/>
      <c r="AN586" s="1833"/>
      <c r="AO586" s="1833"/>
      <c r="AP586" s="1833"/>
      <c r="AQ586" s="1833"/>
      <c r="AR586" s="1833"/>
      <c r="AS586" s="1833"/>
      <c r="AT586" s="1833"/>
      <c r="AU586" s="1833"/>
      <c r="AV586" s="1833"/>
      <c r="AW586" s="1833"/>
      <c r="AX586" s="1833"/>
      <c r="AY586" s="1833"/>
      <c r="AZ586" s="1833"/>
      <c r="BA586" s="1833"/>
      <c r="BB586" s="1833"/>
      <c r="BC586" s="1833"/>
      <c r="BD586" s="1833"/>
      <c r="BE586" s="1833"/>
      <c r="BF586" s="1833"/>
      <c r="BG586" s="1646"/>
    </row>
    <row customHeight="1" ht="11.25">
      <c r="A587" s="1177" t="s">
        <v>1088</v>
      </c>
      <c r="B587" s="1177"/>
      <c r="C587" s="1177"/>
      <c r="D587" s="1171"/>
      <c r="E587" s="1181"/>
      <c r="F587" s="1839"/>
      <c r="G587" s="1840"/>
      <c r="H587" s="2545" t="s">
        <v>168</v>
      </c>
      <c r="I587" s="2546"/>
      <c r="J587" s="2515"/>
      <c r="K587" s="2547"/>
      <c r="L587" s="2137"/>
      <c r="M587" s="2138"/>
      <c r="N587" s="2538"/>
      <c r="O587" s="2539"/>
      <c r="P587" s="2541"/>
      <c r="Q587" s="2543"/>
      <c r="R587" s="2543"/>
      <c r="S587" s="2544"/>
      <c r="T587" s="2543"/>
      <c r="U587" s="2543"/>
      <c r="V587" s="2543"/>
      <c r="W587" s="2543"/>
      <c r="X587" s="2543"/>
      <c r="Y587" s="2543"/>
      <c r="Z587" s="1838"/>
      <c r="AA587" s="1804">
        <v>1</v>
      </c>
      <c r="AB587" s="1190" t="s">
        <v>1159</v>
      </c>
      <c r="AC587" s="1180">
        <v>5347.06</v>
      </c>
      <c r="AD587" s="1190" t="str">
        <f>AB587</f>
        <v>      Прочие амортизационные отчисления</v>
      </c>
      <c r="AE587" s="1180">
        <v>0</v>
      </c>
      <c r="AF587" s="2536"/>
      <c r="AG587" s="2537"/>
      <c r="AH587" s="2537"/>
      <c r="AI587" s="2916"/>
      <c r="AJ587" s="2537"/>
      <c r="AK587" s="2537"/>
      <c r="AL587" s="1996"/>
      <c r="AM587" s="1833"/>
      <c r="AN587" s="1833"/>
      <c r="AO587" s="1833"/>
      <c r="AP587" s="1833"/>
      <c r="AQ587" s="1833"/>
      <c r="AR587" s="1833"/>
      <c r="AS587" s="1833"/>
      <c r="AT587" s="1833"/>
      <c r="AU587" s="1833"/>
      <c r="AV587" s="1833"/>
      <c r="AW587" s="1833"/>
      <c r="AX587" s="1833"/>
      <c r="AY587" s="1833"/>
      <c r="AZ587" s="1833"/>
      <c r="BA587" s="1833"/>
      <c r="BB587" s="1833"/>
      <c r="BC587" s="1833"/>
      <c r="BD587" s="1833"/>
      <c r="BE587" s="1833"/>
      <c r="BF587" s="1833"/>
      <c r="BG587" s="1646"/>
    </row>
    <row customHeight="1" ht="11.25">
      <c r="A588" s="1177" t="s">
        <v>1088</v>
      </c>
      <c r="B588" s="1177"/>
      <c r="C588" s="1177"/>
      <c r="D588" s="1171"/>
      <c r="E588" s="1181"/>
      <c r="F588" s="1839"/>
      <c r="G588" s="1840"/>
      <c r="H588" s="2545" t="s">
        <v>168</v>
      </c>
      <c r="I588" s="2546"/>
      <c r="J588" s="2515"/>
      <c r="K588" s="2547"/>
      <c r="L588" s="2137"/>
      <c r="M588" s="2138"/>
      <c r="N588" s="2538"/>
      <c r="O588" s="2539"/>
      <c r="P588" s="2542"/>
      <c r="Q588" s="2543"/>
      <c r="R588" s="2543"/>
      <c r="S588" s="2544"/>
      <c r="T588" s="2543"/>
      <c r="U588" s="2543"/>
      <c r="V588" s="2543"/>
      <c r="W588" s="2543"/>
      <c r="X588" s="2543"/>
      <c r="Y588" s="2543"/>
      <c r="Z588" s="1186"/>
      <c r="AA588" s="1187"/>
      <c r="AB588" s="1252" t="s">
        <v>1130</v>
      </c>
      <c r="AC588" s="1191"/>
      <c r="AD588" s="1191"/>
      <c r="AE588" s="1193"/>
      <c r="AF588" s="2536"/>
      <c r="AG588" s="2537"/>
      <c r="AH588" s="2537"/>
      <c r="AI588" s="2916"/>
      <c r="AJ588" s="2537"/>
      <c r="AK588" s="2537"/>
      <c r="AL588" s="1996"/>
      <c r="AM588" s="1833"/>
      <c r="AN588" s="1833"/>
      <c r="AO588" s="1833"/>
      <c r="AP588" s="1833"/>
      <c r="AQ588" s="1833"/>
      <c r="AR588" s="1833"/>
      <c r="AS588" s="1833"/>
      <c r="AT588" s="1833"/>
      <c r="AU588" s="1833"/>
      <c r="AV588" s="1833"/>
      <c r="AW588" s="1833"/>
      <c r="AX588" s="1833"/>
      <c r="AY588" s="1833"/>
      <c r="AZ588" s="1833"/>
      <c r="BA588" s="1833"/>
      <c r="BB588" s="1833"/>
      <c r="BC588" s="1833"/>
      <c r="BD588" s="1833"/>
      <c r="BE588" s="1833"/>
      <c r="BF588" s="1833"/>
      <c r="BG588" s="1646"/>
    </row>
    <row customHeight="1" ht="11.25">
      <c r="A589" s="1177" t="s">
        <v>1088</v>
      </c>
      <c r="B589" s="1177"/>
      <c r="C589" s="1177"/>
      <c r="D589" s="1171"/>
      <c r="E589" s="1181"/>
      <c r="F589" s="1839"/>
      <c r="G589" s="1840"/>
      <c r="H589" s="2545" t="s">
        <v>168</v>
      </c>
      <c r="I589" s="2546"/>
      <c r="J589" s="2515"/>
      <c r="K589" s="2547"/>
      <c r="L589" s="2137"/>
      <c r="M589" s="2138"/>
      <c r="N589" s="1186"/>
      <c r="O589" s="1187"/>
      <c r="P589" s="1179" t="s">
        <v>1131</v>
      </c>
      <c r="Q589" s="1187"/>
      <c r="R589" s="1187"/>
      <c r="S589" s="1187"/>
      <c r="T589" s="1187"/>
      <c r="U589" s="1187"/>
      <c r="V589" s="1187"/>
      <c r="W589" s="1187"/>
      <c r="X589" s="1187"/>
      <c r="Y589" s="1187"/>
      <c r="Z589" s="1187"/>
      <c r="AA589" s="1187"/>
      <c r="AB589" s="1187"/>
      <c r="AC589" s="1187"/>
      <c r="AD589" s="1187"/>
      <c r="AE589" s="1194"/>
      <c r="AF589" s="2536"/>
      <c r="AG589" s="2537"/>
      <c r="AH589" s="2537"/>
      <c r="AI589" s="2916"/>
      <c r="AJ589" s="2537"/>
      <c r="AK589" s="2537"/>
      <c r="AL589" s="1996"/>
      <c r="AM589" s="1833"/>
      <c r="AN589" s="1833"/>
      <c r="AO589" s="1833"/>
      <c r="AP589" s="1833"/>
      <c r="AQ589" s="1833"/>
      <c r="AR589" s="1833"/>
      <c r="AS589" s="1833"/>
      <c r="AT589" s="1833"/>
      <c r="AU589" s="1833"/>
      <c r="AV589" s="1833"/>
      <c r="AW589" s="1833"/>
      <c r="AX589" s="1833"/>
      <c r="AY589" s="1833"/>
      <c r="AZ589" s="1833"/>
      <c r="BA589" s="1833"/>
      <c r="BB589" s="1833"/>
      <c r="BC589" s="1833"/>
      <c r="BD589" s="1833"/>
      <c r="BE589" s="1833"/>
      <c r="BF589" s="1833"/>
      <c r="BG589" s="1646"/>
    </row>
    <row customHeight="1" ht="11.25">
      <c r="A590" s="1177" t="s">
        <v>1088</v>
      </c>
      <c r="B590" s="1177" t="s">
        <v>22</v>
      </c>
      <c r="C590" s="1177"/>
      <c r="D590" s="1171"/>
      <c r="E590" s="1181"/>
      <c r="F590" s="1839"/>
      <c r="G590" s="694" t="s">
        <v>105</v>
      </c>
      <c r="H590" s="2545" t="s">
        <v>1165</v>
      </c>
      <c r="I590" s="2546" t="s">
        <v>1120</v>
      </c>
      <c r="J590" s="2911" t="s">
        <v>22</v>
      </c>
      <c r="K590" s="2547" t="s">
        <v>1193</v>
      </c>
      <c r="L590" s="2137" t="s">
        <v>19</v>
      </c>
      <c r="M590" s="2138"/>
      <c r="N590" s="1994"/>
      <c r="O590" s="1188" t="s">
        <v>390</v>
      </c>
      <c r="P590" s="1189"/>
      <c r="Q590" s="1189"/>
      <c r="R590" s="1189"/>
      <c r="S590" s="1189"/>
      <c r="T590" s="1189"/>
      <c r="U590" s="1189"/>
      <c r="V590" s="1189"/>
      <c r="W590" s="1189"/>
      <c r="X590" s="1189"/>
      <c r="Y590" s="1189"/>
      <c r="Z590" s="1189"/>
      <c r="AA590" s="1189"/>
      <c r="AB590" s="1189"/>
      <c r="AC590" s="1189"/>
      <c r="AD590" s="1189"/>
      <c r="AE590" s="1189"/>
      <c r="AF590" s="2536">
        <v>2028</v>
      </c>
      <c r="AG590" s="2537" t="s">
        <v>1122</v>
      </c>
      <c r="AH590" s="2537" t="s">
        <v>1153</v>
      </c>
      <c r="AI590" s="2916"/>
      <c r="AJ590" s="2537" t="s">
        <v>1154</v>
      </c>
      <c r="AK590" s="2537" t="s">
        <v>1154</v>
      </c>
      <c r="AL590" s="1996"/>
      <c r="AM590" s="1833"/>
      <c r="AN590" s="1833"/>
      <c r="AO590" s="1833"/>
      <c r="AP590" s="1833"/>
      <c r="AQ590" s="1833"/>
      <c r="AR590" s="1833"/>
      <c r="AS590" s="1833"/>
      <c r="AT590" s="1833"/>
      <c r="AU590" s="1833"/>
      <c r="AV590" s="1833"/>
      <c r="AW590" s="1833"/>
      <c r="AX590" s="1833"/>
      <c r="AY590" s="1833"/>
      <c r="AZ590" s="1833"/>
      <c r="BA590" s="1833"/>
      <c r="BB590" s="1833"/>
      <c r="BC590" s="1833"/>
      <c r="BD590" s="1833"/>
      <c r="BE590" s="1833"/>
      <c r="BF590" s="1833"/>
      <c r="BG590" s="1646"/>
    </row>
    <row customHeight="1" ht="11.25">
      <c r="A591" s="1177" t="s">
        <v>1088</v>
      </c>
      <c r="B591" s="1177"/>
      <c r="C591" s="1177"/>
      <c r="D591" s="1171"/>
      <c r="E591" s="1181"/>
      <c r="F591" s="1839"/>
      <c r="G591" s="1840"/>
      <c r="H591" s="2545" t="s">
        <v>169</v>
      </c>
      <c r="I591" s="2546"/>
      <c r="J591" s="2911"/>
      <c r="K591" s="2547"/>
      <c r="L591" s="2137"/>
      <c r="M591" s="2138"/>
      <c r="N591" s="2538"/>
      <c r="O591" s="2539">
        <v>1</v>
      </c>
      <c r="P591" s="2540" t="s">
        <v>63</v>
      </c>
      <c r="Q591" s="2913" t="s">
        <v>616</v>
      </c>
      <c r="R591" s="2914" t="s">
        <v>1124</v>
      </c>
      <c r="S591" s="2914" t="s">
        <v>101</v>
      </c>
      <c r="T591" s="2914" t="s">
        <v>101</v>
      </c>
      <c r="U591" s="2914" t="s">
        <v>102</v>
      </c>
      <c r="V591" s="2914" t="s">
        <v>1125</v>
      </c>
      <c r="W591" s="2914" t="s">
        <v>1126</v>
      </c>
      <c r="X591" s="2914" t="s">
        <v>1194</v>
      </c>
      <c r="Y591" s="2914" t="s">
        <v>1195</v>
      </c>
      <c r="Z591" s="1186"/>
      <c r="AA591" s="1187"/>
      <c r="AB591" s="1187"/>
      <c r="AC591" s="1191"/>
      <c r="AD591" s="1191"/>
      <c r="AE591" s="1192"/>
      <c r="AF591" s="2536"/>
      <c r="AG591" s="2537"/>
      <c r="AH591" s="2537"/>
      <c r="AI591" s="2916"/>
      <c r="AJ591" s="2537"/>
      <c r="AK591" s="2537"/>
      <c r="AL591" s="1996"/>
      <c r="AM591" s="1833"/>
      <c r="AN591" s="1833"/>
      <c r="AO591" s="1833"/>
      <c r="AP591" s="1833"/>
      <c r="AQ591" s="1833"/>
      <c r="AR591" s="1833"/>
      <c r="AS591" s="1833"/>
      <c r="AT591" s="1833"/>
      <c r="AU591" s="1833"/>
      <c r="AV591" s="1833"/>
      <c r="AW591" s="1833"/>
      <c r="AX591" s="1833"/>
      <c r="AY591" s="1833"/>
      <c r="AZ591" s="1833"/>
      <c r="BA591" s="1833"/>
      <c r="BB591" s="1833"/>
      <c r="BC591" s="1833"/>
      <c r="BD591" s="1833"/>
      <c r="BE591" s="1833"/>
      <c r="BF591" s="1833"/>
      <c r="BG591" s="1646"/>
    </row>
    <row customHeight="1" ht="11.25">
      <c r="A592" s="1177" t="s">
        <v>1088</v>
      </c>
      <c r="B592" s="1177"/>
      <c r="C592" s="1177"/>
      <c r="D592" s="1171"/>
      <c r="E592" s="1181"/>
      <c r="F592" s="1839"/>
      <c r="G592" s="1840"/>
      <c r="H592" s="2545" t="s">
        <v>169</v>
      </c>
      <c r="I592" s="2546"/>
      <c r="J592" s="2911"/>
      <c r="K592" s="2547"/>
      <c r="L592" s="2137"/>
      <c r="M592" s="2138"/>
      <c r="N592" s="2538"/>
      <c r="O592" s="2539"/>
      <c r="P592" s="2541"/>
      <c r="Q592" s="2913"/>
      <c r="R592" s="2543"/>
      <c r="S592" s="2544"/>
      <c r="T592" s="2543"/>
      <c r="U592" s="2543"/>
      <c r="V592" s="2543"/>
      <c r="W592" s="2543"/>
      <c r="X592" s="2543"/>
      <c r="Y592" s="2543"/>
      <c r="Z592" s="1838"/>
      <c r="AA592" s="1804">
        <v>1</v>
      </c>
      <c r="AB592" s="1190" t="s">
        <v>1159</v>
      </c>
      <c r="AC592" s="1180">
        <v>80766.9</v>
      </c>
      <c r="AD592" s="1190" t="str">
        <f>AB592</f>
        <v>      Прочие амортизационные отчисления</v>
      </c>
      <c r="AE592" s="1180">
        <v>0</v>
      </c>
      <c r="AF592" s="2536"/>
      <c r="AG592" s="2537"/>
      <c r="AH592" s="2537"/>
      <c r="AI592" s="2916"/>
      <c r="AJ592" s="2537"/>
      <c r="AK592" s="2537"/>
      <c r="AL592" s="1996"/>
      <c r="AM592" s="1833"/>
      <c r="AN592" s="1833"/>
      <c r="AO592" s="1833"/>
      <c r="AP592" s="1833"/>
      <c r="AQ592" s="1833"/>
      <c r="AR592" s="1833"/>
      <c r="AS592" s="1833"/>
      <c r="AT592" s="1833"/>
      <c r="AU592" s="1833"/>
      <c r="AV592" s="1833"/>
      <c r="AW592" s="1833"/>
      <c r="AX592" s="1833"/>
      <c r="AY592" s="1833"/>
      <c r="AZ592" s="1833"/>
      <c r="BA592" s="1833"/>
      <c r="BB592" s="1833"/>
      <c r="BC592" s="1833"/>
      <c r="BD592" s="1833"/>
      <c r="BE592" s="1833"/>
      <c r="BF592" s="1833"/>
      <c r="BG592" s="1646"/>
    </row>
    <row customHeight="1" ht="11.25">
      <c r="A593" s="1177" t="s">
        <v>1088</v>
      </c>
      <c r="B593" s="1177"/>
      <c r="C593" s="1177"/>
      <c r="D593" s="1171"/>
      <c r="E593" s="1181"/>
      <c r="F593" s="1839"/>
      <c r="G593" s="1840"/>
      <c r="H593" s="2545" t="s">
        <v>169</v>
      </c>
      <c r="I593" s="2546"/>
      <c r="J593" s="2911"/>
      <c r="K593" s="2547"/>
      <c r="L593" s="2137"/>
      <c r="M593" s="2138"/>
      <c r="N593" s="2538"/>
      <c r="O593" s="2539"/>
      <c r="P593" s="2542"/>
      <c r="Q593" s="2913"/>
      <c r="R593" s="2543"/>
      <c r="S593" s="2544"/>
      <c r="T593" s="2543"/>
      <c r="U593" s="2543"/>
      <c r="V593" s="2543"/>
      <c r="W593" s="2543"/>
      <c r="X593" s="2543"/>
      <c r="Y593" s="2543"/>
      <c r="Z593" s="1186"/>
      <c r="AA593" s="1187"/>
      <c r="AB593" s="1252" t="s">
        <v>1130</v>
      </c>
      <c r="AC593" s="1191"/>
      <c r="AD593" s="1191"/>
      <c r="AE593" s="1193"/>
      <c r="AF593" s="2536"/>
      <c r="AG593" s="2537"/>
      <c r="AH593" s="2537"/>
      <c r="AI593" s="2916"/>
      <c r="AJ593" s="2537"/>
      <c r="AK593" s="2537"/>
      <c r="AL593" s="1996"/>
      <c r="AM593" s="1833"/>
      <c r="AN593" s="1833"/>
      <c r="AO593" s="1833"/>
      <c r="AP593" s="1833"/>
      <c r="AQ593" s="1833"/>
      <c r="AR593" s="1833"/>
      <c r="AS593" s="1833"/>
      <c r="AT593" s="1833"/>
      <c r="AU593" s="1833"/>
      <c r="AV593" s="1833"/>
      <c r="AW593" s="1833"/>
      <c r="AX593" s="1833"/>
      <c r="AY593" s="1833"/>
      <c r="AZ593" s="1833"/>
      <c r="BA593" s="1833"/>
      <c r="BB593" s="1833"/>
      <c r="BC593" s="1833"/>
      <c r="BD593" s="1833"/>
      <c r="BE593" s="1833"/>
      <c r="BF593" s="1833"/>
      <c r="BG593" s="1646"/>
    </row>
    <row customHeight="1" ht="11.25">
      <c r="A594" s="1177" t="s">
        <v>1088</v>
      </c>
      <c r="B594" s="1177"/>
      <c r="C594" s="1177"/>
      <c r="D594" s="1171"/>
      <c r="E594" s="1181"/>
      <c r="F594" s="1839"/>
      <c r="G594" s="1840"/>
      <c r="H594" s="2545" t="s">
        <v>169</v>
      </c>
      <c r="I594" s="2546"/>
      <c r="J594" s="2911"/>
      <c r="K594" s="2547"/>
      <c r="L594" s="2137"/>
      <c r="M594" s="2138"/>
      <c r="N594" s="1186"/>
      <c r="O594" s="1187"/>
      <c r="P594" s="1179" t="s">
        <v>1131</v>
      </c>
      <c r="Q594" s="1187"/>
      <c r="R594" s="1187"/>
      <c r="S594" s="1187"/>
      <c r="T594" s="1187"/>
      <c r="U594" s="1187"/>
      <c r="V594" s="1187"/>
      <c r="W594" s="1187"/>
      <c r="X594" s="1187"/>
      <c r="Y594" s="1187"/>
      <c r="Z594" s="1187"/>
      <c r="AA594" s="1187"/>
      <c r="AB594" s="1187"/>
      <c r="AC594" s="1187"/>
      <c r="AD594" s="1187"/>
      <c r="AE594" s="1194"/>
      <c r="AF594" s="2536"/>
      <c r="AG594" s="2537"/>
      <c r="AH594" s="2537"/>
      <c r="AI594" s="2916"/>
      <c r="AJ594" s="2537"/>
      <c r="AK594" s="2537"/>
      <c r="AL594" s="1996"/>
      <c r="AM594" s="1833"/>
      <c r="AN594" s="1833"/>
      <c r="AO594" s="1833"/>
      <c r="AP594" s="1833"/>
      <c r="AQ594" s="1833"/>
      <c r="AR594" s="1833"/>
      <c r="AS594" s="1833"/>
      <c r="AT594" s="1833"/>
      <c r="AU594" s="1833"/>
      <c r="AV594" s="1833"/>
      <c r="AW594" s="1833"/>
      <c r="AX594" s="1833"/>
      <c r="AY594" s="1833"/>
      <c r="AZ594" s="1833"/>
      <c r="BA594" s="1833"/>
      <c r="BB594" s="1833"/>
      <c r="BC594" s="1833"/>
      <c r="BD594" s="1833"/>
      <c r="BE594" s="1833"/>
      <c r="BF594" s="1833"/>
      <c r="BG594" s="1646"/>
    </row>
    <row customHeight="1" ht="12">
      <c r="A595" s="1177" t="s">
        <v>1088</v>
      </c>
      <c r="B595" s="1177"/>
      <c r="C595" s="1177"/>
      <c r="D595" s="1171"/>
      <c r="E595" s="1181"/>
      <c r="F595" s="2567"/>
      <c r="G595" s="1201"/>
      <c r="H595" s="1201"/>
      <c r="I595" s="2565" t="s">
        <v>1132</v>
      </c>
      <c r="J595" s="2565"/>
      <c r="K595" s="2565"/>
      <c r="L595" s="1184"/>
      <c r="M595" s="1184"/>
      <c r="N595" s="1185"/>
      <c r="O595" s="1185"/>
      <c r="P595" s="1185"/>
      <c r="Q595" s="1185"/>
      <c r="R595" s="1185"/>
      <c r="S595" s="1185"/>
      <c r="T595" s="1185"/>
      <c r="U595" s="1185"/>
      <c r="V595" s="1185"/>
      <c r="W595" s="1185"/>
      <c r="X595" s="1185"/>
      <c r="Y595" s="1185"/>
      <c r="Z595" s="1185"/>
      <c r="AA595" s="1185"/>
      <c r="AB595" s="1185"/>
      <c r="AC595" s="1185"/>
      <c r="AD595" s="1185"/>
      <c r="AE595" s="1185"/>
      <c r="AF595" s="1185"/>
      <c r="AG595" s="1184"/>
      <c r="AH595" s="1184"/>
      <c r="AI595" s="1185"/>
      <c r="AJ595" s="1184"/>
      <c r="AK595" s="1185"/>
      <c r="AL595" s="1996"/>
      <c r="AM595" s="1833"/>
      <c r="AN595" s="1833"/>
      <c r="AO595" s="1833"/>
      <c r="AP595" s="1833"/>
      <c r="AQ595" s="1833"/>
      <c r="AR595" s="1833"/>
      <c r="AS595" s="1833"/>
      <c r="AT595" s="1833"/>
      <c r="AU595" s="1833"/>
      <c r="AV595" s="1833"/>
      <c r="AW595" s="1833"/>
      <c r="AX595" s="1833"/>
      <c r="AY595" s="1833"/>
      <c r="AZ595" s="1833"/>
      <c r="BA595" s="1833"/>
      <c r="BB595" s="1833"/>
      <c r="BC595" s="1833"/>
      <c r="BD595" s="1833"/>
      <c r="BE595" s="1833"/>
      <c r="BF595" s="1833"/>
      <c r="BG595" s="1646"/>
    </row>
    <row customHeight="1" ht="10.5">
      <c r="E596" s="918"/>
      <c r="F596" s="929"/>
      <c r="G596" s="929"/>
      <c r="H596" s="1183"/>
      <c r="I596" s="929"/>
      <c r="J596" s="929"/>
      <c r="K596" s="929"/>
      <c r="L596" s="1142"/>
      <c r="M596" s="1142"/>
      <c r="N596" s="929"/>
      <c r="O596" s="929"/>
      <c r="P596" s="929"/>
      <c r="Q596" s="929"/>
      <c r="R596" s="929"/>
      <c r="S596" s="929"/>
      <c r="T596" s="929"/>
      <c r="U596" s="929"/>
      <c r="V596" s="929"/>
      <c r="W596" s="929"/>
      <c r="X596" s="929"/>
      <c r="Y596" s="929"/>
      <c r="Z596" s="929"/>
      <c r="AA596" s="929"/>
      <c r="AB596" s="929"/>
      <c r="AC596" s="929"/>
      <c r="AD596" s="1142"/>
      <c r="AE596" s="929"/>
      <c r="AF596" s="929"/>
      <c r="AG596" s="929"/>
      <c r="AH596" s="1160"/>
      <c r="AI596" s="1153"/>
      <c r="AJ596" s="929"/>
      <c r="AK596" s="929"/>
      <c r="AL596" s="918"/>
      <c r="AM596" s="918"/>
      <c r="AN596" s="918"/>
      <c r="AO596" s="918"/>
      <c r="AP596" s="918"/>
      <c r="AQ596" s="918"/>
      <c r="AR596" s="918"/>
      <c r="AS596" s="918"/>
      <c r="AT596" s="918"/>
      <c r="AU596" s="918"/>
      <c r="AV596" s="918"/>
      <c r="AW596" s="918"/>
      <c r="AX596" s="918"/>
      <c r="AY596" s="918"/>
      <c r="AZ596" s="918"/>
      <c r="BA596" s="918"/>
      <c r="BB596" s="918"/>
      <c r="BC596" s="918"/>
      <c r="BD596" s="918"/>
      <c r="BE596" s="918"/>
      <c r="BF596" s="918"/>
      <c r="BG596" s="769">
        <v>10</v>
      </c>
    </row>
    <row customHeight="1" ht="13.5">
      <c r="E597" s="918"/>
      <c r="F597" s="925" t="s">
        <v>1277</v>
      </c>
      <c r="G597" s="925"/>
      <c r="H597" s="1182"/>
      <c r="I597" s="925"/>
      <c r="J597" s="925"/>
      <c r="K597" s="922"/>
      <c r="L597" s="1138"/>
      <c r="M597" s="1138"/>
      <c r="N597" s="924"/>
      <c r="O597" s="924"/>
      <c r="P597" s="924"/>
      <c r="Q597" s="924"/>
      <c r="R597" s="924"/>
      <c r="S597" s="924"/>
      <c r="T597" s="924"/>
      <c r="U597" s="924"/>
      <c r="V597" s="924"/>
      <c r="W597" s="924"/>
      <c r="X597" s="924"/>
      <c r="Y597" s="924"/>
      <c r="Z597" s="922"/>
      <c r="AA597" s="922"/>
      <c r="AB597" s="922"/>
      <c r="AC597" s="922"/>
      <c r="AD597" s="1138"/>
      <c r="AE597" s="922"/>
      <c r="AF597" s="922"/>
      <c r="AG597" s="922"/>
      <c r="AH597" s="1157"/>
      <c r="AI597" s="1150"/>
      <c r="AJ597" s="922"/>
      <c r="AK597" s="922"/>
      <c r="AL597" s="918"/>
      <c r="AM597" s="918"/>
      <c r="AN597" s="918"/>
      <c r="AO597" s="918"/>
      <c r="AP597" s="918"/>
      <c r="AQ597" s="918"/>
      <c r="AR597" s="918"/>
      <c r="AS597" s="918"/>
      <c r="AT597" s="918"/>
      <c r="AU597" s="918"/>
      <c r="AV597" s="918"/>
      <c r="AW597" s="918"/>
      <c r="AX597" s="918"/>
      <c r="AY597" s="918"/>
      <c r="AZ597" s="918"/>
      <c r="BA597" s="918"/>
      <c r="BB597" s="918"/>
      <c r="BC597" s="918"/>
      <c r="BD597" s="918"/>
      <c r="BE597" s="918"/>
      <c r="BF597" s="918"/>
      <c r="BG597" s="769">
        <v>13</v>
      </c>
    </row>
    <row customHeight="1" ht="10.5">
      <c r="BG598" s="769">
        <v>10</v>
      </c>
    </row>
    <row customHeight="1" ht="10.5">
      <c r="E599" s="918"/>
      <c r="F599" s="2437"/>
      <c r="G599" s="2437"/>
      <c r="H599" s="2437"/>
      <c r="I599" s="2437"/>
      <c r="J599" s="2437"/>
      <c r="K599" s="922"/>
      <c r="L599" s="1138"/>
      <c r="M599" s="1138"/>
      <c r="N599" s="924"/>
      <c r="O599" s="924"/>
      <c r="P599" s="924"/>
      <c r="Q599" s="924"/>
      <c r="R599" s="924"/>
      <c r="S599" s="924"/>
      <c r="T599" s="924"/>
      <c r="U599" s="924"/>
      <c r="V599" s="924"/>
      <c r="W599" s="924"/>
      <c r="X599" s="924"/>
      <c r="Y599" s="924"/>
      <c r="Z599" s="922"/>
      <c r="AA599" s="922"/>
      <c r="AB599" s="922"/>
      <c r="AC599" s="922"/>
      <c r="AD599" s="1138"/>
      <c r="AE599" s="922"/>
      <c r="AF599" s="922"/>
      <c r="AG599" s="922"/>
      <c r="AH599" s="1157"/>
      <c r="AI599" s="1150"/>
      <c r="AJ599" s="922"/>
      <c r="AK599" s="922"/>
      <c r="AL599" s="918"/>
      <c r="AM599" s="918"/>
      <c r="AN599" s="918"/>
      <c r="AO599" s="918"/>
      <c r="AP599" s="918"/>
      <c r="AQ599" s="918"/>
      <c r="AR599" s="918"/>
      <c r="AS599" s="918"/>
      <c r="AT599" s="918"/>
      <c r="AU599" s="918"/>
      <c r="AV599" s="918"/>
      <c r="AW599" s="918"/>
      <c r="AX599" s="918"/>
      <c r="AY599" s="918"/>
      <c r="AZ599" s="918"/>
      <c r="BA599" s="918"/>
      <c r="BB599" s="918"/>
      <c r="BC599" s="918"/>
      <c r="BD599" s="918"/>
      <c r="BE599" s="918"/>
      <c r="BF599" s="918"/>
      <c r="BG599" s="769">
        <v>10</v>
      </c>
    </row>
    <row customHeight="1" ht="10.5">
      <c r="E600" s="918"/>
      <c r="F600" s="2437"/>
      <c r="G600" s="2437"/>
      <c r="H600" s="2437"/>
      <c r="I600" s="2437"/>
      <c r="J600" s="2437"/>
      <c r="K600" s="922"/>
      <c r="L600" s="1138"/>
      <c r="M600" s="1138"/>
      <c r="N600" s="924"/>
      <c r="O600" s="924"/>
      <c r="P600" s="924"/>
      <c r="Q600" s="924"/>
      <c r="R600" s="924"/>
      <c r="S600" s="924"/>
      <c r="T600" s="924"/>
      <c r="U600" s="924"/>
      <c r="V600" s="924"/>
      <c r="W600" s="924"/>
      <c r="X600" s="924"/>
      <c r="Y600" s="924"/>
      <c r="Z600" s="922"/>
      <c r="AA600" s="922"/>
      <c r="AB600" s="922"/>
      <c r="AC600" s="922"/>
      <c r="AD600" s="1138"/>
      <c r="AE600" s="922"/>
      <c r="AF600" s="922"/>
      <c r="AG600" s="922"/>
      <c r="AH600" s="1157"/>
      <c r="AI600" s="1150"/>
      <c r="AJ600" s="922"/>
      <c r="AK600" s="922"/>
      <c r="AL600" s="918"/>
      <c r="AM600" s="918"/>
      <c r="AN600" s="918"/>
      <c r="AO600" s="918"/>
      <c r="AP600" s="918"/>
      <c r="AQ600" s="918"/>
      <c r="AR600" s="918"/>
      <c r="AS600" s="918"/>
      <c r="AT600" s="918"/>
      <c r="AU600" s="918"/>
      <c r="AV600" s="918"/>
      <c r="AW600" s="918"/>
      <c r="AX600" s="918"/>
      <c r="AY600" s="918"/>
      <c r="AZ600" s="918"/>
      <c r="BA600" s="918"/>
      <c r="BB600" s="918"/>
      <c r="BC600" s="918"/>
      <c r="BD600" s="918"/>
      <c r="BE600" s="918"/>
      <c r="BF600" s="918"/>
      <c r="BG600" s="769">
        <v>10</v>
      </c>
    </row>
    <row customHeight="1" ht="10.5">
      <c r="E601" s="918"/>
      <c r="F601" s="2437"/>
      <c r="G601" s="2437"/>
      <c r="H601" s="2437"/>
      <c r="I601" s="2437"/>
      <c r="J601" s="2437"/>
      <c r="K601" s="922"/>
      <c r="L601" s="1138"/>
      <c r="M601" s="1138"/>
      <c r="N601" s="924"/>
      <c r="O601" s="924"/>
      <c r="P601" s="924"/>
      <c r="Q601" s="924"/>
      <c r="R601" s="924"/>
      <c r="S601" s="924"/>
      <c r="T601" s="924"/>
      <c r="U601" s="924"/>
      <c r="V601" s="924"/>
      <c r="W601" s="924"/>
      <c r="X601" s="924"/>
      <c r="Y601" s="924"/>
      <c r="Z601" s="922"/>
      <c r="AA601" s="922"/>
      <c r="AB601" s="922"/>
      <c r="AC601" s="922"/>
      <c r="AD601" s="1138"/>
      <c r="AE601" s="922"/>
      <c r="AF601" s="922"/>
      <c r="AG601" s="922"/>
      <c r="AH601" s="1157"/>
      <c r="AI601" s="1150"/>
      <c r="AJ601" s="922"/>
      <c r="AK601" s="922"/>
      <c r="AL601" s="918"/>
      <c r="AM601" s="918"/>
      <c r="AN601" s="918"/>
      <c r="AO601" s="918"/>
      <c r="AP601" s="918"/>
      <c r="AQ601" s="918"/>
      <c r="AR601" s="918"/>
      <c r="AS601" s="918"/>
      <c r="AT601" s="918"/>
      <c r="AU601" s="918"/>
      <c r="AV601" s="918"/>
      <c r="AW601" s="918"/>
      <c r="AX601" s="918"/>
      <c r="AY601" s="918"/>
      <c r="AZ601" s="918"/>
      <c r="BA601" s="918"/>
      <c r="BB601" s="918"/>
      <c r="BC601" s="918"/>
      <c r="BD601" s="918"/>
      <c r="BE601" s="918"/>
      <c r="BF601" s="918"/>
      <c r="BG601" s="769">
        <v>10</v>
      </c>
    </row>
    <row customHeight="1" ht="10.5" hidden="1">
      <c r="A602" s="906" t="s">
        <v>83</v>
      </c>
      <c r="B602" s="906">
        <v>0</v>
      </c>
      <c r="C602" s="906">
        <v>0</v>
      </c>
      <c r="D602" s="428">
        <v>0</v>
      </c>
      <c r="E602" s="520">
        <v>3</v>
      </c>
      <c r="F602" s="769">
        <v>14</v>
      </c>
      <c r="G602" s="769">
        <v>3</v>
      </c>
      <c r="H602" s="1166">
        <v>7</v>
      </c>
      <c r="I602" s="769">
        <v>16</v>
      </c>
      <c r="J602" s="769">
        <v>16</v>
      </c>
      <c r="K602" s="769">
        <v>25</v>
      </c>
      <c r="L602" s="1136">
        <v>7</v>
      </c>
      <c r="M602" s="1136">
        <v>15</v>
      </c>
      <c r="N602" s="769">
        <v>3</v>
      </c>
      <c r="O602" s="769">
        <v>4</v>
      </c>
      <c r="P602" s="769">
        <v>8</v>
      </c>
      <c r="Q602" s="769">
        <v>21</v>
      </c>
      <c r="R602" s="769">
        <v>14</v>
      </c>
      <c r="S602" s="769">
        <v>17</v>
      </c>
      <c r="T602" s="769">
        <v>17</v>
      </c>
      <c r="U602" s="769">
        <v>9</v>
      </c>
      <c r="V602" s="769">
        <v>12</v>
      </c>
      <c r="W602" s="769">
        <v>9</v>
      </c>
      <c r="X602" s="769">
        <v>21</v>
      </c>
      <c r="Y602" s="769">
        <v>12</v>
      </c>
      <c r="Z602" s="769">
        <v>3</v>
      </c>
      <c r="AA602" s="769">
        <v>6</v>
      </c>
      <c r="AB602" s="769">
        <v>38</v>
      </c>
      <c r="AC602" s="769">
        <v>15</v>
      </c>
      <c r="AD602" s="1136">
        <v>0</v>
      </c>
      <c r="AE602" s="769">
        <v>0</v>
      </c>
      <c r="AF602" s="769">
        <v>16</v>
      </c>
      <c r="AG602" s="769">
        <v>16</v>
      </c>
      <c r="AH602" s="1155">
        <v>16</v>
      </c>
      <c r="AI602" s="1148">
        <v>0</v>
      </c>
      <c r="AJ602" s="769">
        <v>0</v>
      </c>
      <c r="AK602" s="769">
        <v>0</v>
      </c>
      <c r="AL602" s="769">
        <v>8</v>
      </c>
      <c r="AM602" s="769">
        <v>8</v>
      </c>
      <c r="AN602" s="769">
        <v>8</v>
      </c>
      <c r="AO602" s="769">
        <v>8</v>
      </c>
      <c r="AP602" s="769">
        <v>8</v>
      </c>
      <c r="AQ602" s="769">
        <v>8</v>
      </c>
      <c r="AR602" s="769">
        <v>8</v>
      </c>
      <c r="AS602" s="769">
        <v>8</v>
      </c>
      <c r="AT602" s="769">
        <v>8</v>
      </c>
      <c r="AU602" s="769">
        <v>8</v>
      </c>
      <c r="AV602" s="769">
        <v>8</v>
      </c>
      <c r="AW602" s="769">
        <v>8</v>
      </c>
      <c r="AX602" s="769">
        <v>8</v>
      </c>
      <c r="AY602" s="769">
        <v>8</v>
      </c>
      <c r="AZ602" s="769">
        <v>8</v>
      </c>
      <c r="BA602" s="769">
        <v>8</v>
      </c>
      <c r="BB602" s="769">
        <v>8</v>
      </c>
      <c r="BC602" s="769">
        <v>8</v>
      </c>
      <c r="BD602" s="769">
        <v>8</v>
      </c>
      <c r="BE602" s="769">
        <v>8</v>
      </c>
      <c r="BF602" s="769">
        <v>8</v>
      </c>
      <c r="BG602" s="769">
        <v>10</v>
      </c>
    </row>
  </sheetData>
  <sheetProtection formatColumns="0" formatRows="0" autoFilter="0" sort="0" insertRows="0" insertColumns="1" deleteRows="0" deleteColumns="0"/>
  <mergeCells count="2865">
    <mergeCell ref="AB9:AE10"/>
    <mergeCell ref="S11:Y11"/>
    <mergeCell ref="N10:Y10"/>
    <mergeCell ref="K9:Y9"/>
    <mergeCell ref="N11:O12"/>
    <mergeCell ref="P11:P12"/>
    <mergeCell ref="Q11:Q12"/>
    <mergeCell ref="F601:J601"/>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600:J600"/>
    <mergeCell ref="F599:J599"/>
    <mergeCell ref="F5:K5"/>
    <mergeCell ref="P16:P18"/>
    <mergeCell ref="Q16:Q18"/>
    <mergeCell ref="R16:R18"/>
    <mergeCell ref="G15:G19"/>
    <mergeCell ref="AJ15:AJ19"/>
    <mergeCell ref="AK15:AK19"/>
    <mergeCell ref="I25:K25"/>
    <mergeCell ref="F15:F25"/>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7:P29"/>
    <mergeCell ref="Q27:Q29"/>
    <mergeCell ref="R27:R29"/>
    <mergeCell ref="G26:G30"/>
    <mergeCell ref="AJ26:AJ30"/>
    <mergeCell ref="AK26:AK30"/>
    <mergeCell ref="I51:K51"/>
    <mergeCell ref="F26:F51"/>
    <mergeCell ref="AF26:AF30"/>
    <mergeCell ref="AG26:AG30"/>
    <mergeCell ref="AH26:AH30"/>
    <mergeCell ref="AI26:AI30"/>
    <mergeCell ref="S27:S29"/>
    <mergeCell ref="T27:T29"/>
    <mergeCell ref="U27:U29"/>
    <mergeCell ref="V27:V29"/>
    <mergeCell ref="W27:W29"/>
    <mergeCell ref="X27:X29"/>
    <mergeCell ref="Y27:Y29"/>
    <mergeCell ref="H26:H30"/>
    <mergeCell ref="I26:I30"/>
    <mergeCell ref="J26:J30"/>
    <mergeCell ref="K26:K30"/>
    <mergeCell ref="L26:L30"/>
    <mergeCell ref="M26:M30"/>
    <mergeCell ref="N27:N29"/>
    <mergeCell ref="O27:O29"/>
    <mergeCell ref="P53:P55"/>
    <mergeCell ref="Q53:Q55"/>
    <mergeCell ref="R53:R55"/>
    <mergeCell ref="G52:G56"/>
    <mergeCell ref="AJ52:AJ56"/>
    <mergeCell ref="AK52:AK56"/>
    <mergeCell ref="I222:K222"/>
    <mergeCell ref="F52:F222"/>
    <mergeCell ref="AF52:AF56"/>
    <mergeCell ref="AG52:AG56"/>
    <mergeCell ref="AH52:AH56"/>
    <mergeCell ref="AI52:AI56"/>
    <mergeCell ref="S53:S55"/>
    <mergeCell ref="T53:T55"/>
    <mergeCell ref="U53:U55"/>
    <mergeCell ref="V53:V55"/>
    <mergeCell ref="W53:W55"/>
    <mergeCell ref="X53:X55"/>
    <mergeCell ref="Y53:Y55"/>
    <mergeCell ref="H52:H56"/>
    <mergeCell ref="I52:I56"/>
    <mergeCell ref="J52:J56"/>
    <mergeCell ref="K52:K56"/>
    <mergeCell ref="L52:L56"/>
    <mergeCell ref="M52:M56"/>
    <mergeCell ref="N53:N55"/>
    <mergeCell ref="O53:O55"/>
    <mergeCell ref="P224:P226"/>
    <mergeCell ref="Q224:Q226"/>
    <mergeCell ref="R224:R226"/>
    <mergeCell ref="G223:G227"/>
    <mergeCell ref="AJ223:AJ227"/>
    <mergeCell ref="AK223:AK227"/>
    <mergeCell ref="I389:K389"/>
    <mergeCell ref="F223:F389"/>
    <mergeCell ref="AF223:AF227"/>
    <mergeCell ref="AG223:AG227"/>
    <mergeCell ref="AH223:AH227"/>
    <mergeCell ref="AI223:AI227"/>
    <mergeCell ref="S224:S226"/>
    <mergeCell ref="T224:T226"/>
    <mergeCell ref="U224:U226"/>
    <mergeCell ref="V224:V226"/>
    <mergeCell ref="W224:W226"/>
    <mergeCell ref="X224:X226"/>
    <mergeCell ref="Y224:Y226"/>
    <mergeCell ref="H223:H227"/>
    <mergeCell ref="I223:I227"/>
    <mergeCell ref="J223:J227"/>
    <mergeCell ref="K223:K227"/>
    <mergeCell ref="L223:L227"/>
    <mergeCell ref="M223:M227"/>
    <mergeCell ref="N224:N226"/>
    <mergeCell ref="O224:O226"/>
    <mergeCell ref="P391:P393"/>
    <mergeCell ref="Q391:Q393"/>
    <mergeCell ref="R391:R393"/>
    <mergeCell ref="G390:G394"/>
    <mergeCell ref="AJ390:AJ394"/>
    <mergeCell ref="AK390:AK394"/>
    <mergeCell ref="I512:K512"/>
    <mergeCell ref="F390:F512"/>
    <mergeCell ref="AF390:AF394"/>
    <mergeCell ref="AG390:AG394"/>
    <mergeCell ref="AH390:AH394"/>
    <mergeCell ref="AI390:AI394"/>
    <mergeCell ref="S391:S393"/>
    <mergeCell ref="T391:T393"/>
    <mergeCell ref="U391:U393"/>
    <mergeCell ref="V391:V393"/>
    <mergeCell ref="W391:W393"/>
    <mergeCell ref="X391:X393"/>
    <mergeCell ref="Y391:Y393"/>
    <mergeCell ref="H390:H394"/>
    <mergeCell ref="I390:I394"/>
    <mergeCell ref="J390:J394"/>
    <mergeCell ref="K390:K394"/>
    <mergeCell ref="L390:L394"/>
    <mergeCell ref="M390:M394"/>
    <mergeCell ref="N391:N393"/>
    <mergeCell ref="O391:O393"/>
    <mergeCell ref="P514:P516"/>
    <mergeCell ref="Q514:Q516"/>
    <mergeCell ref="R514:R516"/>
    <mergeCell ref="G513:G517"/>
    <mergeCell ref="AJ513:AJ517"/>
    <mergeCell ref="AK513:AK517"/>
    <mergeCell ref="I595:K595"/>
    <mergeCell ref="F513:F595"/>
    <mergeCell ref="AF513:AF517"/>
    <mergeCell ref="AG513:AG517"/>
    <mergeCell ref="AH513:AH517"/>
    <mergeCell ref="AI513:AI517"/>
    <mergeCell ref="S514:S516"/>
    <mergeCell ref="T514:T516"/>
    <mergeCell ref="U514:U516"/>
    <mergeCell ref="V514:V516"/>
    <mergeCell ref="W514:W516"/>
    <mergeCell ref="X514:X516"/>
    <mergeCell ref="Y514:Y516"/>
    <mergeCell ref="H513:H517"/>
    <mergeCell ref="I513:I517"/>
    <mergeCell ref="J513:J517"/>
    <mergeCell ref="K513:K517"/>
    <mergeCell ref="L513:L517"/>
    <mergeCell ref="M513:M517"/>
    <mergeCell ref="N514:N516"/>
    <mergeCell ref="O514:O516"/>
    <mergeCell ref="H20:H24"/>
    <mergeCell ref="I20:I24"/>
    <mergeCell ref="J20:J24"/>
    <mergeCell ref="K20:K24"/>
    <mergeCell ref="L20:L24"/>
    <mergeCell ref="M20:M24"/>
    <mergeCell ref="AF20:AF24"/>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G20:G24"/>
    <mergeCell ref="H31:H35"/>
    <mergeCell ref="I31:I35"/>
    <mergeCell ref="J31:J35"/>
    <mergeCell ref="K31:K35"/>
    <mergeCell ref="L31:L35"/>
    <mergeCell ref="M31:M35"/>
    <mergeCell ref="AF31:AF35"/>
    <mergeCell ref="AG31:AG35"/>
    <mergeCell ref="AH31:AH35"/>
    <mergeCell ref="AI31:AI35"/>
    <mergeCell ref="AJ31:AJ35"/>
    <mergeCell ref="AK31:AK35"/>
    <mergeCell ref="N32:N34"/>
    <mergeCell ref="O32:O34"/>
    <mergeCell ref="P32:P34"/>
    <mergeCell ref="Q32:Q34"/>
    <mergeCell ref="R32:R34"/>
    <mergeCell ref="S32:S34"/>
    <mergeCell ref="T32:T34"/>
    <mergeCell ref="U32:U34"/>
    <mergeCell ref="V32:V34"/>
    <mergeCell ref="W32:W34"/>
    <mergeCell ref="X32:X34"/>
    <mergeCell ref="Y32:Y34"/>
    <mergeCell ref="G31:G35"/>
    <mergeCell ref="H57:H61"/>
    <mergeCell ref="I57:I61"/>
    <mergeCell ref="J57:J61"/>
    <mergeCell ref="K57:K61"/>
    <mergeCell ref="L57:L61"/>
    <mergeCell ref="M57:M61"/>
    <mergeCell ref="AF57:AF61"/>
    <mergeCell ref="AG57:AG61"/>
    <mergeCell ref="AH57:AH61"/>
    <mergeCell ref="AI57:AI61"/>
    <mergeCell ref="AJ57:AJ61"/>
    <mergeCell ref="AK57:AK61"/>
    <mergeCell ref="N58:N60"/>
    <mergeCell ref="O58:O60"/>
    <mergeCell ref="P58:P60"/>
    <mergeCell ref="Q58:Q60"/>
    <mergeCell ref="R58:R60"/>
    <mergeCell ref="S58:S60"/>
    <mergeCell ref="T58:T60"/>
    <mergeCell ref="U58:U60"/>
    <mergeCell ref="V58:V60"/>
    <mergeCell ref="W58:W60"/>
    <mergeCell ref="X58:X60"/>
    <mergeCell ref="Y58:Y60"/>
    <mergeCell ref="G57:G61"/>
    <mergeCell ref="H228:H232"/>
    <mergeCell ref="I228:I232"/>
    <mergeCell ref="J228:J232"/>
    <mergeCell ref="K228:K232"/>
    <mergeCell ref="L228:L232"/>
    <mergeCell ref="M228:M232"/>
    <mergeCell ref="AF228:AF232"/>
    <mergeCell ref="AG228:AG232"/>
    <mergeCell ref="AH228:AH232"/>
    <mergeCell ref="AI228:AI232"/>
    <mergeCell ref="AJ228:AJ232"/>
    <mergeCell ref="AK228:AK232"/>
    <mergeCell ref="N229:N231"/>
    <mergeCell ref="O229:O231"/>
    <mergeCell ref="P229:P231"/>
    <mergeCell ref="Q229:Q231"/>
    <mergeCell ref="R229:R231"/>
    <mergeCell ref="S229:S231"/>
    <mergeCell ref="T229:T231"/>
    <mergeCell ref="U229:U231"/>
    <mergeCell ref="V229:V231"/>
    <mergeCell ref="W229:W231"/>
    <mergeCell ref="X229:X231"/>
    <mergeCell ref="Y229:Y231"/>
    <mergeCell ref="G228:G232"/>
    <mergeCell ref="H395:H399"/>
    <mergeCell ref="I395:I399"/>
    <mergeCell ref="J395:J399"/>
    <mergeCell ref="K395:K399"/>
    <mergeCell ref="L395:L399"/>
    <mergeCell ref="M395:M399"/>
    <mergeCell ref="AF395:AF399"/>
    <mergeCell ref="AG395:AG399"/>
    <mergeCell ref="AH395:AH399"/>
    <mergeCell ref="AI395:AI399"/>
    <mergeCell ref="AJ395:AJ399"/>
    <mergeCell ref="AK395:AK399"/>
    <mergeCell ref="N396:N398"/>
    <mergeCell ref="O396:O398"/>
    <mergeCell ref="P396:P398"/>
    <mergeCell ref="Q396:Q398"/>
    <mergeCell ref="R396:R398"/>
    <mergeCell ref="S396:S398"/>
    <mergeCell ref="T396:T398"/>
    <mergeCell ref="U396:U398"/>
    <mergeCell ref="V396:V398"/>
    <mergeCell ref="W396:W398"/>
    <mergeCell ref="X396:X398"/>
    <mergeCell ref="Y396:Y398"/>
    <mergeCell ref="G395:G399"/>
    <mergeCell ref="H518:H522"/>
    <mergeCell ref="I518:I522"/>
    <mergeCell ref="J518:J522"/>
    <mergeCell ref="K518:K522"/>
    <mergeCell ref="L518:L522"/>
    <mergeCell ref="M518:M522"/>
    <mergeCell ref="AF518:AF522"/>
    <mergeCell ref="AG518:AG522"/>
    <mergeCell ref="AH518:AH522"/>
    <mergeCell ref="AI518:AI522"/>
    <mergeCell ref="AJ518:AJ522"/>
    <mergeCell ref="AK518:AK522"/>
    <mergeCell ref="N519:N521"/>
    <mergeCell ref="O519:O521"/>
    <mergeCell ref="P519:P521"/>
    <mergeCell ref="Q519:Q521"/>
    <mergeCell ref="R519:R521"/>
    <mergeCell ref="S519:S521"/>
    <mergeCell ref="T519:T521"/>
    <mergeCell ref="U519:U521"/>
    <mergeCell ref="V519:V521"/>
    <mergeCell ref="W519:W521"/>
    <mergeCell ref="X519:X521"/>
    <mergeCell ref="Y519:Y521"/>
    <mergeCell ref="G518:G522"/>
    <mergeCell ref="H233:H237"/>
    <mergeCell ref="I233:I237"/>
    <mergeCell ref="J233:J237"/>
    <mergeCell ref="K233:K237"/>
    <mergeCell ref="L233:L237"/>
    <mergeCell ref="M233:M237"/>
    <mergeCell ref="AF233:AF237"/>
    <mergeCell ref="AG233:AG237"/>
    <mergeCell ref="AH233:AH237"/>
    <mergeCell ref="AI233:AI237"/>
    <mergeCell ref="AJ233:AJ237"/>
    <mergeCell ref="AK233:AK237"/>
    <mergeCell ref="N234:N236"/>
    <mergeCell ref="O234:O236"/>
    <mergeCell ref="P234:P236"/>
    <mergeCell ref="Q234:Q236"/>
    <mergeCell ref="R234:R236"/>
    <mergeCell ref="S234:S236"/>
    <mergeCell ref="T234:T236"/>
    <mergeCell ref="U234:U236"/>
    <mergeCell ref="V234:V236"/>
    <mergeCell ref="W234:W236"/>
    <mergeCell ref="X234:X236"/>
    <mergeCell ref="Y234:Y236"/>
    <mergeCell ref="G233:G237"/>
    <mergeCell ref="H238:H242"/>
    <mergeCell ref="I238:I242"/>
    <mergeCell ref="J238:J242"/>
    <mergeCell ref="K238:K242"/>
    <mergeCell ref="L238:L242"/>
    <mergeCell ref="M238:M242"/>
    <mergeCell ref="AF238:AF242"/>
    <mergeCell ref="AG238:AG242"/>
    <mergeCell ref="AH238:AH242"/>
    <mergeCell ref="AI238:AI242"/>
    <mergeCell ref="AJ238:AJ242"/>
    <mergeCell ref="AK238:AK242"/>
    <mergeCell ref="N239:N241"/>
    <mergeCell ref="O239:O241"/>
    <mergeCell ref="P239:P241"/>
    <mergeCell ref="Q239:Q241"/>
    <mergeCell ref="R239:R241"/>
    <mergeCell ref="S239:S241"/>
    <mergeCell ref="T239:T241"/>
    <mergeCell ref="U239:U241"/>
    <mergeCell ref="V239:V241"/>
    <mergeCell ref="W239:W241"/>
    <mergeCell ref="X239:X241"/>
    <mergeCell ref="Y239:Y241"/>
    <mergeCell ref="G238:G242"/>
    <mergeCell ref="H62:H66"/>
    <mergeCell ref="I62:I66"/>
    <mergeCell ref="J62:J66"/>
    <mergeCell ref="K62:K66"/>
    <mergeCell ref="L62:L66"/>
    <mergeCell ref="M62:M66"/>
    <mergeCell ref="AF62:AF66"/>
    <mergeCell ref="AG62:AG66"/>
    <mergeCell ref="AH62:AH66"/>
    <mergeCell ref="AI62:AI66"/>
    <mergeCell ref="AJ62:AJ66"/>
    <mergeCell ref="AK62:AK66"/>
    <mergeCell ref="N63:N65"/>
    <mergeCell ref="O63:O65"/>
    <mergeCell ref="P63:P65"/>
    <mergeCell ref="Q63:Q65"/>
    <mergeCell ref="R63:R65"/>
    <mergeCell ref="S63:S65"/>
    <mergeCell ref="T63:T65"/>
    <mergeCell ref="U63:U65"/>
    <mergeCell ref="V63:V65"/>
    <mergeCell ref="W63:W65"/>
    <mergeCell ref="X63:X65"/>
    <mergeCell ref="Y63:Y65"/>
    <mergeCell ref="G62:G66"/>
    <mergeCell ref="H67:H71"/>
    <mergeCell ref="I67:I71"/>
    <mergeCell ref="J67:J71"/>
    <mergeCell ref="K67:K71"/>
    <mergeCell ref="L67:L71"/>
    <mergeCell ref="M67:M71"/>
    <mergeCell ref="AF67:AF71"/>
    <mergeCell ref="AG67:AG71"/>
    <mergeCell ref="AH67:AH71"/>
    <mergeCell ref="AI67:AI71"/>
    <mergeCell ref="AJ67:AJ71"/>
    <mergeCell ref="AK67:AK71"/>
    <mergeCell ref="N68:N70"/>
    <mergeCell ref="O68:O70"/>
    <mergeCell ref="P68:P70"/>
    <mergeCell ref="Q68:Q70"/>
    <mergeCell ref="R68:R70"/>
    <mergeCell ref="S68:S70"/>
    <mergeCell ref="T68:T70"/>
    <mergeCell ref="U68:U70"/>
    <mergeCell ref="V68:V70"/>
    <mergeCell ref="W68:W70"/>
    <mergeCell ref="X68:X70"/>
    <mergeCell ref="Y68:Y70"/>
    <mergeCell ref="G67:G71"/>
    <mergeCell ref="H243:H247"/>
    <mergeCell ref="I243:I247"/>
    <mergeCell ref="J243:J247"/>
    <mergeCell ref="K243:K247"/>
    <mergeCell ref="L243:L247"/>
    <mergeCell ref="M243:M247"/>
    <mergeCell ref="AF243:AF247"/>
    <mergeCell ref="AG243:AG247"/>
    <mergeCell ref="AH243:AH247"/>
    <mergeCell ref="AI243:AI247"/>
    <mergeCell ref="AJ243:AJ247"/>
    <mergeCell ref="AK243:AK247"/>
    <mergeCell ref="N244:N246"/>
    <mergeCell ref="O244:O246"/>
    <mergeCell ref="P244:P246"/>
    <mergeCell ref="Q244:Q246"/>
    <mergeCell ref="R244:R246"/>
    <mergeCell ref="S244:S246"/>
    <mergeCell ref="T244:T246"/>
    <mergeCell ref="U244:U246"/>
    <mergeCell ref="V244:V246"/>
    <mergeCell ref="W244:W246"/>
    <mergeCell ref="X244:X246"/>
    <mergeCell ref="Y244:Y246"/>
    <mergeCell ref="G243:G247"/>
    <mergeCell ref="H72:H76"/>
    <mergeCell ref="I72:I76"/>
    <mergeCell ref="J72:J76"/>
    <mergeCell ref="K72:K76"/>
    <mergeCell ref="L72:L76"/>
    <mergeCell ref="M72:M76"/>
    <mergeCell ref="AF72:AF76"/>
    <mergeCell ref="AG72:AG76"/>
    <mergeCell ref="AH72:AH76"/>
    <mergeCell ref="AI72:AI76"/>
    <mergeCell ref="AJ72:AJ76"/>
    <mergeCell ref="AK72:AK76"/>
    <mergeCell ref="N73:N75"/>
    <mergeCell ref="O73:O75"/>
    <mergeCell ref="P73:P75"/>
    <mergeCell ref="Q73:Q75"/>
    <mergeCell ref="R73:R75"/>
    <mergeCell ref="S73:S75"/>
    <mergeCell ref="T73:T75"/>
    <mergeCell ref="U73:U75"/>
    <mergeCell ref="V73:V75"/>
    <mergeCell ref="W73:W75"/>
    <mergeCell ref="X73:X75"/>
    <mergeCell ref="Y73:Y75"/>
    <mergeCell ref="G72:G76"/>
    <mergeCell ref="H77:H81"/>
    <mergeCell ref="I77:I81"/>
    <mergeCell ref="J77:J81"/>
    <mergeCell ref="K77:K81"/>
    <mergeCell ref="L77:L81"/>
    <mergeCell ref="M77:M81"/>
    <mergeCell ref="AF77:AF81"/>
    <mergeCell ref="AG77:AG81"/>
    <mergeCell ref="AH77:AH81"/>
    <mergeCell ref="AI77:AI81"/>
    <mergeCell ref="AJ77:AJ81"/>
    <mergeCell ref="AK77:AK81"/>
    <mergeCell ref="N78:N80"/>
    <mergeCell ref="O78:O80"/>
    <mergeCell ref="P78:P80"/>
    <mergeCell ref="Q78:Q80"/>
    <mergeCell ref="R78:R80"/>
    <mergeCell ref="S78:S80"/>
    <mergeCell ref="T78:T80"/>
    <mergeCell ref="U78:U80"/>
    <mergeCell ref="V78:V80"/>
    <mergeCell ref="W78:W80"/>
    <mergeCell ref="X78:X80"/>
    <mergeCell ref="Y78:Y80"/>
    <mergeCell ref="G77:G81"/>
    <mergeCell ref="H248:H252"/>
    <mergeCell ref="I248:I252"/>
    <mergeCell ref="J248:J252"/>
    <mergeCell ref="K248:K252"/>
    <mergeCell ref="L248:L252"/>
    <mergeCell ref="M248:M252"/>
    <mergeCell ref="AF248:AF252"/>
    <mergeCell ref="AG248:AG252"/>
    <mergeCell ref="AH248:AH252"/>
    <mergeCell ref="AI248:AI252"/>
    <mergeCell ref="AJ248:AJ252"/>
    <mergeCell ref="AK248:AK252"/>
    <mergeCell ref="N249:N251"/>
    <mergeCell ref="O249:O251"/>
    <mergeCell ref="P249:P251"/>
    <mergeCell ref="Q249:Q251"/>
    <mergeCell ref="R249:R251"/>
    <mergeCell ref="S249:S251"/>
    <mergeCell ref="T249:T251"/>
    <mergeCell ref="U249:U251"/>
    <mergeCell ref="V249:V251"/>
    <mergeCell ref="W249:W251"/>
    <mergeCell ref="X249:X251"/>
    <mergeCell ref="Y249:Y251"/>
    <mergeCell ref="G248:G252"/>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G82:G86"/>
    <mergeCell ref="H87:H91"/>
    <mergeCell ref="I87:I91"/>
    <mergeCell ref="J87:J91"/>
    <mergeCell ref="K87:K91"/>
    <mergeCell ref="L87:L91"/>
    <mergeCell ref="M87:M91"/>
    <mergeCell ref="AF87:AF91"/>
    <mergeCell ref="AG87:AG91"/>
    <mergeCell ref="AH87:AH91"/>
    <mergeCell ref="AI87:AI91"/>
    <mergeCell ref="AJ87:AJ91"/>
    <mergeCell ref="AK87:AK91"/>
    <mergeCell ref="N88:N90"/>
    <mergeCell ref="O88:O90"/>
    <mergeCell ref="P88:P90"/>
    <mergeCell ref="Q88:Q90"/>
    <mergeCell ref="R88:R90"/>
    <mergeCell ref="S88:S90"/>
    <mergeCell ref="T88:T90"/>
    <mergeCell ref="U88:U90"/>
    <mergeCell ref="V88:V90"/>
    <mergeCell ref="W88:W90"/>
    <mergeCell ref="X88:X90"/>
    <mergeCell ref="Y88:Y90"/>
    <mergeCell ref="G87:G91"/>
    <mergeCell ref="H253:H257"/>
    <mergeCell ref="I253:I257"/>
    <mergeCell ref="J253:J257"/>
    <mergeCell ref="K253:K257"/>
    <mergeCell ref="L253:L257"/>
    <mergeCell ref="M253:M257"/>
    <mergeCell ref="AF253:AF257"/>
    <mergeCell ref="AG253:AG257"/>
    <mergeCell ref="AH253:AH257"/>
    <mergeCell ref="AI253:AI257"/>
    <mergeCell ref="AJ253:AJ257"/>
    <mergeCell ref="AK253:AK257"/>
    <mergeCell ref="N254:N256"/>
    <mergeCell ref="O254:O256"/>
    <mergeCell ref="P254:P256"/>
    <mergeCell ref="Q254:Q256"/>
    <mergeCell ref="R254:R256"/>
    <mergeCell ref="S254:S256"/>
    <mergeCell ref="T254:T256"/>
    <mergeCell ref="U254:U256"/>
    <mergeCell ref="V254:V256"/>
    <mergeCell ref="W254:W256"/>
    <mergeCell ref="X254:X256"/>
    <mergeCell ref="Y254:Y256"/>
    <mergeCell ref="G253:G257"/>
    <mergeCell ref="H92:H96"/>
    <mergeCell ref="I92:I96"/>
    <mergeCell ref="J92:J96"/>
    <mergeCell ref="K92:K96"/>
    <mergeCell ref="L92:L96"/>
    <mergeCell ref="M92:M96"/>
    <mergeCell ref="AF92:AF96"/>
    <mergeCell ref="AG92:AG96"/>
    <mergeCell ref="AH92:AH96"/>
    <mergeCell ref="AI92:AI96"/>
    <mergeCell ref="AJ92:AJ96"/>
    <mergeCell ref="AK92:AK96"/>
    <mergeCell ref="N93:N95"/>
    <mergeCell ref="O93:O95"/>
    <mergeCell ref="P93:P95"/>
    <mergeCell ref="Q93:Q95"/>
    <mergeCell ref="R93:R95"/>
    <mergeCell ref="S93:S95"/>
    <mergeCell ref="T93:T95"/>
    <mergeCell ref="U93:U95"/>
    <mergeCell ref="V93:V95"/>
    <mergeCell ref="W93:W95"/>
    <mergeCell ref="X93:X95"/>
    <mergeCell ref="Y93:Y95"/>
    <mergeCell ref="G92:G96"/>
    <mergeCell ref="H400:H404"/>
    <mergeCell ref="I400:I404"/>
    <mergeCell ref="J400:J404"/>
    <mergeCell ref="K400:K404"/>
    <mergeCell ref="L400:L404"/>
    <mergeCell ref="M400:M404"/>
    <mergeCell ref="AF400:AF404"/>
    <mergeCell ref="AG400:AG404"/>
    <mergeCell ref="AH400:AH404"/>
    <mergeCell ref="AI400:AI404"/>
    <mergeCell ref="AJ400:AJ404"/>
    <mergeCell ref="AK400:AK404"/>
    <mergeCell ref="N401:N403"/>
    <mergeCell ref="O401:O403"/>
    <mergeCell ref="P401:P403"/>
    <mergeCell ref="Q401:Q403"/>
    <mergeCell ref="R401:R403"/>
    <mergeCell ref="S401:S403"/>
    <mergeCell ref="T401:T403"/>
    <mergeCell ref="U401:U403"/>
    <mergeCell ref="V401:V403"/>
    <mergeCell ref="W401:W403"/>
    <mergeCell ref="X401:X403"/>
    <mergeCell ref="Y401:Y403"/>
    <mergeCell ref="G400:G404"/>
    <mergeCell ref="H258:H262"/>
    <mergeCell ref="I258:I262"/>
    <mergeCell ref="J258:J262"/>
    <mergeCell ref="K258:K262"/>
    <mergeCell ref="L258:L262"/>
    <mergeCell ref="M258:M262"/>
    <mergeCell ref="AF258:AF262"/>
    <mergeCell ref="AG258:AG262"/>
    <mergeCell ref="AH258:AH262"/>
    <mergeCell ref="AI258:AI262"/>
    <mergeCell ref="AJ258:AJ262"/>
    <mergeCell ref="AK258:AK262"/>
    <mergeCell ref="N259:N261"/>
    <mergeCell ref="O259:O261"/>
    <mergeCell ref="P259:P261"/>
    <mergeCell ref="Q259:Q261"/>
    <mergeCell ref="R259:R261"/>
    <mergeCell ref="S259:S261"/>
    <mergeCell ref="T259:T261"/>
    <mergeCell ref="U259:U261"/>
    <mergeCell ref="V259:V261"/>
    <mergeCell ref="W259:W261"/>
    <mergeCell ref="X259:X261"/>
    <mergeCell ref="Y259:Y261"/>
    <mergeCell ref="G258:G262"/>
    <mergeCell ref="H263:H267"/>
    <mergeCell ref="I263:I267"/>
    <mergeCell ref="J263:J267"/>
    <mergeCell ref="K263:K267"/>
    <mergeCell ref="L263:L267"/>
    <mergeCell ref="M263:M267"/>
    <mergeCell ref="AF263:AF267"/>
    <mergeCell ref="AG263:AG267"/>
    <mergeCell ref="AH263:AH267"/>
    <mergeCell ref="AI263:AI267"/>
    <mergeCell ref="AJ263:AJ267"/>
    <mergeCell ref="AK263:AK267"/>
    <mergeCell ref="N264:N266"/>
    <mergeCell ref="O264:O266"/>
    <mergeCell ref="P264:P266"/>
    <mergeCell ref="Q264:Q266"/>
    <mergeCell ref="R264:R266"/>
    <mergeCell ref="S264:S266"/>
    <mergeCell ref="T264:T266"/>
    <mergeCell ref="U264:U266"/>
    <mergeCell ref="V264:V266"/>
    <mergeCell ref="W264:W266"/>
    <mergeCell ref="X264:X266"/>
    <mergeCell ref="Y264:Y266"/>
    <mergeCell ref="G263:G267"/>
    <mergeCell ref="H97:H101"/>
    <mergeCell ref="I97:I101"/>
    <mergeCell ref="J97:J101"/>
    <mergeCell ref="K97:K101"/>
    <mergeCell ref="L97:L101"/>
    <mergeCell ref="M97:M101"/>
    <mergeCell ref="AF97:AF101"/>
    <mergeCell ref="AG97:AG101"/>
    <mergeCell ref="AH97:AH101"/>
    <mergeCell ref="AI97:AI101"/>
    <mergeCell ref="AJ97:AJ101"/>
    <mergeCell ref="AK97:AK101"/>
    <mergeCell ref="N98:N100"/>
    <mergeCell ref="O98:O100"/>
    <mergeCell ref="P98:P100"/>
    <mergeCell ref="Q98:Q100"/>
    <mergeCell ref="R98:R100"/>
    <mergeCell ref="S98:S100"/>
    <mergeCell ref="T98:T100"/>
    <mergeCell ref="U98:U100"/>
    <mergeCell ref="V98:V100"/>
    <mergeCell ref="W98:W100"/>
    <mergeCell ref="X98:X100"/>
    <mergeCell ref="Y98:Y100"/>
    <mergeCell ref="G97:G101"/>
    <mergeCell ref="H36:H40"/>
    <mergeCell ref="I36:I40"/>
    <mergeCell ref="J36:J40"/>
    <mergeCell ref="K36:K40"/>
    <mergeCell ref="L36:L40"/>
    <mergeCell ref="M36:M40"/>
    <mergeCell ref="AF36:AF40"/>
    <mergeCell ref="AG36:AG40"/>
    <mergeCell ref="AH36:AH40"/>
    <mergeCell ref="AI36:AI40"/>
    <mergeCell ref="AJ36:AJ40"/>
    <mergeCell ref="AK36:AK40"/>
    <mergeCell ref="N37:N39"/>
    <mergeCell ref="O37:O39"/>
    <mergeCell ref="P37:P39"/>
    <mergeCell ref="Q37:Q39"/>
    <mergeCell ref="R37:R39"/>
    <mergeCell ref="S37:S39"/>
    <mergeCell ref="T37:T39"/>
    <mergeCell ref="U37:U39"/>
    <mergeCell ref="V37:V39"/>
    <mergeCell ref="W37:W39"/>
    <mergeCell ref="X37:X39"/>
    <mergeCell ref="Y37:Y39"/>
    <mergeCell ref="G36:G40"/>
    <mergeCell ref="H268:H272"/>
    <mergeCell ref="I268:I272"/>
    <mergeCell ref="J268:J272"/>
    <mergeCell ref="K268:K272"/>
    <mergeCell ref="L268:L272"/>
    <mergeCell ref="M268:M272"/>
    <mergeCell ref="AF268:AF272"/>
    <mergeCell ref="AG268:AG272"/>
    <mergeCell ref="AH268:AH272"/>
    <mergeCell ref="AI268:AI272"/>
    <mergeCell ref="AJ268:AJ272"/>
    <mergeCell ref="AK268:AK272"/>
    <mergeCell ref="N269:N271"/>
    <mergeCell ref="O269:O271"/>
    <mergeCell ref="P269:P271"/>
    <mergeCell ref="Q269:Q271"/>
    <mergeCell ref="R269:R271"/>
    <mergeCell ref="S269:S271"/>
    <mergeCell ref="T269:T271"/>
    <mergeCell ref="U269:U271"/>
    <mergeCell ref="V269:V271"/>
    <mergeCell ref="W269:W271"/>
    <mergeCell ref="X269:X271"/>
    <mergeCell ref="Y269:Y271"/>
    <mergeCell ref="G268:G272"/>
    <mergeCell ref="H273:H277"/>
    <mergeCell ref="I273:I277"/>
    <mergeCell ref="J273:J277"/>
    <mergeCell ref="K273:K277"/>
    <mergeCell ref="L273:L277"/>
    <mergeCell ref="M273:M277"/>
    <mergeCell ref="AF273:AF277"/>
    <mergeCell ref="AG273:AG277"/>
    <mergeCell ref="AH273:AH277"/>
    <mergeCell ref="AI273:AI277"/>
    <mergeCell ref="AJ273:AJ277"/>
    <mergeCell ref="AK273:AK277"/>
    <mergeCell ref="N274:N276"/>
    <mergeCell ref="O274:O276"/>
    <mergeCell ref="P274:P276"/>
    <mergeCell ref="Q274:Q276"/>
    <mergeCell ref="R274:R276"/>
    <mergeCell ref="S274:S276"/>
    <mergeCell ref="T274:T276"/>
    <mergeCell ref="U274:U276"/>
    <mergeCell ref="V274:V276"/>
    <mergeCell ref="W274:W276"/>
    <mergeCell ref="X274:X276"/>
    <mergeCell ref="Y274:Y276"/>
    <mergeCell ref="G273:G277"/>
    <mergeCell ref="H278:H282"/>
    <mergeCell ref="I278:I282"/>
    <mergeCell ref="J278:J282"/>
    <mergeCell ref="K278:K282"/>
    <mergeCell ref="L278:L282"/>
    <mergeCell ref="M278:M282"/>
    <mergeCell ref="AF278:AF282"/>
    <mergeCell ref="AG278:AG282"/>
    <mergeCell ref="AH278:AH282"/>
    <mergeCell ref="AI278:AI282"/>
    <mergeCell ref="AJ278:AJ282"/>
    <mergeCell ref="AK278:AK282"/>
    <mergeCell ref="N279:N281"/>
    <mergeCell ref="O279:O281"/>
    <mergeCell ref="P279:P281"/>
    <mergeCell ref="Q279:Q281"/>
    <mergeCell ref="R279:R281"/>
    <mergeCell ref="S279:S281"/>
    <mergeCell ref="T279:T281"/>
    <mergeCell ref="U279:U281"/>
    <mergeCell ref="V279:V281"/>
    <mergeCell ref="W279:W281"/>
    <mergeCell ref="X279:X281"/>
    <mergeCell ref="Y279:Y281"/>
    <mergeCell ref="G278:G282"/>
    <mergeCell ref="H523:H528"/>
    <mergeCell ref="I523:I528"/>
    <mergeCell ref="J523:J528"/>
    <mergeCell ref="K523:K528"/>
    <mergeCell ref="L523:L528"/>
    <mergeCell ref="M523:M528"/>
    <mergeCell ref="AF523:AF528"/>
    <mergeCell ref="AG523:AG528"/>
    <mergeCell ref="AH523:AH528"/>
    <mergeCell ref="AI523:AI528"/>
    <mergeCell ref="AJ523:AJ528"/>
    <mergeCell ref="AK523:AK528"/>
    <mergeCell ref="N524:N527"/>
    <mergeCell ref="O524:O527"/>
    <mergeCell ref="P524:P527"/>
    <mergeCell ref="Q524:Q527"/>
    <mergeCell ref="R524:R527"/>
    <mergeCell ref="S524:S527"/>
    <mergeCell ref="T524:T527"/>
    <mergeCell ref="U524:U527"/>
    <mergeCell ref="V524:V527"/>
    <mergeCell ref="W524:W527"/>
    <mergeCell ref="X524:X527"/>
    <mergeCell ref="Y524:Y527"/>
    <mergeCell ref="G523:G528"/>
    <mergeCell ref="H102:H106"/>
    <mergeCell ref="I102:I106"/>
    <mergeCell ref="J102:J106"/>
    <mergeCell ref="K102:K106"/>
    <mergeCell ref="L102:L106"/>
    <mergeCell ref="M102:M106"/>
    <mergeCell ref="AF102:AF106"/>
    <mergeCell ref="AG102:AG106"/>
    <mergeCell ref="AH102:AH106"/>
    <mergeCell ref="AI102:AI106"/>
    <mergeCell ref="AJ102:AJ106"/>
    <mergeCell ref="AK102:AK106"/>
    <mergeCell ref="N103:N105"/>
    <mergeCell ref="O103:O105"/>
    <mergeCell ref="P103:P105"/>
    <mergeCell ref="Q103:Q105"/>
    <mergeCell ref="R103:R105"/>
    <mergeCell ref="S103:S105"/>
    <mergeCell ref="T103:T105"/>
    <mergeCell ref="U103:U105"/>
    <mergeCell ref="V103:V105"/>
    <mergeCell ref="W103:W105"/>
    <mergeCell ref="X103:X105"/>
    <mergeCell ref="Y103:Y105"/>
    <mergeCell ref="G102:G106"/>
    <mergeCell ref="H405:H409"/>
    <mergeCell ref="I405:I409"/>
    <mergeCell ref="J405:J409"/>
    <mergeCell ref="K405:K409"/>
    <mergeCell ref="L405:L409"/>
    <mergeCell ref="M405:M409"/>
    <mergeCell ref="AF405:AF409"/>
    <mergeCell ref="AG405:AG409"/>
    <mergeCell ref="AH405:AH409"/>
    <mergeCell ref="AI405:AI409"/>
    <mergeCell ref="AJ405:AJ409"/>
    <mergeCell ref="AK405:AK409"/>
    <mergeCell ref="N406:N408"/>
    <mergeCell ref="O406:O408"/>
    <mergeCell ref="P406:P408"/>
    <mergeCell ref="Q406:Q408"/>
    <mergeCell ref="R406:R408"/>
    <mergeCell ref="S406:S408"/>
    <mergeCell ref="T406:T408"/>
    <mergeCell ref="U406:U408"/>
    <mergeCell ref="V406:V408"/>
    <mergeCell ref="W406:W408"/>
    <mergeCell ref="X406:X408"/>
    <mergeCell ref="Y406:Y408"/>
    <mergeCell ref="G405:G409"/>
    <mergeCell ref="H410:H414"/>
    <mergeCell ref="I410:I414"/>
    <mergeCell ref="J410:J414"/>
    <mergeCell ref="K410:K414"/>
    <mergeCell ref="L410:L414"/>
    <mergeCell ref="M410:M414"/>
    <mergeCell ref="AF410:AF414"/>
    <mergeCell ref="AG410:AG414"/>
    <mergeCell ref="AH410:AH414"/>
    <mergeCell ref="AI410:AI414"/>
    <mergeCell ref="AJ410:AJ414"/>
    <mergeCell ref="AK410:AK414"/>
    <mergeCell ref="N411:N413"/>
    <mergeCell ref="O411:O413"/>
    <mergeCell ref="P411:P413"/>
    <mergeCell ref="Q411:Q413"/>
    <mergeCell ref="R411:R413"/>
    <mergeCell ref="S411:S413"/>
    <mergeCell ref="T411:T413"/>
    <mergeCell ref="U411:U413"/>
    <mergeCell ref="V411:V413"/>
    <mergeCell ref="W411:W413"/>
    <mergeCell ref="X411:X413"/>
    <mergeCell ref="Y411:Y413"/>
    <mergeCell ref="G410:G414"/>
    <mergeCell ref="H529:H533"/>
    <mergeCell ref="I529:I533"/>
    <mergeCell ref="J529:J533"/>
    <mergeCell ref="K529:K533"/>
    <mergeCell ref="L529:L533"/>
    <mergeCell ref="M529:M533"/>
    <mergeCell ref="AF529:AF533"/>
    <mergeCell ref="AG529:AG533"/>
    <mergeCell ref="AH529:AH533"/>
    <mergeCell ref="AI529:AI533"/>
    <mergeCell ref="AJ529:AJ533"/>
    <mergeCell ref="AK529:AK533"/>
    <mergeCell ref="N530:N532"/>
    <mergeCell ref="O530:O532"/>
    <mergeCell ref="P530:P532"/>
    <mergeCell ref="Q530:Q532"/>
    <mergeCell ref="R530:R532"/>
    <mergeCell ref="S530:S532"/>
    <mergeCell ref="T530:T532"/>
    <mergeCell ref="U530:U532"/>
    <mergeCell ref="V530:V532"/>
    <mergeCell ref="W530:W532"/>
    <mergeCell ref="X530:X532"/>
    <mergeCell ref="Y530:Y532"/>
    <mergeCell ref="G529:G533"/>
    <mergeCell ref="H534:H539"/>
    <mergeCell ref="I534:I539"/>
    <mergeCell ref="J534:J539"/>
    <mergeCell ref="K534:K539"/>
    <mergeCell ref="L534:L539"/>
    <mergeCell ref="M534:M539"/>
    <mergeCell ref="AF534:AF539"/>
    <mergeCell ref="AG534:AG539"/>
    <mergeCell ref="AH534:AH539"/>
    <mergeCell ref="AI534:AI539"/>
    <mergeCell ref="AJ534:AJ539"/>
    <mergeCell ref="AK534:AK539"/>
    <mergeCell ref="N535:N538"/>
    <mergeCell ref="O535:O538"/>
    <mergeCell ref="P535:P538"/>
    <mergeCell ref="Q535:Q538"/>
    <mergeCell ref="R535:R538"/>
    <mergeCell ref="S535:S538"/>
    <mergeCell ref="T535:T538"/>
    <mergeCell ref="U535:U538"/>
    <mergeCell ref="V535:V538"/>
    <mergeCell ref="W535:W538"/>
    <mergeCell ref="X535:X538"/>
    <mergeCell ref="Y535:Y538"/>
    <mergeCell ref="G534:G539"/>
    <mergeCell ref="H283:H287"/>
    <mergeCell ref="I283:I287"/>
    <mergeCell ref="J283:J287"/>
    <mergeCell ref="K283:K287"/>
    <mergeCell ref="L283:L287"/>
    <mergeCell ref="M283:M287"/>
    <mergeCell ref="AF283:AF287"/>
    <mergeCell ref="AG283:AG287"/>
    <mergeCell ref="AH283:AH287"/>
    <mergeCell ref="AI283:AI287"/>
    <mergeCell ref="AJ283:AJ287"/>
    <mergeCell ref="AK283:AK287"/>
    <mergeCell ref="N284:N286"/>
    <mergeCell ref="O284:O286"/>
    <mergeCell ref="P284:P286"/>
    <mergeCell ref="Q284:Q286"/>
    <mergeCell ref="R284:R286"/>
    <mergeCell ref="S284:S286"/>
    <mergeCell ref="T284:T286"/>
    <mergeCell ref="U284:U286"/>
    <mergeCell ref="V284:V286"/>
    <mergeCell ref="W284:W286"/>
    <mergeCell ref="X284:X286"/>
    <mergeCell ref="Y284:Y286"/>
    <mergeCell ref="G283:G287"/>
    <mergeCell ref="H415:H419"/>
    <mergeCell ref="I415:I419"/>
    <mergeCell ref="J415:J419"/>
    <mergeCell ref="K415:K419"/>
    <mergeCell ref="L415:L419"/>
    <mergeCell ref="M415:M419"/>
    <mergeCell ref="AF415:AF419"/>
    <mergeCell ref="AG415:AG419"/>
    <mergeCell ref="AH415:AH419"/>
    <mergeCell ref="AI415:AI419"/>
    <mergeCell ref="AJ415:AJ419"/>
    <mergeCell ref="AK415:AK419"/>
    <mergeCell ref="N416:N418"/>
    <mergeCell ref="O416:O418"/>
    <mergeCell ref="P416:P418"/>
    <mergeCell ref="Q416:Q418"/>
    <mergeCell ref="R416:R418"/>
    <mergeCell ref="S416:S418"/>
    <mergeCell ref="T416:T418"/>
    <mergeCell ref="U416:U418"/>
    <mergeCell ref="V416:V418"/>
    <mergeCell ref="W416:W418"/>
    <mergeCell ref="X416:X418"/>
    <mergeCell ref="Y416:Y418"/>
    <mergeCell ref="G415:G419"/>
    <mergeCell ref="H540:H544"/>
    <mergeCell ref="I540:I544"/>
    <mergeCell ref="J540:J544"/>
    <mergeCell ref="K540:K544"/>
    <mergeCell ref="L540:L544"/>
    <mergeCell ref="M540:M544"/>
    <mergeCell ref="AF540:AF544"/>
    <mergeCell ref="AG540:AG544"/>
    <mergeCell ref="AH540:AH544"/>
    <mergeCell ref="AI540:AI544"/>
    <mergeCell ref="AJ540:AJ544"/>
    <mergeCell ref="AK540:AK544"/>
    <mergeCell ref="N541:N543"/>
    <mergeCell ref="O541:O543"/>
    <mergeCell ref="P541:P543"/>
    <mergeCell ref="Q541:Q543"/>
    <mergeCell ref="R541:R543"/>
    <mergeCell ref="S541:S543"/>
    <mergeCell ref="T541:T543"/>
    <mergeCell ref="U541:U543"/>
    <mergeCell ref="V541:V543"/>
    <mergeCell ref="W541:W543"/>
    <mergeCell ref="X541:X543"/>
    <mergeCell ref="Y541:Y543"/>
    <mergeCell ref="G540:G544"/>
    <mergeCell ref="H288:H292"/>
    <mergeCell ref="I288:I292"/>
    <mergeCell ref="J288:J292"/>
    <mergeCell ref="K288:K292"/>
    <mergeCell ref="L288:L292"/>
    <mergeCell ref="M288:M292"/>
    <mergeCell ref="AF288:AF292"/>
    <mergeCell ref="AG288:AG292"/>
    <mergeCell ref="AH288:AH292"/>
    <mergeCell ref="AI288:AI292"/>
    <mergeCell ref="AJ288:AJ292"/>
    <mergeCell ref="AK288:AK292"/>
    <mergeCell ref="N289:N291"/>
    <mergeCell ref="O289:O291"/>
    <mergeCell ref="P289:P291"/>
    <mergeCell ref="Q289:Q291"/>
    <mergeCell ref="R289:R291"/>
    <mergeCell ref="S289:S291"/>
    <mergeCell ref="T289:T291"/>
    <mergeCell ref="U289:U291"/>
    <mergeCell ref="V289:V291"/>
    <mergeCell ref="W289:W291"/>
    <mergeCell ref="X289:X291"/>
    <mergeCell ref="Y289:Y291"/>
    <mergeCell ref="G288:G292"/>
    <mergeCell ref="H420:H424"/>
    <mergeCell ref="I420:I424"/>
    <mergeCell ref="J420:J424"/>
    <mergeCell ref="K420:K424"/>
    <mergeCell ref="L420:L424"/>
    <mergeCell ref="M420:M424"/>
    <mergeCell ref="AF420:AF424"/>
    <mergeCell ref="AG420:AG424"/>
    <mergeCell ref="AH420:AH424"/>
    <mergeCell ref="AI420:AI424"/>
    <mergeCell ref="AJ420:AJ424"/>
    <mergeCell ref="AK420:AK424"/>
    <mergeCell ref="N421:N423"/>
    <mergeCell ref="O421:O423"/>
    <mergeCell ref="P421:P423"/>
    <mergeCell ref="Q421:Q423"/>
    <mergeCell ref="R421:R423"/>
    <mergeCell ref="S421:S423"/>
    <mergeCell ref="T421:T423"/>
    <mergeCell ref="U421:U423"/>
    <mergeCell ref="V421:V423"/>
    <mergeCell ref="W421:W423"/>
    <mergeCell ref="X421:X423"/>
    <mergeCell ref="Y421:Y423"/>
    <mergeCell ref="G420:G424"/>
    <mergeCell ref="H425:H429"/>
    <mergeCell ref="I425:I429"/>
    <mergeCell ref="J425:J429"/>
    <mergeCell ref="K425:K429"/>
    <mergeCell ref="L425:L429"/>
    <mergeCell ref="M425:M429"/>
    <mergeCell ref="AF425:AF429"/>
    <mergeCell ref="AG425:AG429"/>
    <mergeCell ref="AH425:AH429"/>
    <mergeCell ref="AI425:AI429"/>
    <mergeCell ref="AJ425:AJ429"/>
    <mergeCell ref="AK425:AK429"/>
    <mergeCell ref="N426:N428"/>
    <mergeCell ref="O426:O428"/>
    <mergeCell ref="P426:P428"/>
    <mergeCell ref="Q426:Q428"/>
    <mergeCell ref="R426:R428"/>
    <mergeCell ref="S426:S428"/>
    <mergeCell ref="T426:T428"/>
    <mergeCell ref="U426:U428"/>
    <mergeCell ref="V426:V428"/>
    <mergeCell ref="W426:W428"/>
    <mergeCell ref="X426:X428"/>
    <mergeCell ref="Y426:Y428"/>
    <mergeCell ref="G425:G429"/>
    <mergeCell ref="H430:H434"/>
    <mergeCell ref="I430:I434"/>
    <mergeCell ref="J430:J434"/>
    <mergeCell ref="K430:K434"/>
    <mergeCell ref="L430:L434"/>
    <mergeCell ref="M430:M434"/>
    <mergeCell ref="AF430:AF434"/>
    <mergeCell ref="AG430:AG434"/>
    <mergeCell ref="AH430:AH434"/>
    <mergeCell ref="AI430:AI434"/>
    <mergeCell ref="AJ430:AJ434"/>
    <mergeCell ref="AK430:AK434"/>
    <mergeCell ref="N431:N433"/>
    <mergeCell ref="O431:O433"/>
    <mergeCell ref="P431:P433"/>
    <mergeCell ref="Q431:Q433"/>
    <mergeCell ref="R431:R433"/>
    <mergeCell ref="S431:S433"/>
    <mergeCell ref="T431:T433"/>
    <mergeCell ref="U431:U433"/>
    <mergeCell ref="V431:V433"/>
    <mergeCell ref="W431:W433"/>
    <mergeCell ref="X431:X433"/>
    <mergeCell ref="Y431:Y433"/>
    <mergeCell ref="G430:G434"/>
    <mergeCell ref="H545:H549"/>
    <mergeCell ref="I545:I549"/>
    <mergeCell ref="J545:J549"/>
    <mergeCell ref="K545:K549"/>
    <mergeCell ref="L545:L549"/>
    <mergeCell ref="M545:M549"/>
    <mergeCell ref="AF545:AF549"/>
    <mergeCell ref="AG545:AG549"/>
    <mergeCell ref="AH545:AH549"/>
    <mergeCell ref="AI545:AI549"/>
    <mergeCell ref="AJ545:AJ549"/>
    <mergeCell ref="AK545:AK549"/>
    <mergeCell ref="N546:N548"/>
    <mergeCell ref="O546:O548"/>
    <mergeCell ref="P546:P548"/>
    <mergeCell ref="Q546:Q548"/>
    <mergeCell ref="R546:R548"/>
    <mergeCell ref="S546:S548"/>
    <mergeCell ref="T546:T548"/>
    <mergeCell ref="U546:U548"/>
    <mergeCell ref="V546:V548"/>
    <mergeCell ref="W546:W548"/>
    <mergeCell ref="X546:X548"/>
    <mergeCell ref="Y546:Y548"/>
    <mergeCell ref="G545:G549"/>
    <mergeCell ref="H550:H554"/>
    <mergeCell ref="I550:I554"/>
    <mergeCell ref="J550:J554"/>
    <mergeCell ref="K550:K554"/>
    <mergeCell ref="L550:L554"/>
    <mergeCell ref="M550:M554"/>
    <mergeCell ref="AF550:AF554"/>
    <mergeCell ref="AG550:AG554"/>
    <mergeCell ref="AH550:AH554"/>
    <mergeCell ref="AI550:AI554"/>
    <mergeCell ref="AJ550:AJ554"/>
    <mergeCell ref="AK550:AK554"/>
    <mergeCell ref="N551:N553"/>
    <mergeCell ref="O551:O553"/>
    <mergeCell ref="P551:P553"/>
    <mergeCell ref="Q551:Q553"/>
    <mergeCell ref="R551:R553"/>
    <mergeCell ref="S551:S553"/>
    <mergeCell ref="T551:T553"/>
    <mergeCell ref="U551:U553"/>
    <mergeCell ref="V551:V553"/>
    <mergeCell ref="W551:W553"/>
    <mergeCell ref="X551:X553"/>
    <mergeCell ref="Y551:Y553"/>
    <mergeCell ref="G550:G554"/>
    <mergeCell ref="H293:H297"/>
    <mergeCell ref="I293:I297"/>
    <mergeCell ref="J293:J297"/>
    <mergeCell ref="K293:K297"/>
    <mergeCell ref="L293:L297"/>
    <mergeCell ref="M293:M297"/>
    <mergeCell ref="AF293:AF297"/>
    <mergeCell ref="AG293:AG297"/>
    <mergeCell ref="AH293:AH297"/>
    <mergeCell ref="AI293:AI297"/>
    <mergeCell ref="AJ293:AJ297"/>
    <mergeCell ref="AK293:AK297"/>
    <mergeCell ref="N294:N296"/>
    <mergeCell ref="O294:O296"/>
    <mergeCell ref="P294:P296"/>
    <mergeCell ref="Q294:Q296"/>
    <mergeCell ref="R294:R296"/>
    <mergeCell ref="S294:S296"/>
    <mergeCell ref="T294:T296"/>
    <mergeCell ref="U294:U296"/>
    <mergeCell ref="V294:V296"/>
    <mergeCell ref="W294:W296"/>
    <mergeCell ref="X294:X296"/>
    <mergeCell ref="Y294:Y296"/>
    <mergeCell ref="G293:G297"/>
    <mergeCell ref="H298:H302"/>
    <mergeCell ref="I298:I302"/>
    <mergeCell ref="J298:J302"/>
    <mergeCell ref="K298:K302"/>
    <mergeCell ref="L298:L302"/>
    <mergeCell ref="M298:M302"/>
    <mergeCell ref="AF298:AF302"/>
    <mergeCell ref="AG298:AG302"/>
    <mergeCell ref="AH298:AH302"/>
    <mergeCell ref="AI298:AI302"/>
    <mergeCell ref="AJ298:AJ302"/>
    <mergeCell ref="AK298:AK302"/>
    <mergeCell ref="N299:N301"/>
    <mergeCell ref="O299:O301"/>
    <mergeCell ref="P299:P301"/>
    <mergeCell ref="Q299:Q301"/>
    <mergeCell ref="R299:R301"/>
    <mergeCell ref="S299:S301"/>
    <mergeCell ref="T299:T301"/>
    <mergeCell ref="U299:U301"/>
    <mergeCell ref="V299:V301"/>
    <mergeCell ref="W299:W301"/>
    <mergeCell ref="X299:X301"/>
    <mergeCell ref="Y299:Y301"/>
    <mergeCell ref="G298:G302"/>
    <mergeCell ref="H435:H439"/>
    <mergeCell ref="I435:I439"/>
    <mergeCell ref="J435:J439"/>
    <mergeCell ref="K435:K439"/>
    <mergeCell ref="L435:L439"/>
    <mergeCell ref="M435:M439"/>
    <mergeCell ref="AF435:AF439"/>
    <mergeCell ref="AG435:AG439"/>
    <mergeCell ref="AH435:AH439"/>
    <mergeCell ref="AI435:AI439"/>
    <mergeCell ref="AJ435:AJ439"/>
    <mergeCell ref="AK435:AK439"/>
    <mergeCell ref="N436:N438"/>
    <mergeCell ref="O436:O438"/>
    <mergeCell ref="P436:P438"/>
    <mergeCell ref="Q436:Q438"/>
    <mergeCell ref="R436:R438"/>
    <mergeCell ref="S436:S438"/>
    <mergeCell ref="T436:T438"/>
    <mergeCell ref="U436:U438"/>
    <mergeCell ref="V436:V438"/>
    <mergeCell ref="W436:W438"/>
    <mergeCell ref="X436:X438"/>
    <mergeCell ref="Y436:Y438"/>
    <mergeCell ref="G435:G439"/>
    <mergeCell ref="H440:H444"/>
    <mergeCell ref="I440:I444"/>
    <mergeCell ref="J440:J444"/>
    <mergeCell ref="K440:K444"/>
    <mergeCell ref="L440:L444"/>
    <mergeCell ref="M440:M444"/>
    <mergeCell ref="AF440:AF444"/>
    <mergeCell ref="AG440:AG444"/>
    <mergeCell ref="AH440:AH444"/>
    <mergeCell ref="AI440:AI444"/>
    <mergeCell ref="AJ440:AJ444"/>
    <mergeCell ref="AK440:AK444"/>
    <mergeCell ref="N441:N443"/>
    <mergeCell ref="O441:O443"/>
    <mergeCell ref="P441:P443"/>
    <mergeCell ref="Q441:Q443"/>
    <mergeCell ref="R441:R443"/>
    <mergeCell ref="S441:S443"/>
    <mergeCell ref="T441:T443"/>
    <mergeCell ref="U441:U443"/>
    <mergeCell ref="V441:V443"/>
    <mergeCell ref="W441:W443"/>
    <mergeCell ref="X441:X443"/>
    <mergeCell ref="Y441:Y443"/>
    <mergeCell ref="G440:G444"/>
    <mergeCell ref="H445:H449"/>
    <mergeCell ref="I445:I449"/>
    <mergeCell ref="J445:J449"/>
    <mergeCell ref="K445:K449"/>
    <mergeCell ref="L445:L449"/>
    <mergeCell ref="M445:M449"/>
    <mergeCell ref="AF445:AF449"/>
    <mergeCell ref="AG445:AG449"/>
    <mergeCell ref="AH445:AH449"/>
    <mergeCell ref="AI445:AI449"/>
    <mergeCell ref="AJ445:AJ449"/>
    <mergeCell ref="AK445:AK449"/>
    <mergeCell ref="N446:N448"/>
    <mergeCell ref="O446:O448"/>
    <mergeCell ref="P446:P448"/>
    <mergeCell ref="Q446:Q448"/>
    <mergeCell ref="R446:R448"/>
    <mergeCell ref="S446:S448"/>
    <mergeCell ref="T446:T448"/>
    <mergeCell ref="U446:U448"/>
    <mergeCell ref="V446:V448"/>
    <mergeCell ref="W446:W448"/>
    <mergeCell ref="X446:X448"/>
    <mergeCell ref="Y446:Y448"/>
    <mergeCell ref="G445:G449"/>
    <mergeCell ref="H555:H559"/>
    <mergeCell ref="I555:I559"/>
    <mergeCell ref="J555:J559"/>
    <mergeCell ref="K555:K559"/>
    <mergeCell ref="L555:L559"/>
    <mergeCell ref="M555:M559"/>
    <mergeCell ref="AF555:AF559"/>
    <mergeCell ref="AG555:AG559"/>
    <mergeCell ref="AH555:AH559"/>
    <mergeCell ref="AI555:AI559"/>
    <mergeCell ref="AJ555:AJ559"/>
    <mergeCell ref="AK555:AK559"/>
    <mergeCell ref="N556:N558"/>
    <mergeCell ref="O556:O558"/>
    <mergeCell ref="P556:P558"/>
    <mergeCell ref="Q556:Q558"/>
    <mergeCell ref="R556:R558"/>
    <mergeCell ref="S556:S558"/>
    <mergeCell ref="T556:T558"/>
    <mergeCell ref="U556:U558"/>
    <mergeCell ref="V556:V558"/>
    <mergeCell ref="W556:W558"/>
    <mergeCell ref="X556:X558"/>
    <mergeCell ref="Y556:Y558"/>
    <mergeCell ref="G555:G559"/>
    <mergeCell ref="H560:H564"/>
    <mergeCell ref="I560:I564"/>
    <mergeCell ref="J560:J564"/>
    <mergeCell ref="K560:K564"/>
    <mergeCell ref="L560:L564"/>
    <mergeCell ref="M560:M564"/>
    <mergeCell ref="AF560:AF564"/>
    <mergeCell ref="AG560:AG564"/>
    <mergeCell ref="AH560:AH564"/>
    <mergeCell ref="AI560:AI564"/>
    <mergeCell ref="AJ560:AJ564"/>
    <mergeCell ref="AK560:AK564"/>
    <mergeCell ref="N561:N563"/>
    <mergeCell ref="O561:O563"/>
    <mergeCell ref="P561:P563"/>
    <mergeCell ref="Q561:Q563"/>
    <mergeCell ref="R561:R563"/>
    <mergeCell ref="S561:S563"/>
    <mergeCell ref="T561:T563"/>
    <mergeCell ref="U561:U563"/>
    <mergeCell ref="V561:V563"/>
    <mergeCell ref="W561:W563"/>
    <mergeCell ref="X561:X563"/>
    <mergeCell ref="Y561:Y563"/>
    <mergeCell ref="G560:G564"/>
    <mergeCell ref="H303:H307"/>
    <mergeCell ref="I303:I307"/>
    <mergeCell ref="J303:J307"/>
    <mergeCell ref="K303:K307"/>
    <mergeCell ref="L303:L307"/>
    <mergeCell ref="M303:M307"/>
    <mergeCell ref="AF303:AF307"/>
    <mergeCell ref="AG303:AG307"/>
    <mergeCell ref="AH303:AH307"/>
    <mergeCell ref="AI303:AI307"/>
    <mergeCell ref="AJ303:AJ307"/>
    <mergeCell ref="AK303:AK307"/>
    <mergeCell ref="N304:N306"/>
    <mergeCell ref="O304:O306"/>
    <mergeCell ref="P304:P306"/>
    <mergeCell ref="Q304:Q306"/>
    <mergeCell ref="R304:R306"/>
    <mergeCell ref="S304:S306"/>
    <mergeCell ref="T304:T306"/>
    <mergeCell ref="U304:U306"/>
    <mergeCell ref="V304:V306"/>
    <mergeCell ref="W304:W306"/>
    <mergeCell ref="X304:X306"/>
    <mergeCell ref="Y304:Y306"/>
    <mergeCell ref="G303:G307"/>
    <mergeCell ref="H450:H455"/>
    <mergeCell ref="I450:I455"/>
    <mergeCell ref="J450:J455"/>
    <mergeCell ref="K450:K455"/>
    <mergeCell ref="L450:L455"/>
    <mergeCell ref="M450:M455"/>
    <mergeCell ref="AF450:AF455"/>
    <mergeCell ref="AG450:AG455"/>
    <mergeCell ref="AH450:AH455"/>
    <mergeCell ref="AI450:AI455"/>
    <mergeCell ref="AJ450:AJ455"/>
    <mergeCell ref="AK450:AK455"/>
    <mergeCell ref="N451:N454"/>
    <mergeCell ref="O451:O454"/>
    <mergeCell ref="P451:P454"/>
    <mergeCell ref="Q451:Q454"/>
    <mergeCell ref="R451:R454"/>
    <mergeCell ref="S451:S454"/>
    <mergeCell ref="T451:T454"/>
    <mergeCell ref="U451:U454"/>
    <mergeCell ref="V451:V454"/>
    <mergeCell ref="W451:W454"/>
    <mergeCell ref="X451:X454"/>
    <mergeCell ref="Y451:Y454"/>
    <mergeCell ref="G450:G455"/>
    <mergeCell ref="H565:H569"/>
    <mergeCell ref="I565:I569"/>
    <mergeCell ref="J565:J569"/>
    <mergeCell ref="K565:K569"/>
    <mergeCell ref="L565:L569"/>
    <mergeCell ref="M565:M569"/>
    <mergeCell ref="AF565:AF569"/>
    <mergeCell ref="AG565:AG569"/>
    <mergeCell ref="AH565:AH569"/>
    <mergeCell ref="AI565:AI569"/>
    <mergeCell ref="AJ565:AJ569"/>
    <mergeCell ref="AK565:AK569"/>
    <mergeCell ref="N566:N568"/>
    <mergeCell ref="O566:O568"/>
    <mergeCell ref="P566:P568"/>
    <mergeCell ref="Q566:Q568"/>
    <mergeCell ref="R566:R568"/>
    <mergeCell ref="S566:S568"/>
    <mergeCell ref="T566:T568"/>
    <mergeCell ref="U566:U568"/>
    <mergeCell ref="V566:V568"/>
    <mergeCell ref="W566:W568"/>
    <mergeCell ref="X566:X568"/>
    <mergeCell ref="Y566:Y568"/>
    <mergeCell ref="G565:G569"/>
    <mergeCell ref="H107:H111"/>
    <mergeCell ref="I107:I111"/>
    <mergeCell ref="J107:J111"/>
    <mergeCell ref="K107:K111"/>
    <mergeCell ref="L107:L111"/>
    <mergeCell ref="M107:M111"/>
    <mergeCell ref="AF107:AF111"/>
    <mergeCell ref="AG107:AG111"/>
    <mergeCell ref="AH107:AH111"/>
    <mergeCell ref="AI107:AI111"/>
    <mergeCell ref="AJ107:AJ111"/>
    <mergeCell ref="AK107:AK111"/>
    <mergeCell ref="N108:N110"/>
    <mergeCell ref="O108:O110"/>
    <mergeCell ref="P108:P110"/>
    <mergeCell ref="Q108:Q110"/>
    <mergeCell ref="R108:R110"/>
    <mergeCell ref="S108:S110"/>
    <mergeCell ref="T108:T110"/>
    <mergeCell ref="U108:U110"/>
    <mergeCell ref="V108:V110"/>
    <mergeCell ref="W108:W110"/>
    <mergeCell ref="X108:X110"/>
    <mergeCell ref="Y108:Y110"/>
    <mergeCell ref="G107:G111"/>
    <mergeCell ref="H112:H116"/>
    <mergeCell ref="I112:I116"/>
    <mergeCell ref="J112:J116"/>
    <mergeCell ref="K112:K116"/>
    <mergeCell ref="L112:L116"/>
    <mergeCell ref="M112:M116"/>
    <mergeCell ref="AF112:AF116"/>
    <mergeCell ref="AG112:AG116"/>
    <mergeCell ref="AH112:AH116"/>
    <mergeCell ref="AI112:AI116"/>
    <mergeCell ref="AJ112:AJ116"/>
    <mergeCell ref="AK112:AK116"/>
    <mergeCell ref="N113:N115"/>
    <mergeCell ref="O113:O115"/>
    <mergeCell ref="P113:P115"/>
    <mergeCell ref="Q113:Q115"/>
    <mergeCell ref="R113:R115"/>
    <mergeCell ref="S113:S115"/>
    <mergeCell ref="T113:T115"/>
    <mergeCell ref="U113:U115"/>
    <mergeCell ref="V113:V115"/>
    <mergeCell ref="W113:W115"/>
    <mergeCell ref="X113:X115"/>
    <mergeCell ref="Y113:Y115"/>
    <mergeCell ref="G112:G116"/>
    <mergeCell ref="H117:H121"/>
    <mergeCell ref="I117:I121"/>
    <mergeCell ref="J117:J121"/>
    <mergeCell ref="K117:K121"/>
    <mergeCell ref="L117:L121"/>
    <mergeCell ref="M117:M121"/>
    <mergeCell ref="AF117:AF121"/>
    <mergeCell ref="AG117:AG121"/>
    <mergeCell ref="AH117:AH121"/>
    <mergeCell ref="AI117:AI121"/>
    <mergeCell ref="AJ117:AJ121"/>
    <mergeCell ref="AK117:AK121"/>
    <mergeCell ref="N118:N120"/>
    <mergeCell ref="O118:O120"/>
    <mergeCell ref="P118:P120"/>
    <mergeCell ref="Q118:Q120"/>
    <mergeCell ref="R118:R120"/>
    <mergeCell ref="S118:S120"/>
    <mergeCell ref="T118:T120"/>
    <mergeCell ref="U118:U120"/>
    <mergeCell ref="V118:V120"/>
    <mergeCell ref="W118:W120"/>
    <mergeCell ref="X118:X120"/>
    <mergeCell ref="Y118:Y120"/>
    <mergeCell ref="G117:G121"/>
    <mergeCell ref="H122:H126"/>
    <mergeCell ref="I122:I126"/>
    <mergeCell ref="J122:J126"/>
    <mergeCell ref="K122:K126"/>
    <mergeCell ref="L122:L126"/>
    <mergeCell ref="M122:M126"/>
    <mergeCell ref="AF122:AF126"/>
    <mergeCell ref="AG122:AG126"/>
    <mergeCell ref="AH122:AH126"/>
    <mergeCell ref="AI122:AI126"/>
    <mergeCell ref="AJ122:AJ126"/>
    <mergeCell ref="AK122:AK126"/>
    <mergeCell ref="N123:N125"/>
    <mergeCell ref="O123:O125"/>
    <mergeCell ref="P123:P125"/>
    <mergeCell ref="Q123:Q125"/>
    <mergeCell ref="R123:R125"/>
    <mergeCell ref="S123:S125"/>
    <mergeCell ref="T123:T125"/>
    <mergeCell ref="U123:U125"/>
    <mergeCell ref="V123:V125"/>
    <mergeCell ref="W123:W125"/>
    <mergeCell ref="X123:X125"/>
    <mergeCell ref="Y123:Y125"/>
    <mergeCell ref="G122:G126"/>
    <mergeCell ref="H127:H131"/>
    <mergeCell ref="I127:I131"/>
    <mergeCell ref="J127:J131"/>
    <mergeCell ref="K127:K131"/>
    <mergeCell ref="L127:L131"/>
    <mergeCell ref="M127:M131"/>
    <mergeCell ref="AF127:AF131"/>
    <mergeCell ref="AG127:AG131"/>
    <mergeCell ref="AH127:AH131"/>
    <mergeCell ref="AI127:AI131"/>
    <mergeCell ref="AJ127:AJ131"/>
    <mergeCell ref="AK127:AK131"/>
    <mergeCell ref="N128:N130"/>
    <mergeCell ref="O128:O130"/>
    <mergeCell ref="P128:P130"/>
    <mergeCell ref="Q128:Q130"/>
    <mergeCell ref="R128:R130"/>
    <mergeCell ref="S128:S130"/>
    <mergeCell ref="T128:T130"/>
    <mergeCell ref="U128:U130"/>
    <mergeCell ref="V128:V130"/>
    <mergeCell ref="W128:W130"/>
    <mergeCell ref="X128:X130"/>
    <mergeCell ref="Y128:Y130"/>
    <mergeCell ref="G127:G131"/>
    <mergeCell ref="H132:H136"/>
    <mergeCell ref="I132:I136"/>
    <mergeCell ref="J132:J136"/>
    <mergeCell ref="K132:K136"/>
    <mergeCell ref="L132:L136"/>
    <mergeCell ref="M132:M136"/>
    <mergeCell ref="AF132:AF136"/>
    <mergeCell ref="AG132:AG136"/>
    <mergeCell ref="AH132:AH136"/>
    <mergeCell ref="AI132:AI136"/>
    <mergeCell ref="AJ132:AJ136"/>
    <mergeCell ref="AK132:AK136"/>
    <mergeCell ref="N133:N135"/>
    <mergeCell ref="O133:O135"/>
    <mergeCell ref="P133:P135"/>
    <mergeCell ref="Q133:Q135"/>
    <mergeCell ref="R133:R135"/>
    <mergeCell ref="S133:S135"/>
    <mergeCell ref="T133:T135"/>
    <mergeCell ref="U133:U135"/>
    <mergeCell ref="V133:V135"/>
    <mergeCell ref="W133:W135"/>
    <mergeCell ref="X133:X135"/>
    <mergeCell ref="Y133:Y135"/>
    <mergeCell ref="G132:G136"/>
    <mergeCell ref="H308:H312"/>
    <mergeCell ref="I308:I312"/>
    <mergeCell ref="J308:J312"/>
    <mergeCell ref="K308:K312"/>
    <mergeCell ref="L308:L312"/>
    <mergeCell ref="M308:M312"/>
    <mergeCell ref="AF308:AF312"/>
    <mergeCell ref="AG308:AG312"/>
    <mergeCell ref="AH308:AH312"/>
    <mergeCell ref="AI308:AI312"/>
    <mergeCell ref="AJ308:AJ312"/>
    <mergeCell ref="AK308:AK312"/>
    <mergeCell ref="N309:N311"/>
    <mergeCell ref="O309:O311"/>
    <mergeCell ref="P309:P311"/>
    <mergeCell ref="Q309:Q311"/>
    <mergeCell ref="R309:R311"/>
    <mergeCell ref="S309:S311"/>
    <mergeCell ref="T309:T311"/>
    <mergeCell ref="U309:U311"/>
    <mergeCell ref="V309:V311"/>
    <mergeCell ref="W309:W311"/>
    <mergeCell ref="X309:X311"/>
    <mergeCell ref="Y309:Y311"/>
    <mergeCell ref="G308:G312"/>
    <mergeCell ref="H313:H317"/>
    <mergeCell ref="I313:I317"/>
    <mergeCell ref="J313:J317"/>
    <mergeCell ref="K313:K317"/>
    <mergeCell ref="L313:L317"/>
    <mergeCell ref="M313:M317"/>
    <mergeCell ref="AF313:AF317"/>
    <mergeCell ref="AG313:AG317"/>
    <mergeCell ref="AH313:AH317"/>
    <mergeCell ref="AI313:AI317"/>
    <mergeCell ref="AJ313:AJ317"/>
    <mergeCell ref="AK313:AK317"/>
    <mergeCell ref="N314:N316"/>
    <mergeCell ref="O314:O316"/>
    <mergeCell ref="P314:P316"/>
    <mergeCell ref="Q314:Q316"/>
    <mergeCell ref="R314:R316"/>
    <mergeCell ref="S314:S316"/>
    <mergeCell ref="T314:T316"/>
    <mergeCell ref="U314:U316"/>
    <mergeCell ref="V314:V316"/>
    <mergeCell ref="W314:W316"/>
    <mergeCell ref="X314:X316"/>
    <mergeCell ref="Y314:Y316"/>
    <mergeCell ref="G313:G317"/>
    <mergeCell ref="H318:H322"/>
    <mergeCell ref="I318:I322"/>
    <mergeCell ref="J318:J322"/>
    <mergeCell ref="K318:K322"/>
    <mergeCell ref="L318:L322"/>
    <mergeCell ref="M318:M322"/>
    <mergeCell ref="AF318:AF322"/>
    <mergeCell ref="AG318:AG322"/>
    <mergeCell ref="AH318:AH322"/>
    <mergeCell ref="AI318:AI322"/>
    <mergeCell ref="AJ318:AJ322"/>
    <mergeCell ref="AK318:AK322"/>
    <mergeCell ref="N319:N321"/>
    <mergeCell ref="O319:O321"/>
    <mergeCell ref="P319:P321"/>
    <mergeCell ref="Q319:Q321"/>
    <mergeCell ref="R319:R321"/>
    <mergeCell ref="S319:S321"/>
    <mergeCell ref="T319:T321"/>
    <mergeCell ref="U319:U321"/>
    <mergeCell ref="V319:V321"/>
    <mergeCell ref="W319:W321"/>
    <mergeCell ref="X319:X321"/>
    <mergeCell ref="Y319:Y321"/>
    <mergeCell ref="G318:G322"/>
    <mergeCell ref="H137:H141"/>
    <mergeCell ref="I137:I141"/>
    <mergeCell ref="J137:J141"/>
    <mergeCell ref="K137:K141"/>
    <mergeCell ref="L137:L141"/>
    <mergeCell ref="M137:M141"/>
    <mergeCell ref="AF137:AF141"/>
    <mergeCell ref="AG137:AG141"/>
    <mergeCell ref="AH137:AH141"/>
    <mergeCell ref="AI137:AI141"/>
    <mergeCell ref="AJ137:AJ141"/>
    <mergeCell ref="AK137:AK141"/>
    <mergeCell ref="N138:N140"/>
    <mergeCell ref="O138:O140"/>
    <mergeCell ref="P138:P140"/>
    <mergeCell ref="Q138:Q140"/>
    <mergeCell ref="R138:R140"/>
    <mergeCell ref="S138:S140"/>
    <mergeCell ref="T138:T140"/>
    <mergeCell ref="U138:U140"/>
    <mergeCell ref="V138:V140"/>
    <mergeCell ref="W138:W140"/>
    <mergeCell ref="X138:X140"/>
    <mergeCell ref="Y138:Y140"/>
    <mergeCell ref="G137:G141"/>
    <mergeCell ref="H323:H327"/>
    <mergeCell ref="I323:I327"/>
    <mergeCell ref="J323:J327"/>
    <mergeCell ref="K323:K327"/>
    <mergeCell ref="L323:L327"/>
    <mergeCell ref="M323:M327"/>
    <mergeCell ref="AF323:AF327"/>
    <mergeCell ref="AG323:AG327"/>
    <mergeCell ref="AH323:AH327"/>
    <mergeCell ref="AI323:AI327"/>
    <mergeCell ref="AJ323:AJ327"/>
    <mergeCell ref="AK323:AK327"/>
    <mergeCell ref="N324:N326"/>
    <mergeCell ref="O324:O326"/>
    <mergeCell ref="P324:P326"/>
    <mergeCell ref="Q324:Q326"/>
    <mergeCell ref="R324:R326"/>
    <mergeCell ref="S324:S326"/>
    <mergeCell ref="T324:T326"/>
    <mergeCell ref="U324:U326"/>
    <mergeCell ref="V324:V326"/>
    <mergeCell ref="W324:W326"/>
    <mergeCell ref="X324:X326"/>
    <mergeCell ref="Y324:Y326"/>
    <mergeCell ref="G323:G327"/>
    <mergeCell ref="H328:H332"/>
    <mergeCell ref="I328:I332"/>
    <mergeCell ref="J328:J332"/>
    <mergeCell ref="K328:K332"/>
    <mergeCell ref="L328:L332"/>
    <mergeCell ref="M328:M332"/>
    <mergeCell ref="AF328:AF332"/>
    <mergeCell ref="AG328:AG332"/>
    <mergeCell ref="AH328:AH332"/>
    <mergeCell ref="AI328:AI332"/>
    <mergeCell ref="AJ328:AJ332"/>
    <mergeCell ref="AK328:AK332"/>
    <mergeCell ref="N329:N331"/>
    <mergeCell ref="O329:O331"/>
    <mergeCell ref="P329:P331"/>
    <mergeCell ref="Q329:Q331"/>
    <mergeCell ref="R329:R331"/>
    <mergeCell ref="S329:S331"/>
    <mergeCell ref="T329:T331"/>
    <mergeCell ref="U329:U331"/>
    <mergeCell ref="V329:V331"/>
    <mergeCell ref="W329:W331"/>
    <mergeCell ref="X329:X331"/>
    <mergeCell ref="Y329:Y331"/>
    <mergeCell ref="G328:G332"/>
    <mergeCell ref="H456:H460"/>
    <mergeCell ref="I456:I460"/>
    <mergeCell ref="J456:J460"/>
    <mergeCell ref="K456:K460"/>
    <mergeCell ref="L456:L460"/>
    <mergeCell ref="M456:M460"/>
    <mergeCell ref="AF456:AF460"/>
    <mergeCell ref="AG456:AG460"/>
    <mergeCell ref="AH456:AH460"/>
    <mergeCell ref="AI456:AI460"/>
    <mergeCell ref="AJ456:AJ460"/>
    <mergeCell ref="AK456:AK460"/>
    <mergeCell ref="N457:N459"/>
    <mergeCell ref="O457:O459"/>
    <mergeCell ref="P457:P459"/>
    <mergeCell ref="Q457:Q459"/>
    <mergeCell ref="R457:R459"/>
    <mergeCell ref="S457:S459"/>
    <mergeCell ref="T457:T459"/>
    <mergeCell ref="U457:U459"/>
    <mergeCell ref="V457:V459"/>
    <mergeCell ref="W457:W459"/>
    <mergeCell ref="X457:X459"/>
    <mergeCell ref="Y457:Y459"/>
    <mergeCell ref="G456:G460"/>
    <mergeCell ref="H142:H146"/>
    <mergeCell ref="I142:I146"/>
    <mergeCell ref="J142:J146"/>
    <mergeCell ref="K142:K146"/>
    <mergeCell ref="L142:L146"/>
    <mergeCell ref="M142:M146"/>
    <mergeCell ref="AF142:AF146"/>
    <mergeCell ref="AG142:AG146"/>
    <mergeCell ref="AH142:AH146"/>
    <mergeCell ref="AI142:AI146"/>
    <mergeCell ref="AJ142:AJ146"/>
    <mergeCell ref="AK142:AK146"/>
    <mergeCell ref="N143:N145"/>
    <mergeCell ref="O143:O145"/>
    <mergeCell ref="P143:P145"/>
    <mergeCell ref="Q143:Q145"/>
    <mergeCell ref="R143:R145"/>
    <mergeCell ref="S143:S145"/>
    <mergeCell ref="T143:T145"/>
    <mergeCell ref="U143:U145"/>
    <mergeCell ref="V143:V145"/>
    <mergeCell ref="W143:W145"/>
    <mergeCell ref="X143:X145"/>
    <mergeCell ref="Y143:Y145"/>
    <mergeCell ref="G142:G146"/>
    <mergeCell ref="H333:H337"/>
    <mergeCell ref="I333:I337"/>
    <mergeCell ref="J333:J337"/>
    <mergeCell ref="K333:K337"/>
    <mergeCell ref="L333:L337"/>
    <mergeCell ref="M333:M337"/>
    <mergeCell ref="AF333:AF337"/>
    <mergeCell ref="AG333:AG337"/>
    <mergeCell ref="AH333:AH337"/>
    <mergeCell ref="AI333:AI337"/>
    <mergeCell ref="AJ333:AJ337"/>
    <mergeCell ref="AK333:AK337"/>
    <mergeCell ref="N334:N336"/>
    <mergeCell ref="O334:O336"/>
    <mergeCell ref="P334:P336"/>
    <mergeCell ref="Q334:Q336"/>
    <mergeCell ref="R334:R336"/>
    <mergeCell ref="S334:S336"/>
    <mergeCell ref="T334:T336"/>
    <mergeCell ref="U334:U336"/>
    <mergeCell ref="V334:V336"/>
    <mergeCell ref="W334:W336"/>
    <mergeCell ref="X334:X336"/>
    <mergeCell ref="Y334:Y336"/>
    <mergeCell ref="G333:G337"/>
    <mergeCell ref="H570:H574"/>
    <mergeCell ref="I570:I574"/>
    <mergeCell ref="J570:J574"/>
    <mergeCell ref="K570:K574"/>
    <mergeCell ref="L570:L574"/>
    <mergeCell ref="M570:M574"/>
    <mergeCell ref="AF570:AF574"/>
    <mergeCell ref="AG570:AG574"/>
    <mergeCell ref="AH570:AH574"/>
    <mergeCell ref="AI570:AI574"/>
    <mergeCell ref="AJ570:AJ574"/>
    <mergeCell ref="AK570:AK574"/>
    <mergeCell ref="N571:N573"/>
    <mergeCell ref="O571:O573"/>
    <mergeCell ref="P571:P573"/>
    <mergeCell ref="Q571:Q573"/>
    <mergeCell ref="R571:R573"/>
    <mergeCell ref="S571:S573"/>
    <mergeCell ref="T571:T573"/>
    <mergeCell ref="U571:U573"/>
    <mergeCell ref="V571:V573"/>
    <mergeCell ref="W571:W573"/>
    <mergeCell ref="X571:X573"/>
    <mergeCell ref="Y571:Y573"/>
    <mergeCell ref="G570:G574"/>
    <mergeCell ref="H461:H465"/>
    <mergeCell ref="I461:I465"/>
    <mergeCell ref="J461:J465"/>
    <mergeCell ref="K461:K465"/>
    <mergeCell ref="L461:L465"/>
    <mergeCell ref="M461:M465"/>
    <mergeCell ref="AF461:AF465"/>
    <mergeCell ref="AG461:AG465"/>
    <mergeCell ref="AH461:AH465"/>
    <mergeCell ref="AI461:AI465"/>
    <mergeCell ref="AJ461:AJ465"/>
    <mergeCell ref="AK461:AK465"/>
    <mergeCell ref="N462:N464"/>
    <mergeCell ref="O462:O464"/>
    <mergeCell ref="P462:P464"/>
    <mergeCell ref="Q462:Q464"/>
    <mergeCell ref="R462:R464"/>
    <mergeCell ref="S462:S464"/>
    <mergeCell ref="T462:T464"/>
    <mergeCell ref="U462:U464"/>
    <mergeCell ref="V462:V464"/>
    <mergeCell ref="W462:W464"/>
    <mergeCell ref="X462:X464"/>
    <mergeCell ref="Y462:Y464"/>
    <mergeCell ref="G461:G465"/>
    <mergeCell ref="H338:H342"/>
    <mergeCell ref="I338:I342"/>
    <mergeCell ref="J338:J342"/>
    <mergeCell ref="K338:K342"/>
    <mergeCell ref="L338:L342"/>
    <mergeCell ref="M338:M342"/>
    <mergeCell ref="AF338:AF342"/>
    <mergeCell ref="AG338:AG342"/>
    <mergeCell ref="AH338:AH342"/>
    <mergeCell ref="AI338:AI342"/>
    <mergeCell ref="AJ338:AJ342"/>
    <mergeCell ref="AK338:AK342"/>
    <mergeCell ref="N339:N341"/>
    <mergeCell ref="O339:O341"/>
    <mergeCell ref="P339:P341"/>
    <mergeCell ref="Q339:Q341"/>
    <mergeCell ref="R339:R341"/>
    <mergeCell ref="S339:S341"/>
    <mergeCell ref="T339:T341"/>
    <mergeCell ref="U339:U341"/>
    <mergeCell ref="V339:V341"/>
    <mergeCell ref="W339:W341"/>
    <mergeCell ref="X339:X341"/>
    <mergeCell ref="Y339:Y341"/>
    <mergeCell ref="G338:G342"/>
    <mergeCell ref="H343:H347"/>
    <mergeCell ref="I343:I347"/>
    <mergeCell ref="J343:J347"/>
    <mergeCell ref="K343:K347"/>
    <mergeCell ref="L343:L347"/>
    <mergeCell ref="M343:M347"/>
    <mergeCell ref="AF343:AF347"/>
    <mergeCell ref="AG343:AG347"/>
    <mergeCell ref="AH343:AH347"/>
    <mergeCell ref="AI343:AI347"/>
    <mergeCell ref="AJ343:AJ347"/>
    <mergeCell ref="AK343:AK347"/>
    <mergeCell ref="N344:N346"/>
    <mergeCell ref="O344:O346"/>
    <mergeCell ref="P344:P346"/>
    <mergeCell ref="Q344:Q346"/>
    <mergeCell ref="R344:R346"/>
    <mergeCell ref="S344:S346"/>
    <mergeCell ref="T344:T346"/>
    <mergeCell ref="U344:U346"/>
    <mergeCell ref="V344:V346"/>
    <mergeCell ref="W344:W346"/>
    <mergeCell ref="X344:X346"/>
    <mergeCell ref="Y344:Y346"/>
    <mergeCell ref="G343:G347"/>
    <mergeCell ref="H466:H470"/>
    <mergeCell ref="I466:I470"/>
    <mergeCell ref="J466:J470"/>
    <mergeCell ref="K466:K470"/>
    <mergeCell ref="L466:L470"/>
    <mergeCell ref="M466:M470"/>
    <mergeCell ref="AF466:AF470"/>
    <mergeCell ref="AG466:AG470"/>
    <mergeCell ref="AH466:AH470"/>
    <mergeCell ref="AI466:AI470"/>
    <mergeCell ref="AJ466:AJ470"/>
    <mergeCell ref="AK466:AK470"/>
    <mergeCell ref="N467:N469"/>
    <mergeCell ref="O467:O469"/>
    <mergeCell ref="P467:P469"/>
    <mergeCell ref="Q467:Q469"/>
    <mergeCell ref="R467:R469"/>
    <mergeCell ref="S467:S469"/>
    <mergeCell ref="T467:T469"/>
    <mergeCell ref="U467:U469"/>
    <mergeCell ref="V467:V469"/>
    <mergeCell ref="W467:W469"/>
    <mergeCell ref="X467:X469"/>
    <mergeCell ref="Y467:Y469"/>
    <mergeCell ref="G466:G470"/>
    <mergeCell ref="H471:H475"/>
    <mergeCell ref="I471:I475"/>
    <mergeCell ref="J471:J475"/>
    <mergeCell ref="K471:K475"/>
    <mergeCell ref="L471:L475"/>
    <mergeCell ref="M471:M475"/>
    <mergeCell ref="AF471:AF475"/>
    <mergeCell ref="AG471:AG475"/>
    <mergeCell ref="AH471:AH475"/>
    <mergeCell ref="AI471:AI475"/>
    <mergeCell ref="AJ471:AJ475"/>
    <mergeCell ref="AK471:AK475"/>
    <mergeCell ref="N472:N474"/>
    <mergeCell ref="O472:O474"/>
    <mergeCell ref="P472:P474"/>
    <mergeCell ref="Q472:Q474"/>
    <mergeCell ref="R472:R474"/>
    <mergeCell ref="S472:S474"/>
    <mergeCell ref="T472:T474"/>
    <mergeCell ref="U472:U474"/>
    <mergeCell ref="V472:V474"/>
    <mergeCell ref="W472:W474"/>
    <mergeCell ref="X472:X474"/>
    <mergeCell ref="Y472:Y474"/>
    <mergeCell ref="G471:G475"/>
    <mergeCell ref="H575:H579"/>
    <mergeCell ref="I575:I579"/>
    <mergeCell ref="J575:J579"/>
    <mergeCell ref="K575:K579"/>
    <mergeCell ref="L575:L579"/>
    <mergeCell ref="M575:M579"/>
    <mergeCell ref="AF575:AF579"/>
    <mergeCell ref="AG575:AG579"/>
    <mergeCell ref="AH575:AH579"/>
    <mergeCell ref="AI575:AI579"/>
    <mergeCell ref="AJ575:AJ579"/>
    <mergeCell ref="AK575:AK579"/>
    <mergeCell ref="N576:N578"/>
    <mergeCell ref="O576:O578"/>
    <mergeCell ref="P576:P578"/>
    <mergeCell ref="Q576:Q578"/>
    <mergeCell ref="R576:R578"/>
    <mergeCell ref="S576:S578"/>
    <mergeCell ref="T576:T578"/>
    <mergeCell ref="U576:U578"/>
    <mergeCell ref="V576:V578"/>
    <mergeCell ref="W576:W578"/>
    <mergeCell ref="X576:X578"/>
    <mergeCell ref="Y576:Y578"/>
    <mergeCell ref="G575:G579"/>
    <mergeCell ref="H580:H584"/>
    <mergeCell ref="I580:I584"/>
    <mergeCell ref="J580:J584"/>
    <mergeCell ref="K580:K584"/>
    <mergeCell ref="L580:L584"/>
    <mergeCell ref="M580:M584"/>
    <mergeCell ref="AF580:AF584"/>
    <mergeCell ref="AG580:AG584"/>
    <mergeCell ref="AH580:AH584"/>
    <mergeCell ref="AI580:AI584"/>
    <mergeCell ref="AJ580:AJ584"/>
    <mergeCell ref="AK580:AK584"/>
    <mergeCell ref="N581:N583"/>
    <mergeCell ref="O581:O583"/>
    <mergeCell ref="P581:P583"/>
    <mergeCell ref="Q581:Q583"/>
    <mergeCell ref="R581:R583"/>
    <mergeCell ref="S581:S583"/>
    <mergeCell ref="T581:T583"/>
    <mergeCell ref="U581:U583"/>
    <mergeCell ref="V581:V583"/>
    <mergeCell ref="W581:W583"/>
    <mergeCell ref="X581:X583"/>
    <mergeCell ref="Y581:Y583"/>
    <mergeCell ref="G580:G584"/>
    <mergeCell ref="H147:H151"/>
    <mergeCell ref="I147:I151"/>
    <mergeCell ref="J147:J151"/>
    <mergeCell ref="K147:K151"/>
    <mergeCell ref="L147:L151"/>
    <mergeCell ref="M147:M151"/>
    <mergeCell ref="AF147:AF151"/>
    <mergeCell ref="AG147:AG151"/>
    <mergeCell ref="AH147:AH151"/>
    <mergeCell ref="AI147:AI151"/>
    <mergeCell ref="AJ147:AJ151"/>
    <mergeCell ref="AK147:AK151"/>
    <mergeCell ref="N148:N150"/>
    <mergeCell ref="O148:O150"/>
    <mergeCell ref="P148:P150"/>
    <mergeCell ref="Q148:Q150"/>
    <mergeCell ref="R148:R150"/>
    <mergeCell ref="S148:S150"/>
    <mergeCell ref="T148:T150"/>
    <mergeCell ref="U148:U150"/>
    <mergeCell ref="V148:V150"/>
    <mergeCell ref="W148:W150"/>
    <mergeCell ref="X148:X150"/>
    <mergeCell ref="Y148:Y150"/>
    <mergeCell ref="G147:G151"/>
    <mergeCell ref="H348:H352"/>
    <mergeCell ref="I348:I352"/>
    <mergeCell ref="J348:J352"/>
    <mergeCell ref="K348:K352"/>
    <mergeCell ref="L348:L352"/>
    <mergeCell ref="M348:M352"/>
    <mergeCell ref="AF348:AF352"/>
    <mergeCell ref="AG348:AG352"/>
    <mergeCell ref="AH348:AH352"/>
    <mergeCell ref="AI348:AI352"/>
    <mergeCell ref="AJ348:AJ352"/>
    <mergeCell ref="AK348:AK352"/>
    <mergeCell ref="N349:N351"/>
    <mergeCell ref="O349:O351"/>
    <mergeCell ref="P349:P351"/>
    <mergeCell ref="Q349:Q351"/>
    <mergeCell ref="R349:R351"/>
    <mergeCell ref="S349:S351"/>
    <mergeCell ref="T349:T351"/>
    <mergeCell ref="U349:U351"/>
    <mergeCell ref="V349:V351"/>
    <mergeCell ref="W349:W351"/>
    <mergeCell ref="X349:X351"/>
    <mergeCell ref="Y349:Y351"/>
    <mergeCell ref="G348:G352"/>
    <mergeCell ref="H152:H157"/>
    <mergeCell ref="I152:I157"/>
    <mergeCell ref="J152:J157"/>
    <mergeCell ref="K152:K157"/>
    <mergeCell ref="L152:L157"/>
    <mergeCell ref="M152:M157"/>
    <mergeCell ref="AF152:AF157"/>
    <mergeCell ref="AG152:AG157"/>
    <mergeCell ref="AH152:AH157"/>
    <mergeCell ref="AI152:AI157"/>
    <mergeCell ref="AJ152:AJ157"/>
    <mergeCell ref="AK152:AK157"/>
    <mergeCell ref="N153:N156"/>
    <mergeCell ref="O153:O156"/>
    <mergeCell ref="P153:P156"/>
    <mergeCell ref="Q153:Q156"/>
    <mergeCell ref="R153:R156"/>
    <mergeCell ref="S153:S156"/>
    <mergeCell ref="T153:T156"/>
    <mergeCell ref="U153:U156"/>
    <mergeCell ref="V153:V156"/>
    <mergeCell ref="W153:W156"/>
    <mergeCell ref="X153:X156"/>
    <mergeCell ref="Y153:Y156"/>
    <mergeCell ref="G152:G157"/>
    <mergeCell ref="H353:H357"/>
    <mergeCell ref="I353:I357"/>
    <mergeCell ref="J353:J357"/>
    <mergeCell ref="K353:K357"/>
    <mergeCell ref="L353:L357"/>
    <mergeCell ref="M353:M357"/>
    <mergeCell ref="AF353:AF357"/>
    <mergeCell ref="AG353:AG357"/>
    <mergeCell ref="AH353:AH357"/>
    <mergeCell ref="AI353:AI357"/>
    <mergeCell ref="AJ353:AJ357"/>
    <mergeCell ref="AK353:AK357"/>
    <mergeCell ref="N354:N356"/>
    <mergeCell ref="O354:O356"/>
    <mergeCell ref="P354:P356"/>
    <mergeCell ref="Q354:Q356"/>
    <mergeCell ref="R354:R356"/>
    <mergeCell ref="S354:S356"/>
    <mergeCell ref="T354:T356"/>
    <mergeCell ref="U354:U356"/>
    <mergeCell ref="V354:V356"/>
    <mergeCell ref="W354:W356"/>
    <mergeCell ref="X354:X356"/>
    <mergeCell ref="Y354:Y356"/>
    <mergeCell ref="G353:G357"/>
    <mergeCell ref="H476:H480"/>
    <mergeCell ref="I476:I480"/>
    <mergeCell ref="J476:J480"/>
    <mergeCell ref="K476:K480"/>
    <mergeCell ref="L476:L480"/>
    <mergeCell ref="M476:M480"/>
    <mergeCell ref="AF476:AF480"/>
    <mergeCell ref="AG476:AG480"/>
    <mergeCell ref="AH476:AH480"/>
    <mergeCell ref="AI476:AI480"/>
    <mergeCell ref="AJ476:AJ480"/>
    <mergeCell ref="AK476:AK480"/>
    <mergeCell ref="N477:N479"/>
    <mergeCell ref="O477:O479"/>
    <mergeCell ref="P477:P479"/>
    <mergeCell ref="Q477:Q479"/>
    <mergeCell ref="R477:R479"/>
    <mergeCell ref="S477:S479"/>
    <mergeCell ref="T477:T479"/>
    <mergeCell ref="U477:U479"/>
    <mergeCell ref="V477:V479"/>
    <mergeCell ref="W477:W479"/>
    <mergeCell ref="X477:X479"/>
    <mergeCell ref="Y477:Y479"/>
    <mergeCell ref="G476:G480"/>
    <mergeCell ref="H481:H485"/>
    <mergeCell ref="I481:I485"/>
    <mergeCell ref="J481:J485"/>
    <mergeCell ref="K481:K485"/>
    <mergeCell ref="L481:L485"/>
    <mergeCell ref="M481:M485"/>
    <mergeCell ref="AF481:AF485"/>
    <mergeCell ref="AG481:AG485"/>
    <mergeCell ref="AH481:AH485"/>
    <mergeCell ref="AI481:AI485"/>
    <mergeCell ref="AJ481:AJ485"/>
    <mergeCell ref="AK481:AK485"/>
    <mergeCell ref="N482:N484"/>
    <mergeCell ref="O482:O484"/>
    <mergeCell ref="P482:P484"/>
    <mergeCell ref="Q482:Q484"/>
    <mergeCell ref="R482:R484"/>
    <mergeCell ref="S482:S484"/>
    <mergeCell ref="T482:T484"/>
    <mergeCell ref="U482:U484"/>
    <mergeCell ref="V482:V484"/>
    <mergeCell ref="W482:W484"/>
    <mergeCell ref="X482:X484"/>
    <mergeCell ref="Y482:Y484"/>
    <mergeCell ref="G481:G485"/>
    <mergeCell ref="H486:H490"/>
    <mergeCell ref="I486:I490"/>
    <mergeCell ref="J486:J490"/>
    <mergeCell ref="K486:K490"/>
    <mergeCell ref="L486:L490"/>
    <mergeCell ref="M486:M490"/>
    <mergeCell ref="AF486:AF490"/>
    <mergeCell ref="AG486:AG490"/>
    <mergeCell ref="AH486:AH490"/>
    <mergeCell ref="AI486:AI490"/>
    <mergeCell ref="AJ486:AJ490"/>
    <mergeCell ref="AK486:AK490"/>
    <mergeCell ref="N487:N489"/>
    <mergeCell ref="O487:O489"/>
    <mergeCell ref="P487:P489"/>
    <mergeCell ref="Q487:Q489"/>
    <mergeCell ref="R487:R489"/>
    <mergeCell ref="S487:S489"/>
    <mergeCell ref="T487:T489"/>
    <mergeCell ref="U487:U489"/>
    <mergeCell ref="V487:V489"/>
    <mergeCell ref="W487:W489"/>
    <mergeCell ref="X487:X489"/>
    <mergeCell ref="Y487:Y489"/>
    <mergeCell ref="G486:G490"/>
    <mergeCell ref="H491:H495"/>
    <mergeCell ref="I491:I495"/>
    <mergeCell ref="J491:J495"/>
    <mergeCell ref="K491:K495"/>
    <mergeCell ref="L491:L495"/>
    <mergeCell ref="M491:M495"/>
    <mergeCell ref="AF491:AF495"/>
    <mergeCell ref="AG491:AG495"/>
    <mergeCell ref="AH491:AH495"/>
    <mergeCell ref="AI491:AI495"/>
    <mergeCell ref="AJ491:AJ495"/>
    <mergeCell ref="AK491:AK495"/>
    <mergeCell ref="N492:N494"/>
    <mergeCell ref="O492:O494"/>
    <mergeCell ref="P492:P494"/>
    <mergeCell ref="Q492:Q494"/>
    <mergeCell ref="R492:R494"/>
    <mergeCell ref="S492:S494"/>
    <mergeCell ref="T492:T494"/>
    <mergeCell ref="U492:U494"/>
    <mergeCell ref="V492:V494"/>
    <mergeCell ref="W492:W494"/>
    <mergeCell ref="X492:X494"/>
    <mergeCell ref="Y492:Y494"/>
    <mergeCell ref="G491:G495"/>
    <mergeCell ref="H496:H500"/>
    <mergeCell ref="I496:I500"/>
    <mergeCell ref="J496:J500"/>
    <mergeCell ref="K496:K500"/>
    <mergeCell ref="L496:L500"/>
    <mergeCell ref="M496:M500"/>
    <mergeCell ref="AF496:AF500"/>
    <mergeCell ref="AG496:AG500"/>
    <mergeCell ref="AH496:AH500"/>
    <mergeCell ref="AI496:AI500"/>
    <mergeCell ref="AJ496:AJ500"/>
    <mergeCell ref="AK496:AK500"/>
    <mergeCell ref="N497:N499"/>
    <mergeCell ref="O497:O499"/>
    <mergeCell ref="P497:P499"/>
    <mergeCell ref="Q497:Q499"/>
    <mergeCell ref="R497:R499"/>
    <mergeCell ref="S497:S499"/>
    <mergeCell ref="T497:T499"/>
    <mergeCell ref="U497:U499"/>
    <mergeCell ref="V497:V499"/>
    <mergeCell ref="W497:W499"/>
    <mergeCell ref="X497:X499"/>
    <mergeCell ref="Y497:Y499"/>
    <mergeCell ref="G496:G500"/>
    <mergeCell ref="H585:H589"/>
    <mergeCell ref="I585:I589"/>
    <mergeCell ref="J585:J589"/>
    <mergeCell ref="K585:K589"/>
    <mergeCell ref="L585:L589"/>
    <mergeCell ref="M585:M589"/>
    <mergeCell ref="AF585:AF589"/>
    <mergeCell ref="AG585:AG589"/>
    <mergeCell ref="AH585:AH589"/>
    <mergeCell ref="AI585:AI589"/>
    <mergeCell ref="AJ585:AJ589"/>
    <mergeCell ref="AK585:AK589"/>
    <mergeCell ref="N586:N588"/>
    <mergeCell ref="O586:O588"/>
    <mergeCell ref="P586:P588"/>
    <mergeCell ref="Q586:Q588"/>
    <mergeCell ref="R586:R588"/>
    <mergeCell ref="S586:S588"/>
    <mergeCell ref="T586:T588"/>
    <mergeCell ref="U586:U588"/>
    <mergeCell ref="V586:V588"/>
    <mergeCell ref="W586:W588"/>
    <mergeCell ref="X586:X588"/>
    <mergeCell ref="Y586:Y588"/>
    <mergeCell ref="G585:G589"/>
    <mergeCell ref="H158:H162"/>
    <mergeCell ref="I158:I162"/>
    <mergeCell ref="J158:J162"/>
    <mergeCell ref="K158:K162"/>
    <mergeCell ref="L158:L162"/>
    <mergeCell ref="M158:M162"/>
    <mergeCell ref="AF158:AF162"/>
    <mergeCell ref="AG158:AG162"/>
    <mergeCell ref="AH158:AH162"/>
    <mergeCell ref="AI158:AI162"/>
    <mergeCell ref="AJ158:AJ162"/>
    <mergeCell ref="AK158:AK162"/>
    <mergeCell ref="N159:N161"/>
    <mergeCell ref="O159:O161"/>
    <mergeCell ref="P159:P161"/>
    <mergeCell ref="Q159:Q161"/>
    <mergeCell ref="R159:R161"/>
    <mergeCell ref="S159:S161"/>
    <mergeCell ref="T159:T161"/>
    <mergeCell ref="U159:U161"/>
    <mergeCell ref="V159:V161"/>
    <mergeCell ref="W159:W161"/>
    <mergeCell ref="X159:X161"/>
    <mergeCell ref="Y159:Y161"/>
    <mergeCell ref="G158:G162"/>
    <mergeCell ref="H358:H362"/>
    <mergeCell ref="I358:I362"/>
    <mergeCell ref="J358:J362"/>
    <mergeCell ref="K358:K362"/>
    <mergeCell ref="L358:L362"/>
    <mergeCell ref="M358:M362"/>
    <mergeCell ref="AF358:AF362"/>
    <mergeCell ref="AG358:AG362"/>
    <mergeCell ref="AH358:AH362"/>
    <mergeCell ref="AI358:AI362"/>
    <mergeCell ref="AJ358:AJ362"/>
    <mergeCell ref="AK358:AK362"/>
    <mergeCell ref="N359:N361"/>
    <mergeCell ref="O359:O361"/>
    <mergeCell ref="P359:P361"/>
    <mergeCell ref="Q359:Q361"/>
    <mergeCell ref="R359:R361"/>
    <mergeCell ref="S359:S361"/>
    <mergeCell ref="T359:T361"/>
    <mergeCell ref="U359:U361"/>
    <mergeCell ref="V359:V361"/>
    <mergeCell ref="W359:W361"/>
    <mergeCell ref="X359:X361"/>
    <mergeCell ref="Y359:Y361"/>
    <mergeCell ref="G358:G362"/>
    <mergeCell ref="H501:H506"/>
    <mergeCell ref="I501:I506"/>
    <mergeCell ref="J501:J506"/>
    <mergeCell ref="K501:K506"/>
    <mergeCell ref="L501:L506"/>
    <mergeCell ref="M501:M506"/>
    <mergeCell ref="AF501:AF506"/>
    <mergeCell ref="AG501:AG506"/>
    <mergeCell ref="AH501:AH506"/>
    <mergeCell ref="AI501:AI506"/>
    <mergeCell ref="AJ501:AJ506"/>
    <mergeCell ref="AK501:AK506"/>
    <mergeCell ref="N502:N505"/>
    <mergeCell ref="O502:O505"/>
    <mergeCell ref="P502:P505"/>
    <mergeCell ref="Q502:Q505"/>
    <mergeCell ref="R502:R505"/>
    <mergeCell ref="S502:S505"/>
    <mergeCell ref="T502:T505"/>
    <mergeCell ref="U502:U505"/>
    <mergeCell ref="V502:V505"/>
    <mergeCell ref="W502:W505"/>
    <mergeCell ref="X502:X505"/>
    <mergeCell ref="Y502:Y505"/>
    <mergeCell ref="G501:G506"/>
    <mergeCell ref="H590:H594"/>
    <mergeCell ref="I590:I594"/>
    <mergeCell ref="J590:J594"/>
    <mergeCell ref="K590:K594"/>
    <mergeCell ref="L590:L594"/>
    <mergeCell ref="M590:M594"/>
    <mergeCell ref="AF590:AF594"/>
    <mergeCell ref="AG590:AG594"/>
    <mergeCell ref="AH590:AH594"/>
    <mergeCell ref="AI590:AI594"/>
    <mergeCell ref="AJ590:AJ594"/>
    <mergeCell ref="AK590:AK594"/>
    <mergeCell ref="N591:N593"/>
    <mergeCell ref="O591:O593"/>
    <mergeCell ref="P591:P593"/>
    <mergeCell ref="Q591:Q593"/>
    <mergeCell ref="R591:R593"/>
    <mergeCell ref="S591:S593"/>
    <mergeCell ref="T591:T593"/>
    <mergeCell ref="U591:U593"/>
    <mergeCell ref="V591:V593"/>
    <mergeCell ref="W591:W593"/>
    <mergeCell ref="X591:X593"/>
    <mergeCell ref="Y591:Y593"/>
    <mergeCell ref="G590:G594"/>
    <mergeCell ref="H41:H45"/>
    <mergeCell ref="I41:I45"/>
    <mergeCell ref="J41:J45"/>
    <mergeCell ref="K41:K45"/>
    <mergeCell ref="L41:L45"/>
    <mergeCell ref="M41:M45"/>
    <mergeCell ref="AF41:AF45"/>
    <mergeCell ref="AG41:AG45"/>
    <mergeCell ref="AH41:AH45"/>
    <mergeCell ref="AI41:AI45"/>
    <mergeCell ref="AJ41:AJ45"/>
    <mergeCell ref="AK41:AK45"/>
    <mergeCell ref="N42:N44"/>
    <mergeCell ref="O42:O44"/>
    <mergeCell ref="P42:P44"/>
    <mergeCell ref="Q42:Q44"/>
    <mergeCell ref="R42:R44"/>
    <mergeCell ref="S42:S44"/>
    <mergeCell ref="T42:T44"/>
    <mergeCell ref="U42:U44"/>
    <mergeCell ref="V42:V44"/>
    <mergeCell ref="W42:W44"/>
    <mergeCell ref="X42:X44"/>
    <mergeCell ref="Y42:Y44"/>
    <mergeCell ref="G41:G45"/>
    <mergeCell ref="H163:H168"/>
    <mergeCell ref="I163:I168"/>
    <mergeCell ref="J163:J168"/>
    <mergeCell ref="K163:K168"/>
    <mergeCell ref="L163:L168"/>
    <mergeCell ref="M163:M168"/>
    <mergeCell ref="AF163:AF168"/>
    <mergeCell ref="AG163:AG168"/>
    <mergeCell ref="AH163:AH168"/>
    <mergeCell ref="AI163:AI168"/>
    <mergeCell ref="AJ163:AJ168"/>
    <mergeCell ref="AK163:AK168"/>
    <mergeCell ref="N164:N167"/>
    <mergeCell ref="O164:O167"/>
    <mergeCell ref="P164:P167"/>
    <mergeCell ref="Q164:Q167"/>
    <mergeCell ref="R164:R167"/>
    <mergeCell ref="S164:S167"/>
    <mergeCell ref="T164:T167"/>
    <mergeCell ref="U164:U167"/>
    <mergeCell ref="V164:V167"/>
    <mergeCell ref="W164:W167"/>
    <mergeCell ref="X164:X167"/>
    <mergeCell ref="Y164:Y167"/>
    <mergeCell ref="G163:G168"/>
    <mergeCell ref="H46:H50"/>
    <mergeCell ref="I46:I50"/>
    <mergeCell ref="J46:J50"/>
    <mergeCell ref="K46:K50"/>
    <mergeCell ref="L46:L50"/>
    <mergeCell ref="M46:M50"/>
    <mergeCell ref="AF46:AF50"/>
    <mergeCell ref="AG46:AG50"/>
    <mergeCell ref="AH46:AH50"/>
    <mergeCell ref="AI46:AI50"/>
    <mergeCell ref="AJ46:AJ50"/>
    <mergeCell ref="AK46:AK50"/>
    <mergeCell ref="N47:N49"/>
    <mergeCell ref="O47:O49"/>
    <mergeCell ref="P47:P49"/>
    <mergeCell ref="Q47:Q49"/>
    <mergeCell ref="R47:R49"/>
    <mergeCell ref="S47:S49"/>
    <mergeCell ref="T47:T49"/>
    <mergeCell ref="U47:U49"/>
    <mergeCell ref="V47:V49"/>
    <mergeCell ref="W47:W49"/>
    <mergeCell ref="X47:X49"/>
    <mergeCell ref="Y47:Y49"/>
    <mergeCell ref="G46:G50"/>
    <mergeCell ref="H169:H174"/>
    <mergeCell ref="I169:I174"/>
    <mergeCell ref="J169:J174"/>
    <mergeCell ref="K169:K174"/>
    <mergeCell ref="L169:L174"/>
    <mergeCell ref="M169:M174"/>
    <mergeCell ref="AF169:AF174"/>
    <mergeCell ref="AG169:AG174"/>
    <mergeCell ref="AH169:AH174"/>
    <mergeCell ref="AI169:AI174"/>
    <mergeCell ref="AJ169:AJ174"/>
    <mergeCell ref="AK169:AK174"/>
    <mergeCell ref="N170:N173"/>
    <mergeCell ref="O170:O173"/>
    <mergeCell ref="P170:P173"/>
    <mergeCell ref="Q170:Q173"/>
    <mergeCell ref="R170:R173"/>
    <mergeCell ref="S170:S173"/>
    <mergeCell ref="T170:T173"/>
    <mergeCell ref="U170:U173"/>
    <mergeCell ref="V170:V173"/>
    <mergeCell ref="W170:W173"/>
    <mergeCell ref="X170:X173"/>
    <mergeCell ref="Y170:Y173"/>
    <mergeCell ref="G169:G174"/>
    <mergeCell ref="H363:H367"/>
    <mergeCell ref="I363:I367"/>
    <mergeCell ref="J363:J367"/>
    <mergeCell ref="K363:K367"/>
    <mergeCell ref="L363:L367"/>
    <mergeCell ref="M363:M367"/>
    <mergeCell ref="AF363:AF367"/>
    <mergeCell ref="AG363:AG367"/>
    <mergeCell ref="AH363:AH367"/>
    <mergeCell ref="AI363:AI367"/>
    <mergeCell ref="AJ363:AJ367"/>
    <mergeCell ref="AK363:AK367"/>
    <mergeCell ref="N364:N366"/>
    <mergeCell ref="O364:O366"/>
    <mergeCell ref="P364:P366"/>
    <mergeCell ref="Q364:Q366"/>
    <mergeCell ref="R364:R366"/>
    <mergeCell ref="S364:S366"/>
    <mergeCell ref="T364:T366"/>
    <mergeCell ref="U364:U366"/>
    <mergeCell ref="V364:V366"/>
    <mergeCell ref="W364:W366"/>
    <mergeCell ref="X364:X366"/>
    <mergeCell ref="Y364:Y366"/>
    <mergeCell ref="G363:G367"/>
    <mergeCell ref="H507:H511"/>
    <mergeCell ref="I507:I511"/>
    <mergeCell ref="J507:J511"/>
    <mergeCell ref="K507:K511"/>
    <mergeCell ref="L507:L511"/>
    <mergeCell ref="M507:M511"/>
    <mergeCell ref="AF507:AF511"/>
    <mergeCell ref="AG507:AG511"/>
    <mergeCell ref="AH507:AH511"/>
    <mergeCell ref="AI507:AI511"/>
    <mergeCell ref="AJ507:AJ511"/>
    <mergeCell ref="AK507:AK511"/>
    <mergeCell ref="N508:N510"/>
    <mergeCell ref="O508:O510"/>
    <mergeCell ref="P508:P510"/>
    <mergeCell ref="Q508:Q510"/>
    <mergeCell ref="R508:R510"/>
    <mergeCell ref="S508:S510"/>
    <mergeCell ref="T508:T510"/>
    <mergeCell ref="U508:U510"/>
    <mergeCell ref="V508:V510"/>
    <mergeCell ref="W508:W510"/>
    <mergeCell ref="X508:X510"/>
    <mergeCell ref="Y508:Y510"/>
    <mergeCell ref="G507:G511"/>
    <mergeCell ref="H175:H179"/>
    <mergeCell ref="I175:I179"/>
    <mergeCell ref="J175:J179"/>
    <mergeCell ref="K175:K179"/>
    <mergeCell ref="L175:L179"/>
    <mergeCell ref="M175:M179"/>
    <mergeCell ref="AF175:AF179"/>
    <mergeCell ref="AG175:AG179"/>
    <mergeCell ref="AH175:AH179"/>
    <mergeCell ref="AI175:AI179"/>
    <mergeCell ref="AJ175:AJ179"/>
    <mergeCell ref="AK175:AK179"/>
    <mergeCell ref="N176:N178"/>
    <mergeCell ref="O176:O178"/>
    <mergeCell ref="P176:P178"/>
    <mergeCell ref="Q176:Q178"/>
    <mergeCell ref="R176:R178"/>
    <mergeCell ref="S176:S178"/>
    <mergeCell ref="T176:T178"/>
    <mergeCell ref="U176:U178"/>
    <mergeCell ref="V176:V178"/>
    <mergeCell ref="W176:W178"/>
    <mergeCell ref="X176:X178"/>
    <mergeCell ref="Y176:Y178"/>
    <mergeCell ref="G175:G179"/>
    <mergeCell ref="H368:H373"/>
    <mergeCell ref="I368:I373"/>
    <mergeCell ref="J368:J373"/>
    <mergeCell ref="K368:K373"/>
    <mergeCell ref="L368:L373"/>
    <mergeCell ref="M368:M373"/>
    <mergeCell ref="AF368:AF373"/>
    <mergeCell ref="AG368:AG373"/>
    <mergeCell ref="AH368:AH373"/>
    <mergeCell ref="AI368:AI373"/>
    <mergeCell ref="AJ368:AJ373"/>
    <mergeCell ref="AK368:AK373"/>
    <mergeCell ref="N369:N372"/>
    <mergeCell ref="O369:O372"/>
    <mergeCell ref="P369:P372"/>
    <mergeCell ref="Q369:Q372"/>
    <mergeCell ref="R369:R372"/>
    <mergeCell ref="S369:S372"/>
    <mergeCell ref="T369:T372"/>
    <mergeCell ref="U369:U372"/>
    <mergeCell ref="V369:V372"/>
    <mergeCell ref="W369:W372"/>
    <mergeCell ref="X369:X372"/>
    <mergeCell ref="Y369:Y372"/>
    <mergeCell ref="G368:G373"/>
    <mergeCell ref="H180:H184"/>
    <mergeCell ref="I180:I184"/>
    <mergeCell ref="J180:J184"/>
    <mergeCell ref="K180:K184"/>
    <mergeCell ref="L180:L184"/>
    <mergeCell ref="M180:M184"/>
    <mergeCell ref="AF180:AF184"/>
    <mergeCell ref="AG180:AG184"/>
    <mergeCell ref="AH180:AH184"/>
    <mergeCell ref="AI180:AI184"/>
    <mergeCell ref="AJ180:AJ184"/>
    <mergeCell ref="AK180:AK184"/>
    <mergeCell ref="N181:N183"/>
    <mergeCell ref="O181:O183"/>
    <mergeCell ref="P181:P183"/>
    <mergeCell ref="Q181:Q183"/>
    <mergeCell ref="R181:R183"/>
    <mergeCell ref="S181:S183"/>
    <mergeCell ref="T181:T183"/>
    <mergeCell ref="U181:U183"/>
    <mergeCell ref="V181:V183"/>
    <mergeCell ref="W181:W183"/>
    <mergeCell ref="X181:X183"/>
    <mergeCell ref="Y181:Y183"/>
    <mergeCell ref="G180:G184"/>
    <mergeCell ref="H185:H189"/>
    <mergeCell ref="I185:I189"/>
    <mergeCell ref="J185:J189"/>
    <mergeCell ref="K185:K189"/>
    <mergeCell ref="L185:L189"/>
    <mergeCell ref="M185:M189"/>
    <mergeCell ref="AF185:AF189"/>
    <mergeCell ref="AG185:AG189"/>
    <mergeCell ref="AH185:AH189"/>
    <mergeCell ref="AI185:AI189"/>
    <mergeCell ref="AJ185:AJ189"/>
    <mergeCell ref="AK185:AK189"/>
    <mergeCell ref="N186:N188"/>
    <mergeCell ref="O186:O188"/>
    <mergeCell ref="P186:P188"/>
    <mergeCell ref="Q186:Q188"/>
    <mergeCell ref="R186:R188"/>
    <mergeCell ref="S186:S188"/>
    <mergeCell ref="T186:T188"/>
    <mergeCell ref="U186:U188"/>
    <mergeCell ref="V186:V188"/>
    <mergeCell ref="W186:W188"/>
    <mergeCell ref="X186:X188"/>
    <mergeCell ref="Y186:Y188"/>
    <mergeCell ref="G185:G189"/>
    <mergeCell ref="H374:H378"/>
    <mergeCell ref="I374:I378"/>
    <mergeCell ref="J374:J378"/>
    <mergeCell ref="K374:K378"/>
    <mergeCell ref="L374:L378"/>
    <mergeCell ref="M374:M378"/>
    <mergeCell ref="AF374:AF378"/>
    <mergeCell ref="AG374:AG378"/>
    <mergeCell ref="AH374:AH378"/>
    <mergeCell ref="AI374:AI378"/>
    <mergeCell ref="AJ374:AJ378"/>
    <mergeCell ref="AK374:AK378"/>
    <mergeCell ref="N375:N377"/>
    <mergeCell ref="O375:O377"/>
    <mergeCell ref="P375:P377"/>
    <mergeCell ref="Q375:Q377"/>
    <mergeCell ref="R375:R377"/>
    <mergeCell ref="S375:S377"/>
    <mergeCell ref="T375:T377"/>
    <mergeCell ref="U375:U377"/>
    <mergeCell ref="V375:V377"/>
    <mergeCell ref="W375:W377"/>
    <mergeCell ref="X375:X377"/>
    <mergeCell ref="Y375:Y377"/>
    <mergeCell ref="G374:G378"/>
    <mergeCell ref="H379:H383"/>
    <mergeCell ref="I379:I383"/>
    <mergeCell ref="J379:J383"/>
    <mergeCell ref="K379:K383"/>
    <mergeCell ref="L379:L383"/>
    <mergeCell ref="M379:M383"/>
    <mergeCell ref="AF379:AF383"/>
    <mergeCell ref="AG379:AG383"/>
    <mergeCell ref="AH379:AH383"/>
    <mergeCell ref="AI379:AI383"/>
    <mergeCell ref="AJ379:AJ383"/>
    <mergeCell ref="AK379:AK383"/>
    <mergeCell ref="N380:N382"/>
    <mergeCell ref="O380:O382"/>
    <mergeCell ref="P380:P382"/>
    <mergeCell ref="Q380:Q382"/>
    <mergeCell ref="R380:R382"/>
    <mergeCell ref="S380:S382"/>
    <mergeCell ref="T380:T382"/>
    <mergeCell ref="U380:U382"/>
    <mergeCell ref="V380:V382"/>
    <mergeCell ref="W380:W382"/>
    <mergeCell ref="X380:X382"/>
    <mergeCell ref="Y380:Y382"/>
    <mergeCell ref="G379:G383"/>
    <mergeCell ref="H384:H388"/>
    <mergeCell ref="I384:I388"/>
    <mergeCell ref="J384:J388"/>
    <mergeCell ref="K384:K388"/>
    <mergeCell ref="L384:L388"/>
    <mergeCell ref="M384:M388"/>
    <mergeCell ref="AF384:AF388"/>
    <mergeCell ref="AG384:AG388"/>
    <mergeCell ref="AH384:AH388"/>
    <mergeCell ref="AI384:AI388"/>
    <mergeCell ref="AJ384:AJ388"/>
    <mergeCell ref="AK384:AK388"/>
    <mergeCell ref="N385:N387"/>
    <mergeCell ref="O385:O387"/>
    <mergeCell ref="P385:P387"/>
    <mergeCell ref="Q385:Q387"/>
    <mergeCell ref="R385:R387"/>
    <mergeCell ref="S385:S387"/>
    <mergeCell ref="T385:T387"/>
    <mergeCell ref="U385:U387"/>
    <mergeCell ref="V385:V387"/>
    <mergeCell ref="W385:W387"/>
    <mergeCell ref="X385:X387"/>
    <mergeCell ref="Y385:Y387"/>
    <mergeCell ref="G384:G388"/>
    <mergeCell ref="H190:H194"/>
    <mergeCell ref="I190:I194"/>
    <mergeCell ref="J190:J194"/>
    <mergeCell ref="K190:K194"/>
    <mergeCell ref="L190:L194"/>
    <mergeCell ref="M190:M194"/>
    <mergeCell ref="AF190:AF194"/>
    <mergeCell ref="AG190:AG194"/>
    <mergeCell ref="AH190:AH194"/>
    <mergeCell ref="AI190:AI194"/>
    <mergeCell ref="AJ190:AJ194"/>
    <mergeCell ref="AK190:AK194"/>
    <mergeCell ref="N191:N193"/>
    <mergeCell ref="O191:O193"/>
    <mergeCell ref="P191:P193"/>
    <mergeCell ref="Q191:Q193"/>
    <mergeCell ref="R191:R193"/>
    <mergeCell ref="S191:S193"/>
    <mergeCell ref="T191:T193"/>
    <mergeCell ref="U191:U193"/>
    <mergeCell ref="V191:V193"/>
    <mergeCell ref="W191:W193"/>
    <mergeCell ref="X191:X193"/>
    <mergeCell ref="Y191:Y193"/>
    <mergeCell ref="G190:G194"/>
    <mergeCell ref="H195:H199"/>
    <mergeCell ref="I195:I199"/>
    <mergeCell ref="J195:J199"/>
    <mergeCell ref="K195:K199"/>
    <mergeCell ref="L195:L199"/>
    <mergeCell ref="M195:M199"/>
    <mergeCell ref="AF195:AF199"/>
    <mergeCell ref="AG195:AG199"/>
    <mergeCell ref="AH195:AH199"/>
    <mergeCell ref="AI195:AI199"/>
    <mergeCell ref="AJ195:AJ199"/>
    <mergeCell ref="AK195:AK199"/>
    <mergeCell ref="N196:N198"/>
    <mergeCell ref="O196:O198"/>
    <mergeCell ref="P196:P198"/>
    <mergeCell ref="Q196:Q198"/>
    <mergeCell ref="R196:R198"/>
    <mergeCell ref="S196:S198"/>
    <mergeCell ref="T196:T198"/>
    <mergeCell ref="U196:U198"/>
    <mergeCell ref="V196:V198"/>
    <mergeCell ref="W196:W198"/>
    <mergeCell ref="X196:X198"/>
    <mergeCell ref="Y196:Y198"/>
    <mergeCell ref="G195:G199"/>
    <mergeCell ref="H200:H205"/>
    <mergeCell ref="I200:I205"/>
    <mergeCell ref="J200:J205"/>
    <mergeCell ref="K200:K205"/>
    <mergeCell ref="L200:L205"/>
    <mergeCell ref="M200:M205"/>
    <mergeCell ref="AF200:AF205"/>
    <mergeCell ref="AG200:AG205"/>
    <mergeCell ref="AH200:AH205"/>
    <mergeCell ref="AI200:AI205"/>
    <mergeCell ref="AJ200:AJ205"/>
    <mergeCell ref="AK200:AK205"/>
    <mergeCell ref="N201:N204"/>
    <mergeCell ref="O201:O204"/>
    <mergeCell ref="P201:P204"/>
    <mergeCell ref="Q201:Q204"/>
    <mergeCell ref="R201:R204"/>
    <mergeCell ref="S201:S204"/>
    <mergeCell ref="T201:T204"/>
    <mergeCell ref="U201:U204"/>
    <mergeCell ref="V201:V204"/>
    <mergeCell ref="W201:W204"/>
    <mergeCell ref="X201:X204"/>
    <mergeCell ref="Y201:Y204"/>
    <mergeCell ref="G200:G205"/>
    <mergeCell ref="H206:H210"/>
    <mergeCell ref="I206:I210"/>
    <mergeCell ref="J206:J210"/>
    <mergeCell ref="K206:K210"/>
    <mergeCell ref="L206:L210"/>
    <mergeCell ref="M206:M210"/>
    <mergeCell ref="AF206:AF210"/>
    <mergeCell ref="AG206:AG210"/>
    <mergeCell ref="AH206:AH210"/>
    <mergeCell ref="AI206:AI210"/>
    <mergeCell ref="AJ206:AJ210"/>
    <mergeCell ref="AK206:AK210"/>
    <mergeCell ref="N207:N209"/>
    <mergeCell ref="O207:O209"/>
    <mergeCell ref="P207:P209"/>
    <mergeCell ref="Q207:Q209"/>
    <mergeCell ref="R207:R209"/>
    <mergeCell ref="S207:S209"/>
    <mergeCell ref="T207:T209"/>
    <mergeCell ref="U207:U209"/>
    <mergeCell ref="V207:V209"/>
    <mergeCell ref="W207:W209"/>
    <mergeCell ref="X207:X209"/>
    <mergeCell ref="Y207:Y209"/>
    <mergeCell ref="G206:G210"/>
    <mergeCell ref="H211:H215"/>
    <mergeCell ref="I211:I215"/>
    <mergeCell ref="J211:J215"/>
    <mergeCell ref="K211:K215"/>
    <mergeCell ref="L211:L215"/>
    <mergeCell ref="M211:M215"/>
    <mergeCell ref="AF211:AF215"/>
    <mergeCell ref="AG211:AG215"/>
    <mergeCell ref="AH211:AH215"/>
    <mergeCell ref="AI211:AI215"/>
    <mergeCell ref="AJ211:AJ215"/>
    <mergeCell ref="AK211:AK215"/>
    <mergeCell ref="N212:N214"/>
    <mergeCell ref="O212:O214"/>
    <mergeCell ref="P212:P214"/>
    <mergeCell ref="Q212:Q214"/>
    <mergeCell ref="R212:R214"/>
    <mergeCell ref="S212:S214"/>
    <mergeCell ref="T212:T214"/>
    <mergeCell ref="U212:U214"/>
    <mergeCell ref="V212:V214"/>
    <mergeCell ref="W212:W214"/>
    <mergeCell ref="X212:X214"/>
    <mergeCell ref="Y212:Y214"/>
    <mergeCell ref="G211:G215"/>
    <mergeCell ref="H216:H221"/>
    <mergeCell ref="I216:I221"/>
    <mergeCell ref="J216:J221"/>
    <mergeCell ref="K216:K221"/>
    <mergeCell ref="L216:L221"/>
    <mergeCell ref="M216:M221"/>
    <mergeCell ref="AF216:AF221"/>
    <mergeCell ref="AG216:AG221"/>
    <mergeCell ref="AH216:AH221"/>
    <mergeCell ref="AI216:AI221"/>
    <mergeCell ref="AJ216:AJ221"/>
    <mergeCell ref="AK216:AK221"/>
    <mergeCell ref="N217:N220"/>
    <mergeCell ref="O217:O220"/>
    <mergeCell ref="P217:P220"/>
    <mergeCell ref="Q217:Q220"/>
    <mergeCell ref="R217:R220"/>
    <mergeCell ref="S217:S220"/>
    <mergeCell ref="T217:T220"/>
    <mergeCell ref="U217:U220"/>
    <mergeCell ref="V217:V220"/>
    <mergeCell ref="W217:W220"/>
    <mergeCell ref="X217:X220"/>
    <mergeCell ref="Y217:Y220"/>
    <mergeCell ref="G216:G221"/>
  </mergeCells>
  <dataValidations count="2895">
    <dataValidation type="whole" allowBlank="1" showErrorMessage="1" errorTitle="Ошибка" error="Допускается ввод только неотрицательных целых чисел!" sqref="AI219">
      <formula1>0</formula1>
      <formula2>9.99999999999999E+23</formula2>
    </dataValidation>
    <dataValidation type="whole" allowBlank="1" showErrorMessage="1" errorTitle="Ошибка" error="Допускается ввод только неотрицательных целых чисел!" sqref="AF219">
      <formula1>0</formula1>
      <formula2>9.99999999999999E+23</formula2>
    </dataValidation>
    <dataValidation type="decimal" allowBlank="1" showErrorMessage="1" errorTitle="Ошибка" error="Допускается ввод только неотрицательных чисел!" sqref="AE219">
      <formula1>0</formula1>
      <formula2>9.99999999999999E+23</formula2>
    </dataValidation>
    <dataValidation type="decimal" allowBlank="1" showErrorMessage="1" errorTitle="Ошибка" error="Допускается ввод только неотрицательных чисел!" sqref="AC219">
      <formula1>0</formula1>
      <formula2>9.99999999999999E+23</formula2>
    </dataValidation>
    <dataValidation type="textLength" operator="lessThanOrEqual" allowBlank="1" showInputMessage="1" showErrorMessage="1" errorTitle="Ошибка" error="Допускается ввод не более 900 символов!" sqref="K2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9">
      <formula1>"a"</formula1>
    </dataValidation>
    <dataValidation type="whole" allowBlank="1" showErrorMessage="1" errorTitle="Ошибка" error="Допускается ввод только неотрицательных целых чисел!" sqref="AI221">
      <formula1>0</formula1>
      <formula2>9.99999999999999E+23</formula2>
    </dataValidation>
    <dataValidation type="whole" allowBlank="1" showErrorMessage="1" errorTitle="Ошибка" error="Допускается ввод только неотрицательных целых чисел!" sqref="AF221">
      <formula1>0</formula1>
      <formula2>9.99999999999999E+23</formula2>
    </dataValidation>
    <dataValidation type="whole" allowBlank="1" showErrorMessage="1" errorTitle="Ошибка" error="Допускается ввод только неотрицательных целых чисел!" sqref="AI220">
      <formula1>0</formula1>
      <formula2>9.99999999999999E+23</formula2>
    </dataValidation>
    <dataValidation type="whole" allowBlank="1" showErrorMessage="1" errorTitle="Ошибка" error="Допускается ввод только неотрицательных целых чисел!" sqref="AF220">
      <formula1>0</formula1>
      <formula2>9.99999999999999E+23</formula2>
    </dataValidation>
    <dataValidation type="textLength" operator="lessThanOrEqual" allowBlank="1" showInputMessage="1" showErrorMessage="1" errorTitle="Ошибка" error="Допускается ввод не более 900 символов!" sqref="K2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0">
      <formula1>"a"</formula1>
    </dataValidation>
    <dataValidation type="whole" allowBlank="1" showErrorMessage="1" errorTitle="Ошибка" error="Допускается ввод только неотрицательных целых чисел!" sqref="AI218">
      <formula1>0</formula1>
      <formula2>9.99999999999999E+23</formula2>
    </dataValidation>
    <dataValidation type="whole" allowBlank="1" showErrorMessage="1" errorTitle="Ошибка" error="Допускается ввод только неотрицательных целых чисел!" sqref="AF218">
      <formula1>0</formula1>
      <formula2>9.99999999999999E+23</formula2>
    </dataValidation>
    <dataValidation type="decimal" allowBlank="1" showErrorMessage="1" errorTitle="Ошибка" error="Допускается ввод только неотрицательных чисел!" sqref="AE218">
      <formula1>0</formula1>
      <formula2>9.99999999999999E+23</formula2>
    </dataValidation>
    <dataValidation type="decimal" allowBlank="1" showErrorMessage="1" errorTitle="Ошибка" error="Допускается ввод только неотрицательных чисел!" sqref="AC218">
      <formula1>0</formula1>
      <formula2>9.99999999999999E+23</formula2>
    </dataValidation>
    <dataValidation type="textLength" operator="lessThanOrEqual" allowBlank="1" showInputMessage="1" showErrorMessage="1" errorTitle="Ошибка" error="Допускается ввод не более 900 символов!" sqref="K2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8">
      <formula1>"a"</formula1>
    </dataValidation>
    <dataValidation type="whole" allowBlank="1" showErrorMessage="1" errorTitle="Ошибка" error="Допускается ввод только неотрицательных целых чисел!" sqref="AI217">
      <formula1>0</formula1>
      <formula2>9.99999999999999E+23</formula2>
    </dataValidation>
    <dataValidation type="whole" allowBlank="1" showErrorMessage="1" errorTitle="Ошибка" error="Допускается ввод только неотрицательных целых чисел!" sqref="AF217">
      <formula1>0</formula1>
      <formula2>9.99999999999999E+23</formula2>
    </dataValidation>
    <dataValidation type="textLength" operator="lessThanOrEqual" allowBlank="1" showInputMessage="1" showErrorMessage="1" errorTitle="Ошибка" error="Допускается ввод не более 900 символов!" sqref="K2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7">
      <formula1>"a"</formula1>
    </dataValidation>
    <dataValidation type="whole" allowBlank="1" showErrorMessage="1" errorTitle="Ошибка" error="Допускается ввод только неотрицательных целых чисел!" sqref="AI216">
      <formula1>0</formula1>
      <formula2>9.99999999999999E+23</formula2>
    </dataValidation>
    <dataValidation type="whole" allowBlank="1" showErrorMessage="1" errorTitle="Ошибка" error="Допускается ввод только неотрицательных целых чисел!" sqref="AF216">
      <formula1>0</formula1>
      <formula2>9.99999999999999E+23</formula2>
    </dataValidation>
    <dataValidation type="textLength" operator="lessThanOrEqual" allowBlank="1" showInputMessage="1" showErrorMessage="1" errorTitle="Ошибка" error="Допускается ввод не более 900 символов!" sqref="M216">
      <formula1>900</formula1>
    </dataValidation>
    <dataValidation type="textLength" operator="lessThanOrEqual" allowBlank="1" showInputMessage="1" showErrorMessage="1" errorTitle="Ошибка" error="Допускается ввод не более 900 символов!" sqref="K2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6">
      <formula1>"a"</formula1>
    </dataValidation>
    <dataValidation type="whole" allowBlank="1" showErrorMessage="1" errorTitle="Ошибка" error="Допускается ввод только неотрицательных целых чисел!" sqref="AI215">
      <formula1>0</formula1>
      <formula2>9.99999999999999E+23</formula2>
    </dataValidation>
    <dataValidation type="whole" allowBlank="1" showErrorMessage="1" errorTitle="Ошибка" error="Допускается ввод только неотрицательных целых чисел!" sqref="AF215">
      <formula1>0</formula1>
      <formula2>9.99999999999999E+23</formula2>
    </dataValidation>
    <dataValidation type="whole" allowBlank="1" showErrorMessage="1" errorTitle="Ошибка" error="Допускается ввод только неотрицательных целых чисел!" sqref="AI214">
      <formula1>0</formula1>
      <formula2>9.99999999999999E+23</formula2>
    </dataValidation>
    <dataValidation type="whole" allowBlank="1" showErrorMessage="1" errorTitle="Ошибка" error="Допускается ввод только неотрицательных целых чисел!" sqref="AF214">
      <formula1>0</formula1>
      <formula2>9.99999999999999E+23</formula2>
    </dataValidation>
    <dataValidation type="textLength" operator="lessThanOrEqual" allowBlank="1" showInputMessage="1" showErrorMessage="1" errorTitle="Ошибка" error="Допускается ввод не более 900 символов!" sqref="K2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4">
      <formula1>"a"</formula1>
    </dataValidation>
    <dataValidation type="whole" allowBlank="1" showErrorMessage="1" errorTitle="Ошибка" error="Допускается ввод только неотрицательных целых чисел!" sqref="AI213">
      <formula1>0</formula1>
      <formula2>9.99999999999999E+23</formula2>
    </dataValidation>
    <dataValidation type="whole" allowBlank="1" showErrorMessage="1" errorTitle="Ошибка" error="Допускается ввод только неотрицательных целых чисел!" sqref="AF213">
      <formula1>0</formula1>
      <formula2>9.99999999999999E+23</formula2>
    </dataValidation>
    <dataValidation type="decimal" allowBlank="1" showErrorMessage="1" errorTitle="Ошибка" error="Допускается ввод только неотрицательных чисел!" sqref="AE213">
      <formula1>0</formula1>
      <formula2>9.99999999999999E+23</formula2>
    </dataValidation>
    <dataValidation type="decimal" allowBlank="1" showErrorMessage="1" errorTitle="Ошибка" error="Допускается ввод только неотрицательных чисел!" sqref="AC213">
      <formula1>0</formula1>
      <formula2>9.99999999999999E+23</formula2>
    </dataValidation>
    <dataValidation type="textLength" operator="lessThanOrEqual" allowBlank="1" showInputMessage="1" showErrorMessage="1" errorTitle="Ошибка" error="Допускается ввод не более 900 символов!" sqref="K2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3">
      <formula1>"a"</formula1>
    </dataValidation>
    <dataValidation type="whole" allowBlank="1" showErrorMessage="1" errorTitle="Ошибка" error="Допускается ввод только неотрицательных целых чисел!" sqref="AI212">
      <formula1>0</formula1>
      <formula2>9.99999999999999E+23</formula2>
    </dataValidation>
    <dataValidation type="whole" allowBlank="1" showErrorMessage="1" errorTitle="Ошибка" error="Допускается ввод только неотрицательных целых чисел!" sqref="AF212">
      <formula1>0</formula1>
      <formula2>9.99999999999999E+23</formula2>
    </dataValidation>
    <dataValidation type="textLength" operator="lessThanOrEqual" allowBlank="1" showInputMessage="1" showErrorMessage="1" errorTitle="Ошибка" error="Допускается ввод не более 900 символов!" sqref="K2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2">
      <formula1>"a"</formula1>
    </dataValidation>
    <dataValidation type="whole" allowBlank="1" showErrorMessage="1" errorTitle="Ошибка" error="Допускается ввод только неотрицательных целых чисел!" sqref="AI211">
      <formula1>0</formula1>
      <formula2>9.99999999999999E+23</formula2>
    </dataValidation>
    <dataValidation type="whole" allowBlank="1" showErrorMessage="1" errorTitle="Ошибка" error="Допускается ввод только неотрицательных целых чисел!" sqref="AF211">
      <formula1>0</formula1>
      <formula2>9.99999999999999E+23</formula2>
    </dataValidation>
    <dataValidation type="textLength" operator="lessThanOrEqual" allowBlank="1" showInputMessage="1" showErrorMessage="1" errorTitle="Ошибка" error="Допускается ввод не более 900 символов!" sqref="M211">
      <formula1>900</formula1>
    </dataValidation>
    <dataValidation type="textLength" operator="lessThanOrEqual" allowBlank="1" showInputMessage="1" showErrorMessage="1" errorTitle="Ошибка" error="Допускается ввод не более 900 символов!" sqref="K2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1">
      <formula1>"a"</formula1>
    </dataValidation>
    <dataValidation type="whole" allowBlank="1" showErrorMessage="1" errorTitle="Ошибка" error="Допускается ввод только неотрицательных целых чисел!" sqref="AI210">
      <formula1>0</formula1>
      <formula2>9.99999999999999E+23</formula2>
    </dataValidation>
    <dataValidation type="whole" allowBlank="1" showErrorMessage="1" errorTitle="Ошибка" error="Допускается ввод только неотрицательных целых чисел!" sqref="AF210">
      <formula1>0</formula1>
      <formula2>9.99999999999999E+23</formula2>
    </dataValidation>
    <dataValidation type="whole" allowBlank="1" showErrorMessage="1" errorTitle="Ошибка" error="Допускается ввод только неотрицательных целых чисел!" sqref="AI209">
      <formula1>0</formula1>
      <formula2>9.99999999999999E+23</formula2>
    </dataValidation>
    <dataValidation type="whole" allowBlank="1" showErrorMessage="1" errorTitle="Ошибка" error="Допускается ввод только неотрицательных целых чисел!" sqref="AF209">
      <formula1>0</formula1>
      <formula2>9.99999999999999E+23</formula2>
    </dataValidation>
    <dataValidation type="textLength" operator="lessThanOrEqual" allowBlank="1" showInputMessage="1" showErrorMessage="1" errorTitle="Ошибка" error="Допускается ввод не более 900 символов!" sqref="K2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9">
      <formula1>"a"</formula1>
    </dataValidation>
    <dataValidation type="whole" allowBlank="1" showErrorMessage="1" errorTitle="Ошибка" error="Допускается ввод только неотрицательных целых чисел!" sqref="AI208">
      <formula1>0</formula1>
      <formula2>9.99999999999999E+23</formula2>
    </dataValidation>
    <dataValidation type="whole" allowBlank="1" showErrorMessage="1" errorTitle="Ошибка" error="Допускается ввод только неотрицательных целых чисел!" sqref="AF208">
      <formula1>0</formula1>
      <formula2>9.99999999999999E+23</formula2>
    </dataValidation>
    <dataValidation type="decimal" allowBlank="1" showErrorMessage="1" errorTitle="Ошибка" error="Допускается ввод только неотрицательных чисел!" sqref="AE208">
      <formula1>0</formula1>
      <formula2>9.99999999999999E+23</formula2>
    </dataValidation>
    <dataValidation type="decimal" allowBlank="1" showErrorMessage="1" errorTitle="Ошибка" error="Допускается ввод только неотрицательных чисел!" sqref="AC208">
      <formula1>0</formula1>
      <formula2>9.99999999999999E+23</formula2>
    </dataValidation>
    <dataValidation type="textLength" operator="lessThanOrEqual" allowBlank="1" showInputMessage="1" showErrorMessage="1" errorTitle="Ошибка" error="Допускается ввод не более 900 символов!" sqref="K2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8">
      <formula1>"a"</formula1>
    </dataValidation>
    <dataValidation type="whole" allowBlank="1" showErrorMessage="1" errorTitle="Ошибка" error="Допускается ввод только неотрицательных целых чисел!" sqref="AI207">
      <formula1>0</formula1>
      <formula2>9.99999999999999E+23</formula2>
    </dataValidation>
    <dataValidation type="whole" allowBlank="1" showErrorMessage="1" errorTitle="Ошибка" error="Допускается ввод только неотрицательных целых чисел!" sqref="AF207">
      <formula1>0</formula1>
      <formula2>9.99999999999999E+23</formula2>
    </dataValidation>
    <dataValidation type="textLength" operator="lessThanOrEqual" allowBlank="1" showInputMessage="1" showErrorMessage="1" errorTitle="Ошибка" error="Допускается ввод не более 900 символов!" sqref="K2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7">
      <formula1>"a"</formula1>
    </dataValidation>
    <dataValidation type="whole" allowBlank="1" showErrorMessage="1" errorTitle="Ошибка" error="Допускается ввод только неотрицательных целых чисел!" sqref="AI206">
      <formula1>0</formula1>
      <formula2>9.99999999999999E+23</formula2>
    </dataValidation>
    <dataValidation type="whole" allowBlank="1" showErrorMessage="1" errorTitle="Ошибка" error="Допускается ввод только неотрицательных целых чисел!" sqref="AF206">
      <formula1>0</formula1>
      <formula2>9.99999999999999E+23</formula2>
    </dataValidation>
    <dataValidation type="textLength" operator="lessThanOrEqual" allowBlank="1" showInputMessage="1" showErrorMessage="1" errorTitle="Ошибка" error="Допускается ввод не более 900 символов!" sqref="M206">
      <formula1>900</formula1>
    </dataValidation>
    <dataValidation type="textLength" operator="lessThanOrEqual" allowBlank="1" showInputMessage="1" showErrorMessage="1" errorTitle="Ошибка" error="Допускается ввод не более 900 символов!" sqref="K2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6">
      <formula1>"a"</formula1>
    </dataValidation>
    <dataValidation type="whole" allowBlank="1" showErrorMessage="1" errorTitle="Ошибка" error="Допускается ввод только неотрицательных целых чисел!" sqref="AI203">
      <formula1>0</formula1>
      <formula2>9.99999999999999E+23</formula2>
    </dataValidation>
    <dataValidation type="whole" allowBlank="1" showErrorMessage="1" errorTitle="Ошибка" error="Допускается ввод только неотрицательных целых чисел!" sqref="AF203">
      <formula1>0</formula1>
      <formula2>9.99999999999999E+23</formula2>
    </dataValidation>
    <dataValidation type="decimal" allowBlank="1" showErrorMessage="1" errorTitle="Ошибка" error="Допускается ввод только неотрицательных чисел!" sqref="AE203">
      <formula1>0</formula1>
      <formula2>9.99999999999999E+23</formula2>
    </dataValidation>
    <dataValidation type="decimal" allowBlank="1" showErrorMessage="1" errorTitle="Ошибка" error="Допускается ввод только неотрицательных чисел!" sqref="AC203">
      <formula1>0</formula1>
      <formula2>9.99999999999999E+23</formula2>
    </dataValidation>
    <dataValidation type="textLength" operator="lessThanOrEqual" allowBlank="1" showInputMessage="1" showErrorMessage="1" errorTitle="Ошибка" error="Допускается ввод не более 900 символов!" sqref="K2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3">
      <formula1>"a"</formula1>
    </dataValidation>
    <dataValidation type="whole" allowBlank="1" showErrorMessage="1" errorTitle="Ошибка" error="Допускается ввод только неотрицательных целых чисел!" sqref="AI205">
      <formula1>0</formula1>
      <formula2>9.99999999999999E+23</formula2>
    </dataValidation>
    <dataValidation type="whole" allowBlank="1" showErrorMessage="1" errorTitle="Ошибка" error="Допускается ввод только неотрицательных целых чисел!" sqref="AF205">
      <formula1>0</formula1>
      <formula2>9.99999999999999E+23</formula2>
    </dataValidation>
    <dataValidation type="whole" allowBlank="1" showErrorMessage="1" errorTitle="Ошибка" error="Допускается ввод только неотрицательных целых чисел!" sqref="AI204">
      <formula1>0</formula1>
      <formula2>9.99999999999999E+23</formula2>
    </dataValidation>
    <dataValidation type="whole" allowBlank="1" showErrorMessage="1" errorTitle="Ошибка" error="Допускается ввод только неотрицательных целых чисел!" sqref="AF204">
      <formula1>0</formula1>
      <formula2>9.99999999999999E+23</formula2>
    </dataValidation>
    <dataValidation type="textLength" operator="lessThanOrEqual" allowBlank="1" showInputMessage="1" showErrorMessage="1" errorTitle="Ошибка" error="Допускается ввод не более 900 символов!" sqref="K2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4">
      <formula1>"a"</formula1>
    </dataValidation>
    <dataValidation type="whole" allowBlank="1" showErrorMessage="1" errorTitle="Ошибка" error="Допускается ввод только неотрицательных целых чисел!" sqref="AI202">
      <formula1>0</formula1>
      <formula2>9.99999999999999E+23</formula2>
    </dataValidation>
    <dataValidation type="whole" allowBlank="1" showErrorMessage="1" errorTitle="Ошибка" error="Допускается ввод только неотрицательных целых чисел!" sqref="AF202">
      <formula1>0</formula1>
      <formula2>9.99999999999999E+23</formula2>
    </dataValidation>
    <dataValidation type="decimal" allowBlank="1" showErrorMessage="1" errorTitle="Ошибка" error="Допускается ввод только неотрицательных чисел!" sqref="AE202">
      <formula1>0</formula1>
      <formula2>9.99999999999999E+23</formula2>
    </dataValidation>
    <dataValidation type="decimal" allowBlank="1" showErrorMessage="1" errorTitle="Ошибка" error="Допускается ввод только неотрицательных чисел!" sqref="AC202">
      <formula1>0</formula1>
      <formula2>9.99999999999999E+23</formula2>
    </dataValidation>
    <dataValidation type="textLength" operator="lessThanOrEqual" allowBlank="1" showInputMessage="1" showErrorMessage="1" errorTitle="Ошибка" error="Допускается ввод не более 900 символов!" sqref="K2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2">
      <formula1>"a"</formula1>
    </dataValidation>
    <dataValidation type="whole" allowBlank="1" showErrorMessage="1" errorTitle="Ошибка" error="Допускается ввод только неотрицательных целых чисел!" sqref="AI201">
      <formula1>0</formula1>
      <formula2>9.99999999999999E+23</formula2>
    </dataValidation>
    <dataValidation type="whole" allowBlank="1" showErrorMessage="1" errorTitle="Ошибка" error="Допускается ввод только неотрицательных целых чисел!" sqref="AF201">
      <formula1>0</formula1>
      <formula2>9.99999999999999E+23</formula2>
    </dataValidation>
    <dataValidation type="textLength" operator="lessThanOrEqual" allowBlank="1" showInputMessage="1" showErrorMessage="1" errorTitle="Ошибка" error="Допускается ввод не более 900 символов!" sqref="K2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1">
      <formula1>"a"</formula1>
    </dataValidation>
    <dataValidation type="whole" allowBlank="1" showErrorMessage="1" errorTitle="Ошибка" error="Допускается ввод только неотрицательных целых чисел!" sqref="AI200">
      <formula1>0</formula1>
      <formula2>9.99999999999999E+23</formula2>
    </dataValidation>
    <dataValidation type="whole" allowBlank="1" showErrorMessage="1" errorTitle="Ошибка" error="Допускается ввод только неотрицательных целых чисел!" sqref="AF200">
      <formula1>0</formula1>
      <formula2>9.99999999999999E+23</formula2>
    </dataValidation>
    <dataValidation type="textLength" operator="lessThanOrEqual" allowBlank="1" showInputMessage="1" showErrorMessage="1" errorTitle="Ошибка" error="Допускается ввод не более 900 символов!" sqref="M200">
      <formula1>900</formula1>
    </dataValidation>
    <dataValidation type="textLength" operator="lessThanOrEqual" allowBlank="1" showInputMessage="1" showErrorMessage="1" errorTitle="Ошибка" error="Допускается ввод не более 900 символов!" sqref="K2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0">
      <formula1>"a"</formula1>
    </dataValidation>
    <dataValidation type="whole" allowBlank="1" showErrorMessage="1" errorTitle="Ошибка" error="Допускается ввод только неотрицательных целых чисел!" sqref="AI199">
      <formula1>0</formula1>
      <formula2>9.99999999999999E+23</formula2>
    </dataValidation>
    <dataValidation type="whole" allowBlank="1" showErrorMessage="1" errorTitle="Ошибка" error="Допускается ввод только неотрицательных целых чисел!" sqref="AF199">
      <formula1>0</formula1>
      <formula2>9.99999999999999E+23</formula2>
    </dataValidation>
    <dataValidation type="whole" allowBlank="1" showErrorMessage="1" errorTitle="Ошибка" error="Допускается ввод только неотрицательных целых чисел!" sqref="AI198">
      <formula1>0</formula1>
      <formula2>9.99999999999999E+23</formula2>
    </dataValidation>
    <dataValidation type="whole" allowBlank="1" showErrorMessage="1" errorTitle="Ошибка" error="Допускается ввод только неотрицательных целых чисел!" sqref="AF198">
      <formula1>0</formula1>
      <formula2>9.99999999999999E+23</formula2>
    </dataValidation>
    <dataValidation type="textLength" operator="lessThanOrEqual" allowBlank="1" showInputMessage="1" showErrorMessage="1" errorTitle="Ошибка" error="Допускается ввод не более 900 символов!" sqref="K1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8">
      <formula1>"a"</formula1>
    </dataValidation>
    <dataValidation type="whole" allowBlank="1" showErrorMessage="1" errorTitle="Ошибка" error="Допускается ввод только неотрицательных целых чисел!" sqref="AI197">
      <formula1>0</formula1>
      <formula2>9.99999999999999E+23</formula2>
    </dataValidation>
    <dataValidation type="whole" allowBlank="1" showErrorMessage="1" errorTitle="Ошибка" error="Допускается ввод только неотрицательных целых чисел!" sqref="AF197">
      <formula1>0</formula1>
      <formula2>9.99999999999999E+23</formula2>
    </dataValidation>
    <dataValidation type="decimal" allowBlank="1" showErrorMessage="1" errorTitle="Ошибка" error="Допускается ввод только неотрицательных чисел!" sqref="AE197">
      <formula1>0</formula1>
      <formula2>9.99999999999999E+23</formula2>
    </dataValidation>
    <dataValidation type="decimal" allowBlank="1" showErrorMessage="1" errorTitle="Ошибка" error="Допускается ввод только неотрицательных чисел!" sqref="AC197">
      <formula1>0</formula1>
      <formula2>9.99999999999999E+23</formula2>
    </dataValidation>
    <dataValidation type="textLength" operator="lessThanOrEqual" allowBlank="1" showInputMessage="1" showErrorMessage="1" errorTitle="Ошибка" error="Допускается ввод не более 900 символов!" sqref="K1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7">
      <formula1>"a"</formula1>
    </dataValidation>
    <dataValidation type="whole" allowBlank="1" showErrorMessage="1" errorTitle="Ошибка" error="Допускается ввод только неотрицательных целых чисел!" sqref="AI196">
      <formula1>0</formula1>
      <formula2>9.99999999999999E+23</formula2>
    </dataValidation>
    <dataValidation type="whole" allowBlank="1" showErrorMessage="1" errorTitle="Ошибка" error="Допускается ввод только неотрицательных целых чисел!" sqref="AF196">
      <formula1>0</formula1>
      <formula2>9.99999999999999E+23</formula2>
    </dataValidation>
    <dataValidation type="textLength" operator="lessThanOrEqual" allowBlank="1" showInputMessage="1" showErrorMessage="1" errorTitle="Ошибка" error="Допускается ввод не более 900 символов!" sqref="K1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6">
      <formula1>"a"</formula1>
    </dataValidation>
    <dataValidation type="whole" allowBlank="1" showErrorMessage="1" errorTitle="Ошибка" error="Допускается ввод только неотрицательных целых чисел!" sqref="AI195">
      <formula1>0</formula1>
      <formula2>9.99999999999999E+23</formula2>
    </dataValidation>
    <dataValidation type="whole" allowBlank="1" showErrorMessage="1" errorTitle="Ошибка" error="Допускается ввод только неотрицательных целых чисел!" sqref="AF195">
      <formula1>0</formula1>
      <formula2>9.99999999999999E+23</formula2>
    </dataValidation>
    <dataValidation type="textLength" operator="lessThanOrEqual" allowBlank="1" showInputMessage="1" showErrorMessage="1" errorTitle="Ошибка" error="Допускается ввод не более 900 символов!" sqref="M195">
      <formula1>900</formula1>
    </dataValidation>
    <dataValidation type="textLength" operator="lessThanOrEqual" allowBlank="1" showInputMessage="1" showErrorMessage="1" errorTitle="Ошибка" error="Допускается ввод не более 900 символов!" sqref="K1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5">
      <formula1>"a"</formula1>
    </dataValidation>
    <dataValidation type="whole" allowBlank="1" showErrorMessage="1" errorTitle="Ошибка" error="Допускается ввод только неотрицательных целых чисел!" sqref="AI194">
      <formula1>0</formula1>
      <formula2>9.99999999999999E+23</formula2>
    </dataValidation>
    <dataValidation type="whole" allowBlank="1" showErrorMessage="1" errorTitle="Ошибка" error="Допускается ввод только неотрицательных целых чисел!" sqref="AF194">
      <formula1>0</formula1>
      <formula2>9.99999999999999E+23</formula2>
    </dataValidation>
    <dataValidation type="whole" allowBlank="1" showErrorMessage="1" errorTitle="Ошибка" error="Допускается ввод только неотрицательных целых чисел!" sqref="AI193">
      <formula1>0</formula1>
      <formula2>9.99999999999999E+23</formula2>
    </dataValidation>
    <dataValidation type="whole" allowBlank="1" showErrorMessage="1" errorTitle="Ошибка" error="Допускается ввод только неотрицательных целых чисел!" sqref="AF193">
      <formula1>0</formula1>
      <formula2>9.99999999999999E+23</formula2>
    </dataValidation>
    <dataValidation type="textLength" operator="lessThanOrEqual" allowBlank="1" showInputMessage="1" showErrorMessage="1" errorTitle="Ошибка" error="Допускается ввод не более 900 символов!" sqref="K1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3">
      <formula1>"a"</formula1>
    </dataValidation>
    <dataValidation type="whole" allowBlank="1" showErrorMessage="1" errorTitle="Ошибка" error="Допускается ввод только неотрицательных целых чисел!" sqref="AI192">
      <formula1>0</formula1>
      <formula2>9.99999999999999E+23</formula2>
    </dataValidation>
    <dataValidation type="whole" allowBlank="1" showErrorMessage="1" errorTitle="Ошибка" error="Допускается ввод только неотрицательных целых чисел!" sqref="AF192">
      <formula1>0</formula1>
      <formula2>9.99999999999999E+23</formula2>
    </dataValidation>
    <dataValidation type="decimal" allowBlank="1" showErrorMessage="1" errorTitle="Ошибка" error="Допускается ввод только неотрицательных чисел!" sqref="AE192">
      <formula1>0</formula1>
      <formula2>9.99999999999999E+23</formula2>
    </dataValidation>
    <dataValidation type="decimal" allowBlank="1" showErrorMessage="1" errorTitle="Ошибка" error="Допускается ввод только неотрицательных чисел!" sqref="AC192">
      <formula1>0</formula1>
      <formula2>9.99999999999999E+23</formula2>
    </dataValidation>
    <dataValidation type="textLength" operator="lessThanOrEqual" allowBlank="1" showInputMessage="1" showErrorMessage="1" errorTitle="Ошибка" error="Допускается ввод не более 900 символов!" sqref="K1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2">
      <formula1>"a"</formula1>
    </dataValidation>
    <dataValidation type="whole" allowBlank="1" showErrorMessage="1" errorTitle="Ошибка" error="Допускается ввод только неотрицательных целых чисел!" sqref="AI191">
      <formula1>0</formula1>
      <formula2>9.99999999999999E+23</formula2>
    </dataValidation>
    <dataValidation type="whole" allowBlank="1" showErrorMessage="1" errorTitle="Ошибка" error="Допускается ввод только неотрицательных целых чисел!" sqref="AF191">
      <formula1>0</formula1>
      <formula2>9.99999999999999E+23</formula2>
    </dataValidation>
    <dataValidation type="textLength" operator="lessThanOrEqual" allowBlank="1" showInputMessage="1" showErrorMessage="1" errorTitle="Ошибка" error="Допускается ввод не более 900 символов!" sqref="K1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1">
      <formula1>"a"</formula1>
    </dataValidation>
    <dataValidation type="whole" allowBlank="1" showErrorMessage="1" errorTitle="Ошибка" error="Допускается ввод только неотрицательных целых чисел!" sqref="AI190">
      <formula1>0</formula1>
      <formula2>9.99999999999999E+23</formula2>
    </dataValidation>
    <dataValidation type="whole" allowBlank="1" showErrorMessage="1" errorTitle="Ошибка" error="Допускается ввод только неотрицательных целых чисел!" sqref="AF190">
      <formula1>0</formula1>
      <formula2>9.99999999999999E+23</formula2>
    </dataValidation>
    <dataValidation type="textLength" operator="lessThanOrEqual" allowBlank="1" showInputMessage="1" showErrorMessage="1" errorTitle="Ошибка" error="Допускается ввод не более 900 символов!" sqref="M190">
      <formula1>900</formula1>
    </dataValidation>
    <dataValidation type="textLength" operator="lessThanOrEqual" allowBlank="1" showInputMessage="1" showErrorMessage="1" errorTitle="Ошибка" error="Допускается ввод не более 900 символов!" sqref="K1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0">
      <formula1>"a"</formula1>
    </dataValidation>
    <dataValidation type="whole" allowBlank="1" showErrorMessage="1" errorTitle="Ошибка" error="Допускается ввод только неотрицательных целых чисел!" sqref="AI388">
      <formula1>0</formula1>
      <formula2>9.99999999999999E+23</formula2>
    </dataValidation>
    <dataValidation type="whole" allowBlank="1" showErrorMessage="1" errorTitle="Ошибка" error="Допускается ввод только неотрицательных целых чисел!" sqref="AF388">
      <formula1>0</formula1>
      <formula2>9.99999999999999E+23</formula2>
    </dataValidation>
    <dataValidation type="whole" allowBlank="1" showErrorMessage="1" errorTitle="Ошибка" error="Допускается ввод только неотрицательных целых чисел!" sqref="AI387">
      <formula1>0</formula1>
      <formula2>9.99999999999999E+23</formula2>
    </dataValidation>
    <dataValidation type="whole" allowBlank="1" showErrorMessage="1" errorTitle="Ошибка" error="Допускается ввод только неотрицательных целых чисел!" sqref="AF387">
      <formula1>0</formula1>
      <formula2>9.99999999999999E+23</formula2>
    </dataValidation>
    <dataValidation type="textLength" operator="lessThanOrEqual" allowBlank="1" showInputMessage="1" showErrorMessage="1" errorTitle="Ошибка" error="Допускается ввод не более 900 символов!" sqref="K3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7">
      <formula1>"a"</formula1>
    </dataValidation>
    <dataValidation type="whole" allowBlank="1" showErrorMessage="1" errorTitle="Ошибка" error="Допускается ввод только неотрицательных целых чисел!" sqref="AI386">
      <formula1>0</formula1>
      <formula2>9.99999999999999E+23</formula2>
    </dataValidation>
    <dataValidation type="whole" allowBlank="1" showErrorMessage="1" errorTitle="Ошибка" error="Допускается ввод только неотрицательных целых чисел!" sqref="AF386">
      <formula1>0</formula1>
      <formula2>9.99999999999999E+23</formula2>
    </dataValidation>
    <dataValidation type="decimal" allowBlank="1" showErrorMessage="1" errorTitle="Ошибка" error="Допускается ввод только неотрицательных чисел!" sqref="AE386">
      <formula1>0</formula1>
      <formula2>9.99999999999999E+23</formula2>
    </dataValidation>
    <dataValidation type="decimal" allowBlank="1" showErrorMessage="1" errorTitle="Ошибка" error="Допускается ввод только неотрицательных чисел!" sqref="AC386">
      <formula1>0</formula1>
      <formula2>9.99999999999999E+23</formula2>
    </dataValidation>
    <dataValidation type="textLength" operator="lessThanOrEqual" allowBlank="1" showInputMessage="1" showErrorMessage="1" errorTitle="Ошибка" error="Допускается ввод не более 900 символов!" sqref="K3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6">
      <formula1>"a"</formula1>
    </dataValidation>
    <dataValidation type="whole" allowBlank="1" showErrorMessage="1" errorTitle="Ошибка" error="Допускается ввод только неотрицательных целых чисел!" sqref="AI385">
      <formula1>0</formula1>
      <formula2>9.99999999999999E+23</formula2>
    </dataValidation>
    <dataValidation type="whole" allowBlank="1" showErrorMessage="1" errorTitle="Ошибка" error="Допускается ввод только неотрицательных целых чисел!" sqref="AF385">
      <formula1>0</formula1>
      <formula2>9.99999999999999E+23</formula2>
    </dataValidation>
    <dataValidation type="textLength" operator="lessThanOrEqual" allowBlank="1" showInputMessage="1" showErrorMessage="1" errorTitle="Ошибка" error="Допускается ввод не более 900 символов!" sqref="K3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5">
      <formula1>"a"</formula1>
    </dataValidation>
    <dataValidation type="whole" allowBlank="1" showErrorMessage="1" errorTitle="Ошибка" error="Допускается ввод только неотрицательных целых чисел!" sqref="AI384">
      <formula1>0</formula1>
      <formula2>9.99999999999999E+23</formula2>
    </dataValidation>
    <dataValidation type="whole" allowBlank="1" showErrorMessage="1" errorTitle="Ошибка" error="Допускается ввод только неотрицательных целых чисел!" sqref="AF384">
      <formula1>0</formula1>
      <formula2>9.99999999999999E+23</formula2>
    </dataValidation>
    <dataValidation type="textLength" operator="lessThanOrEqual" allowBlank="1" showInputMessage="1" showErrorMessage="1" errorTitle="Ошибка" error="Допускается ввод не более 900 символов!" sqref="M384">
      <formula1>900</formula1>
    </dataValidation>
    <dataValidation type="textLength" operator="lessThanOrEqual" allowBlank="1" showInputMessage="1" showErrorMessage="1" errorTitle="Ошибка" error="Допускается ввод не более 900 символов!" sqref="K3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4">
      <formula1>"a"</formula1>
    </dataValidation>
    <dataValidation type="whole" allowBlank="1" showErrorMessage="1" errorTitle="Ошибка" error="Допускается ввод только неотрицательных целых чисел!" sqref="AI383">
      <formula1>0</formula1>
      <formula2>9.99999999999999E+23</formula2>
    </dataValidation>
    <dataValidation type="whole" allowBlank="1" showErrorMessage="1" errorTitle="Ошибка" error="Допускается ввод только неотрицательных целых чисел!" sqref="AF383">
      <formula1>0</formula1>
      <formula2>9.99999999999999E+23</formula2>
    </dataValidation>
    <dataValidation type="whole" allowBlank="1" showErrorMessage="1" errorTitle="Ошибка" error="Допускается ввод только неотрицательных целых чисел!" sqref="AI382">
      <formula1>0</formula1>
      <formula2>9.99999999999999E+23</formula2>
    </dataValidation>
    <dataValidation type="whole" allowBlank="1" showErrorMessage="1" errorTitle="Ошибка" error="Допускается ввод только неотрицательных целых чисел!" sqref="AF382">
      <formula1>0</formula1>
      <formula2>9.99999999999999E+23</formula2>
    </dataValidation>
    <dataValidation type="textLength" operator="lessThanOrEqual" allowBlank="1" showInputMessage="1" showErrorMessage="1" errorTitle="Ошибка" error="Допускается ввод не более 900 символов!" sqref="K3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2">
      <formula1>"a"</formula1>
    </dataValidation>
    <dataValidation type="whole" allowBlank="1" showErrorMessage="1" errorTitle="Ошибка" error="Допускается ввод только неотрицательных целых чисел!" sqref="AI381">
      <formula1>0</formula1>
      <formula2>9.99999999999999E+23</formula2>
    </dataValidation>
    <dataValidation type="whole" allowBlank="1" showErrorMessage="1" errorTitle="Ошибка" error="Допускается ввод только неотрицательных целых чисел!" sqref="AF381">
      <formula1>0</formula1>
      <formula2>9.99999999999999E+23</formula2>
    </dataValidation>
    <dataValidation type="decimal" allowBlank="1" showErrorMessage="1" errorTitle="Ошибка" error="Допускается ввод только неотрицательных чисел!" sqref="AE381">
      <formula1>0</formula1>
      <formula2>9.99999999999999E+23</formula2>
    </dataValidation>
    <dataValidation type="decimal" allowBlank="1" showErrorMessage="1" errorTitle="Ошибка" error="Допускается ввод только неотрицательных чисел!" sqref="AC381">
      <formula1>0</formula1>
      <formula2>9.99999999999999E+23</formula2>
    </dataValidation>
    <dataValidation type="textLength" operator="lessThanOrEqual" allowBlank="1" showInputMessage="1" showErrorMessage="1" errorTitle="Ошибка" error="Допускается ввод не более 900 символов!" sqref="K3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1">
      <formula1>"a"</formula1>
    </dataValidation>
    <dataValidation type="whole" allowBlank="1" showErrorMessage="1" errorTitle="Ошибка" error="Допускается ввод только неотрицательных целых чисел!" sqref="AI380">
      <formula1>0</formula1>
      <formula2>9.99999999999999E+23</formula2>
    </dataValidation>
    <dataValidation type="whole" allowBlank="1" showErrorMessage="1" errorTitle="Ошибка" error="Допускается ввод только неотрицательных целых чисел!" sqref="AF380">
      <formula1>0</formula1>
      <formula2>9.99999999999999E+23</formula2>
    </dataValidation>
    <dataValidation type="textLength" operator="lessThanOrEqual" allowBlank="1" showInputMessage="1" showErrorMessage="1" errorTitle="Ошибка" error="Допускается ввод не более 900 символов!" sqref="K3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0">
      <formula1>"a"</formula1>
    </dataValidation>
    <dataValidation type="whole" allowBlank="1" showErrorMessage="1" errorTitle="Ошибка" error="Допускается ввод только неотрицательных целых чисел!" sqref="AI379">
      <formula1>0</formula1>
      <formula2>9.99999999999999E+23</formula2>
    </dataValidation>
    <dataValidation type="whole" allowBlank="1" showErrorMessage="1" errorTitle="Ошибка" error="Допускается ввод только неотрицательных целых чисел!" sqref="AF379">
      <formula1>0</formula1>
      <formula2>9.99999999999999E+23</formula2>
    </dataValidation>
    <dataValidation type="textLength" operator="lessThanOrEqual" allowBlank="1" showInputMessage="1" showErrorMessage="1" errorTitle="Ошибка" error="Допускается ввод не более 900 символов!" sqref="M379">
      <formula1>900</formula1>
    </dataValidation>
    <dataValidation type="textLength" operator="lessThanOrEqual" allowBlank="1" showInputMessage="1" showErrorMessage="1" errorTitle="Ошибка" error="Допускается ввод не более 900 символов!" sqref="K3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9">
      <formula1>"a"</formula1>
    </dataValidation>
    <dataValidation type="whole" allowBlank="1" showErrorMessage="1" errorTitle="Ошибка" error="Допускается ввод только неотрицательных целых чисел!" sqref="AI378">
      <formula1>0</formula1>
      <formula2>9.99999999999999E+23</formula2>
    </dataValidation>
    <dataValidation type="whole" allowBlank="1" showErrorMessage="1" errorTitle="Ошибка" error="Допускается ввод только неотрицательных целых чисел!" sqref="AF378">
      <formula1>0</formula1>
      <formula2>9.99999999999999E+23</formula2>
    </dataValidation>
    <dataValidation type="whole" allowBlank="1" showErrorMessage="1" errorTitle="Ошибка" error="Допускается ввод только неотрицательных целых чисел!" sqref="AI377">
      <formula1>0</formula1>
      <formula2>9.99999999999999E+23</formula2>
    </dataValidation>
    <dataValidation type="whole" allowBlank="1" showErrorMessage="1" errorTitle="Ошибка" error="Допускается ввод только неотрицательных целых чисел!" sqref="AF377">
      <formula1>0</formula1>
      <formula2>9.99999999999999E+23</formula2>
    </dataValidation>
    <dataValidation type="textLength" operator="lessThanOrEqual" allowBlank="1" showInputMessage="1" showErrorMessage="1" errorTitle="Ошибка" error="Допускается ввод не более 900 символов!" sqref="K3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7">
      <formula1>"a"</formula1>
    </dataValidation>
    <dataValidation type="whole" allowBlank="1" showErrorMessage="1" errorTitle="Ошибка" error="Допускается ввод только неотрицательных целых чисел!" sqref="AI376">
      <formula1>0</formula1>
      <formula2>9.99999999999999E+23</formula2>
    </dataValidation>
    <dataValidation type="whole" allowBlank="1" showErrorMessage="1" errorTitle="Ошибка" error="Допускается ввод только неотрицательных целых чисел!" sqref="AF376">
      <formula1>0</formula1>
      <formula2>9.99999999999999E+23</formula2>
    </dataValidation>
    <dataValidation type="decimal" allowBlank="1" showErrorMessage="1" errorTitle="Ошибка" error="Допускается ввод только неотрицательных чисел!" sqref="AE376">
      <formula1>0</formula1>
      <formula2>9.99999999999999E+23</formula2>
    </dataValidation>
    <dataValidation type="decimal" allowBlank="1" showErrorMessage="1" errorTitle="Ошибка" error="Допускается ввод только неотрицательных чисел!" sqref="AC376">
      <formula1>0</formula1>
      <formula2>9.99999999999999E+23</formula2>
    </dataValidation>
    <dataValidation type="textLength" operator="lessThanOrEqual" allowBlank="1" showInputMessage="1" showErrorMessage="1" errorTitle="Ошибка" error="Допускается ввод не более 900 символов!" sqref="K3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6">
      <formula1>"a"</formula1>
    </dataValidation>
    <dataValidation type="whole" allowBlank="1" showErrorMessage="1" errorTitle="Ошибка" error="Допускается ввод только неотрицательных целых чисел!" sqref="AI375">
      <formula1>0</formula1>
      <formula2>9.99999999999999E+23</formula2>
    </dataValidation>
    <dataValidation type="whole" allowBlank="1" showErrorMessage="1" errorTitle="Ошибка" error="Допускается ввод только неотрицательных целых чисел!" sqref="AF375">
      <formula1>0</formula1>
      <formula2>9.99999999999999E+23</formula2>
    </dataValidation>
    <dataValidation type="textLength" operator="lessThanOrEqual" allowBlank="1" showInputMessage="1" showErrorMessage="1" errorTitle="Ошибка" error="Допускается ввод не более 900 символов!" sqref="K3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5">
      <formula1>"a"</formula1>
    </dataValidation>
    <dataValidation type="whole" allowBlank="1" showErrorMessage="1" errorTitle="Ошибка" error="Допускается ввод только неотрицательных целых чисел!" sqref="AI374">
      <formula1>0</formula1>
      <formula2>9.99999999999999E+23</formula2>
    </dataValidation>
    <dataValidation type="whole" allowBlank="1" showErrorMessage="1" errorTitle="Ошибка" error="Допускается ввод только неотрицательных целых чисел!" sqref="AF374">
      <formula1>0</formula1>
      <formula2>9.99999999999999E+23</formula2>
    </dataValidation>
    <dataValidation type="textLength" operator="lessThanOrEqual" allowBlank="1" showInputMessage="1" showErrorMessage="1" errorTitle="Ошибка" error="Допускается ввод не более 900 символов!" sqref="M374">
      <formula1>900</formula1>
    </dataValidation>
    <dataValidation type="textLength" operator="lessThanOrEqual" allowBlank="1" showInputMessage="1" showErrorMessage="1" errorTitle="Ошибка" error="Допускается ввод не более 900 символов!" sqref="K3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4">
      <formula1>"a"</formula1>
    </dataValidation>
    <dataValidation type="whole" allowBlank="1" showErrorMessage="1" errorTitle="Ошибка" error="Допускается ввод только неотрицательных целых чисел!" sqref="AI189">
      <formula1>0</formula1>
      <formula2>9.99999999999999E+23</formula2>
    </dataValidation>
    <dataValidation type="whole" allowBlank="1" showErrorMessage="1" errorTitle="Ошибка" error="Допускается ввод только неотрицательных целых чисел!" sqref="AF189">
      <formula1>0</formula1>
      <formula2>9.99999999999999E+23</formula2>
    </dataValidation>
    <dataValidation type="whole" allowBlank="1" showErrorMessage="1" errorTitle="Ошибка" error="Допускается ввод только неотрицательных целых чисел!" sqref="AI188">
      <formula1>0</formula1>
      <formula2>9.99999999999999E+23</formula2>
    </dataValidation>
    <dataValidation type="whole" allowBlank="1" showErrorMessage="1" errorTitle="Ошибка" error="Допускается ввод только неотрицательных целых чисел!" sqref="AF188">
      <formula1>0</formula1>
      <formula2>9.99999999999999E+23</formula2>
    </dataValidation>
    <dataValidation type="textLength" operator="lessThanOrEqual" allowBlank="1" showInputMessage="1" showErrorMessage="1" errorTitle="Ошибка" error="Допускается ввод не более 900 символов!" sqref="K1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8">
      <formula1>"a"</formula1>
    </dataValidation>
    <dataValidation type="whole" allowBlank="1" showErrorMessage="1" errorTitle="Ошибка" error="Допускается ввод только неотрицательных целых чисел!" sqref="AI187">
      <formula1>0</formula1>
      <formula2>9.99999999999999E+23</formula2>
    </dataValidation>
    <dataValidation type="whole" allowBlank="1" showErrorMessage="1" errorTitle="Ошибка" error="Допускается ввод только неотрицательных целых чисел!" sqref="AF187">
      <formula1>0</formula1>
      <formula2>9.99999999999999E+23</formula2>
    </dataValidation>
    <dataValidation type="decimal" allowBlank="1" showErrorMessage="1" errorTitle="Ошибка" error="Допускается ввод только неотрицательных чисел!" sqref="AE187">
      <formula1>0</formula1>
      <formula2>9.99999999999999E+23</formula2>
    </dataValidation>
    <dataValidation type="decimal" allowBlank="1" showErrorMessage="1" errorTitle="Ошибка" error="Допускается ввод только неотрицательных чисел!" sqref="AC187">
      <formula1>0</formula1>
      <formula2>9.99999999999999E+23</formula2>
    </dataValidation>
    <dataValidation type="textLength" operator="lessThanOrEqual" allowBlank="1" showInputMessage="1" showErrorMessage="1" errorTitle="Ошибка" error="Допускается ввод не более 900 символов!" sqref="K1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7">
      <formula1>"a"</formula1>
    </dataValidation>
    <dataValidation type="whole" allowBlank="1" showErrorMessage="1" errorTitle="Ошибка" error="Допускается ввод только неотрицательных целых чисел!" sqref="AI186">
      <formula1>0</formula1>
      <formula2>9.99999999999999E+23</formula2>
    </dataValidation>
    <dataValidation type="whole" allowBlank="1" showErrorMessage="1" errorTitle="Ошибка" error="Допускается ввод только неотрицательных целых чисел!" sqref="AF186">
      <formula1>0</formula1>
      <formula2>9.99999999999999E+23</formula2>
    </dataValidation>
    <dataValidation type="textLength" operator="lessThanOrEqual" allowBlank="1" showInputMessage="1" showErrorMessage="1" errorTitle="Ошибка" error="Допускается ввод не более 900 символов!" sqref="K1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6">
      <formula1>"a"</formula1>
    </dataValidation>
    <dataValidation type="whole" allowBlank="1" showErrorMessage="1" errorTitle="Ошибка" error="Допускается ввод только неотрицательных целых чисел!" sqref="AI185">
      <formula1>0</formula1>
      <formula2>9.99999999999999E+23</formula2>
    </dataValidation>
    <dataValidation type="whole" allowBlank="1" showErrorMessage="1" errorTitle="Ошибка" error="Допускается ввод только неотрицательных целых чисел!" sqref="AF185">
      <formula1>0</formula1>
      <formula2>9.99999999999999E+23</formula2>
    </dataValidation>
    <dataValidation type="textLength" operator="lessThanOrEqual" allowBlank="1" showInputMessage="1" showErrorMessage="1" errorTitle="Ошибка" error="Допускается ввод не более 900 символов!" sqref="M185">
      <formula1>900</formula1>
    </dataValidation>
    <dataValidation type="textLength" operator="lessThanOrEqual" allowBlank="1" showInputMessage="1" showErrorMessage="1" errorTitle="Ошибка" error="Допускается ввод не более 900 символов!" sqref="K1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5">
      <formula1>"a"</formula1>
    </dataValidation>
    <dataValidation type="whole" allowBlank="1" showErrorMessage="1" errorTitle="Ошибка" error="Допускается ввод только неотрицательных целых чисел!" sqref="AI184">
      <formula1>0</formula1>
      <formula2>9.99999999999999E+23</formula2>
    </dataValidation>
    <dataValidation type="whole" allowBlank="1" showErrorMessage="1" errorTitle="Ошибка" error="Допускается ввод только неотрицательных целых чисел!" sqref="AF184">
      <formula1>0</formula1>
      <formula2>9.99999999999999E+23</formula2>
    </dataValidation>
    <dataValidation type="whole" allowBlank="1" showErrorMessage="1" errorTitle="Ошибка" error="Допускается ввод только неотрицательных целых чисел!" sqref="AI183">
      <formula1>0</formula1>
      <formula2>9.99999999999999E+23</formula2>
    </dataValidation>
    <dataValidation type="whole" allowBlank="1" showErrorMessage="1" errorTitle="Ошибка" error="Допускается ввод только неотрицательных целых чисел!" sqref="AF183">
      <formula1>0</formula1>
      <formula2>9.99999999999999E+23</formula2>
    </dataValidation>
    <dataValidation type="textLength" operator="lessThanOrEqual" allowBlank="1" showInputMessage="1" showErrorMessage="1" errorTitle="Ошибка" error="Допускается ввод не более 900 символов!" sqref="K1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3">
      <formula1>"a"</formula1>
    </dataValidation>
    <dataValidation type="whole" allowBlank="1" showErrorMessage="1" errorTitle="Ошибка" error="Допускается ввод только неотрицательных целых чисел!" sqref="AI182">
      <formula1>0</formula1>
      <formula2>9.99999999999999E+23</formula2>
    </dataValidation>
    <dataValidation type="whole" allowBlank="1" showErrorMessage="1" errorTitle="Ошибка" error="Допускается ввод только неотрицательных целых чисел!" sqref="AF182">
      <formula1>0</formula1>
      <formula2>9.99999999999999E+23</formula2>
    </dataValidation>
    <dataValidation type="decimal" allowBlank="1" showErrorMessage="1" errorTitle="Ошибка" error="Допускается ввод только неотрицательных чисел!" sqref="AE182">
      <formula1>0</formula1>
      <formula2>9.99999999999999E+23</formula2>
    </dataValidation>
    <dataValidation type="decimal" allowBlank="1" showErrorMessage="1" errorTitle="Ошибка" error="Допускается ввод только неотрицательных чисел!" sqref="AC182">
      <formula1>0</formula1>
      <formula2>9.99999999999999E+23</formula2>
    </dataValidation>
    <dataValidation type="textLength" operator="lessThanOrEqual" allowBlank="1" showInputMessage="1" showErrorMessage="1" errorTitle="Ошибка" error="Допускается ввод не более 900 символов!" sqref="K1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2">
      <formula1>"a"</formula1>
    </dataValidation>
    <dataValidation type="whole" allowBlank="1" showErrorMessage="1" errorTitle="Ошибка" error="Допускается ввод только неотрицательных целых чисел!" sqref="AI181">
      <formula1>0</formula1>
      <formula2>9.99999999999999E+23</formula2>
    </dataValidation>
    <dataValidation type="whole" allowBlank="1" showErrorMessage="1" errorTitle="Ошибка" error="Допускается ввод только неотрицательных целых чисел!" sqref="AF181">
      <formula1>0</formula1>
      <formula2>9.99999999999999E+23</formula2>
    </dataValidation>
    <dataValidation type="textLength" operator="lessThanOrEqual" allowBlank="1" showInputMessage="1" showErrorMessage="1" errorTitle="Ошибка" error="Допускается ввод не более 900 символов!" sqref="K1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1">
      <formula1>"a"</formula1>
    </dataValidation>
    <dataValidation type="whole" allowBlank="1" showErrorMessage="1" errorTitle="Ошибка" error="Допускается ввод только неотрицательных целых чисел!" sqref="AI180">
      <formula1>0</formula1>
      <formula2>9.99999999999999E+23</formula2>
    </dataValidation>
    <dataValidation type="whole" allowBlank="1" showErrorMessage="1" errorTitle="Ошибка" error="Допускается ввод только неотрицательных целых чисел!" sqref="AF180">
      <formula1>0</formula1>
      <formula2>9.99999999999999E+23</formula2>
    </dataValidation>
    <dataValidation type="textLength" operator="lessThanOrEqual" allowBlank="1" showInputMessage="1" showErrorMessage="1" errorTitle="Ошибка" error="Допускается ввод не более 900 символов!" sqref="M180">
      <formula1>900</formula1>
    </dataValidation>
    <dataValidation type="textLength" operator="lessThanOrEqual" allowBlank="1" showInputMessage="1" showErrorMessage="1" errorTitle="Ошибка" error="Допускается ввод не более 900 символов!" sqref="K1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0">
      <formula1>"a"</formula1>
    </dataValidation>
    <dataValidation type="whole" allowBlank="1" showErrorMessage="1" errorTitle="Ошибка" error="Допускается ввод только неотрицательных целых чисел!" sqref="AI371">
      <formula1>0</formula1>
      <formula2>9.99999999999999E+23</formula2>
    </dataValidation>
    <dataValidation type="whole" allowBlank="1" showErrorMessage="1" errorTitle="Ошибка" error="Допускается ввод только неотрицательных целых чисел!" sqref="AF371">
      <formula1>0</formula1>
      <formula2>9.99999999999999E+23</formula2>
    </dataValidation>
    <dataValidation type="decimal" allowBlank="1" showErrorMessage="1" errorTitle="Ошибка" error="Допускается ввод только неотрицательных чисел!" sqref="AE371">
      <formula1>0</formula1>
      <formula2>9.99999999999999E+23</formula2>
    </dataValidation>
    <dataValidation type="decimal" allowBlank="1" showErrorMessage="1" errorTitle="Ошибка" error="Допускается ввод только неотрицательных чисел!" sqref="AC371">
      <formula1>0</formula1>
      <formula2>9.99999999999999E+23</formula2>
    </dataValidation>
    <dataValidation type="textLength" operator="lessThanOrEqual" allowBlank="1" showInputMessage="1" showErrorMessage="1" errorTitle="Ошибка" error="Допускается ввод не более 900 символов!" sqref="K3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1">
      <formula1>"a"</formula1>
    </dataValidation>
    <dataValidation type="whole" allowBlank="1" showErrorMessage="1" errorTitle="Ошибка" error="Допускается ввод только неотрицательных целых чисел!" sqref="AI373">
      <formula1>0</formula1>
      <formula2>9.99999999999999E+23</formula2>
    </dataValidation>
    <dataValidation type="whole" allowBlank="1" showErrorMessage="1" errorTitle="Ошибка" error="Допускается ввод только неотрицательных целых чисел!" sqref="AF373">
      <formula1>0</formula1>
      <formula2>9.99999999999999E+23</formula2>
    </dataValidation>
    <dataValidation type="whole" allowBlank="1" showErrorMessage="1" errorTitle="Ошибка" error="Допускается ввод только неотрицательных целых чисел!" sqref="AI372">
      <formula1>0</formula1>
      <formula2>9.99999999999999E+23</formula2>
    </dataValidation>
    <dataValidation type="whole" allowBlank="1" showErrorMessage="1" errorTitle="Ошибка" error="Допускается ввод только неотрицательных целых чисел!" sqref="AF372">
      <formula1>0</formula1>
      <formula2>9.99999999999999E+23</formula2>
    </dataValidation>
    <dataValidation type="textLength" operator="lessThanOrEqual" allowBlank="1" showInputMessage="1" showErrorMessage="1" errorTitle="Ошибка" error="Допускается ввод не более 900 символов!" sqref="K3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2">
      <formula1>"a"</formula1>
    </dataValidation>
    <dataValidation type="whole" allowBlank="1" showErrorMessage="1" errorTitle="Ошибка" error="Допускается ввод только неотрицательных целых чисел!" sqref="AI370">
      <formula1>0</formula1>
      <formula2>9.99999999999999E+23</formula2>
    </dataValidation>
    <dataValidation type="whole" allowBlank="1" showErrorMessage="1" errorTitle="Ошибка" error="Допускается ввод только неотрицательных целых чисел!" sqref="AF370">
      <formula1>0</formula1>
      <formula2>9.99999999999999E+23</formula2>
    </dataValidation>
    <dataValidation type="decimal" allowBlank="1" showErrorMessage="1" errorTitle="Ошибка" error="Допускается ввод только неотрицательных чисел!" sqref="AE370">
      <formula1>0</formula1>
      <formula2>9.99999999999999E+23</formula2>
    </dataValidation>
    <dataValidation type="decimal" allowBlank="1" showErrorMessage="1" errorTitle="Ошибка" error="Допускается ввод только неотрицательных чисел!" sqref="AC370">
      <formula1>0</formula1>
      <formula2>9.99999999999999E+23</formula2>
    </dataValidation>
    <dataValidation type="textLength" operator="lessThanOrEqual" allowBlank="1" showInputMessage="1" showErrorMessage="1" errorTitle="Ошибка" error="Допускается ввод не более 900 символов!" sqref="K3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0">
      <formula1>"a"</formula1>
    </dataValidation>
    <dataValidation type="whole" allowBlank="1" showErrorMessage="1" errorTitle="Ошибка" error="Допускается ввод только неотрицательных целых чисел!" sqref="AI369">
      <formula1>0</formula1>
      <formula2>9.99999999999999E+23</formula2>
    </dataValidation>
    <dataValidation type="whole" allowBlank="1" showErrorMessage="1" errorTitle="Ошибка" error="Допускается ввод только неотрицательных целых чисел!" sqref="AF369">
      <formula1>0</formula1>
      <formula2>9.99999999999999E+23</formula2>
    </dataValidation>
    <dataValidation type="textLength" operator="lessThanOrEqual" allowBlank="1" showInputMessage="1" showErrorMessage="1" errorTitle="Ошибка" error="Допускается ввод не более 900 символов!" sqref="K3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9">
      <formula1>"a"</formula1>
    </dataValidation>
    <dataValidation type="whole" allowBlank="1" showErrorMessage="1" errorTitle="Ошибка" error="Допускается ввод только неотрицательных целых чисел!" sqref="AI368">
      <formula1>0</formula1>
      <formula2>9.99999999999999E+23</formula2>
    </dataValidation>
    <dataValidation type="whole" allowBlank="1" showErrorMessage="1" errorTitle="Ошибка" error="Допускается ввод только неотрицательных целых чисел!" sqref="AF368">
      <formula1>0</formula1>
      <formula2>9.99999999999999E+23</formula2>
    </dataValidation>
    <dataValidation type="textLength" operator="lessThanOrEqual" allowBlank="1" showInputMessage="1" showErrorMessage="1" errorTitle="Ошибка" error="Допускается ввод не более 900 символов!" sqref="M368">
      <formula1>900</formula1>
    </dataValidation>
    <dataValidation type="textLength" operator="lessThanOrEqual" allowBlank="1" showInputMessage="1" showErrorMessage="1" errorTitle="Ошибка" error="Допускается ввод не более 900 символов!" sqref="K3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8">
      <formula1>"a"</formula1>
    </dataValidation>
    <dataValidation type="whole" allowBlank="1" showErrorMessage="1" errorTitle="Ошибка" error="Допускается ввод только неотрицательных целых чисел!" sqref="AI179">
      <formula1>0</formula1>
      <formula2>9.99999999999999E+23</formula2>
    </dataValidation>
    <dataValidation type="whole" allowBlank="1" showErrorMessage="1" errorTitle="Ошибка" error="Допускается ввод только неотрицательных целых чисел!" sqref="AF179">
      <formula1>0</formula1>
      <formula2>9.99999999999999E+23</formula2>
    </dataValidation>
    <dataValidation type="whole" allowBlank="1" showErrorMessage="1" errorTitle="Ошибка" error="Допускается ввод только неотрицательных целых чисел!" sqref="AI178">
      <formula1>0</formula1>
      <formula2>9.99999999999999E+23</formula2>
    </dataValidation>
    <dataValidation type="whole" allowBlank="1" showErrorMessage="1" errorTitle="Ошибка" error="Допускается ввод только неотрицательных целых чисел!" sqref="AF178">
      <formula1>0</formula1>
      <formula2>9.99999999999999E+23</formula2>
    </dataValidation>
    <dataValidation type="textLength" operator="lessThanOrEqual" allowBlank="1" showInputMessage="1" showErrorMessage="1" errorTitle="Ошибка" error="Допускается ввод не более 900 символов!" sqref="K1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8">
      <formula1>"a"</formula1>
    </dataValidation>
    <dataValidation type="whole" allowBlank="1" showErrorMessage="1" errorTitle="Ошибка" error="Допускается ввод только неотрицательных целых чисел!" sqref="AI177">
      <formula1>0</formula1>
      <formula2>9.99999999999999E+23</formula2>
    </dataValidation>
    <dataValidation type="whole" allowBlank="1" showErrorMessage="1" errorTitle="Ошибка" error="Допускается ввод только неотрицательных целых чисел!" sqref="AF177">
      <formula1>0</formula1>
      <formula2>9.99999999999999E+23</formula2>
    </dataValidation>
    <dataValidation type="decimal" allowBlank="1" showErrorMessage="1" errorTitle="Ошибка" error="Допускается ввод только неотрицательных чисел!" sqref="AE177">
      <formula1>0</formula1>
      <formula2>9.99999999999999E+23</formula2>
    </dataValidation>
    <dataValidation type="decimal" allowBlank="1" showErrorMessage="1" errorTitle="Ошибка" error="Допускается ввод только неотрицательных чисел!" sqref="AC177">
      <formula1>0</formula1>
      <formula2>9.99999999999999E+23</formula2>
    </dataValidation>
    <dataValidation type="textLength" operator="lessThanOrEqual" allowBlank="1" showInputMessage="1" showErrorMessage="1" errorTitle="Ошибка" error="Допускается ввод не более 900 символов!" sqref="K1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7">
      <formula1>"a"</formula1>
    </dataValidation>
    <dataValidation type="whole" allowBlank="1" showErrorMessage="1" errorTitle="Ошибка" error="Допускается ввод только неотрицательных целых чисел!" sqref="AI176">
      <formula1>0</formula1>
      <formula2>9.99999999999999E+23</formula2>
    </dataValidation>
    <dataValidation type="whole" allowBlank="1" showErrorMessage="1" errorTitle="Ошибка" error="Допускается ввод только неотрицательных целых чисел!" sqref="AF176">
      <formula1>0</formula1>
      <formula2>9.99999999999999E+23</formula2>
    </dataValidation>
    <dataValidation type="textLength" operator="lessThanOrEqual" allowBlank="1" showInputMessage="1" showErrorMessage="1" errorTitle="Ошибка" error="Допускается ввод не более 900 символов!" sqref="K1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6">
      <formula1>"a"</formula1>
    </dataValidation>
    <dataValidation type="whole" allowBlank="1" showErrorMessage="1" errorTitle="Ошибка" error="Допускается ввод только неотрицательных целых чисел!" sqref="AI175">
      <formula1>0</formula1>
      <formula2>9.99999999999999E+23</formula2>
    </dataValidation>
    <dataValidation type="whole" allowBlank="1" showErrorMessage="1" errorTitle="Ошибка" error="Допускается ввод только неотрицательных целых чисел!" sqref="AF175">
      <formula1>0</formula1>
      <formula2>9.99999999999999E+23</formula2>
    </dataValidation>
    <dataValidation type="textLength" operator="lessThanOrEqual" allowBlank="1" showInputMessage="1" showErrorMessage="1" errorTitle="Ошибка" error="Допускается ввод не более 900 символов!" sqref="M175">
      <formula1>900</formula1>
    </dataValidation>
    <dataValidation type="textLength" operator="lessThanOrEqual" allowBlank="1" showInputMessage="1" showErrorMessage="1" errorTitle="Ошибка" error="Допускается ввод не более 900 символов!" sqref="K1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5">
      <formula1>"a"</formula1>
    </dataValidation>
    <dataValidation type="whole" allowBlank="1" showErrorMessage="1" errorTitle="Ошибка" error="Допускается ввод только неотрицательных целых чисел!" sqref="AI172">
      <formula1>0</formula1>
      <formula2>9.99999999999999E+23</formula2>
    </dataValidation>
    <dataValidation type="whole" allowBlank="1" showErrorMessage="1" errorTitle="Ошибка" error="Допускается ввод только неотрицательных целых чисел!" sqref="AF172">
      <formula1>0</formula1>
      <formula2>9.99999999999999E+23</formula2>
    </dataValidation>
    <dataValidation type="decimal" allowBlank="1" showErrorMessage="1" errorTitle="Ошибка" error="Допускается ввод только неотрицательных чисел!" sqref="AE172">
      <formula1>0</formula1>
      <formula2>9.99999999999999E+23</formula2>
    </dataValidation>
    <dataValidation type="decimal" allowBlank="1" showErrorMessage="1" errorTitle="Ошибка" error="Допускается ввод только неотрицательных чисел!" sqref="AC172">
      <formula1>0</formula1>
      <formula2>9.99999999999999E+23</formula2>
    </dataValidation>
    <dataValidation type="textLength" operator="lessThanOrEqual" allowBlank="1" showInputMessage="1" showErrorMessage="1" errorTitle="Ошибка" error="Допускается ввод не более 900 символов!" sqref="K1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2">
      <formula1>"a"</formula1>
    </dataValidation>
    <dataValidation type="whole" allowBlank="1" showErrorMessage="1" errorTitle="Ошибка" error="Допускается ввод только неотрицательных целых чисел!" sqref="AI511">
      <formula1>0</formula1>
      <formula2>9.99999999999999E+23</formula2>
    </dataValidation>
    <dataValidation type="whole" allowBlank="1" showErrorMessage="1" errorTitle="Ошибка" error="Допускается ввод только неотрицательных целых чисел!" sqref="AF511">
      <formula1>0</formula1>
      <formula2>9.99999999999999E+23</formula2>
    </dataValidation>
    <dataValidation type="whole" allowBlank="1" showErrorMessage="1" errorTitle="Ошибка" error="Допускается ввод только неотрицательных целых чисел!" sqref="AI510">
      <formula1>0</formula1>
      <formula2>9.99999999999999E+23</formula2>
    </dataValidation>
    <dataValidation type="whole" allowBlank="1" showErrorMessage="1" errorTitle="Ошибка" error="Допускается ввод только неотрицательных целых чисел!" sqref="AF510">
      <formula1>0</formula1>
      <formula2>9.99999999999999E+23</formula2>
    </dataValidation>
    <dataValidation type="textLength" operator="lessThanOrEqual" allowBlank="1" showInputMessage="1" showErrorMessage="1" errorTitle="Ошибка" error="Допускается ввод не более 900 символов!" sqref="K5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0">
      <formula1>"a"</formula1>
    </dataValidation>
    <dataValidation type="whole" allowBlank="1" showErrorMessage="1" errorTitle="Ошибка" error="Допускается ввод только неотрицательных целых чисел!" sqref="AI509">
      <formula1>0</formula1>
      <formula2>9.99999999999999E+23</formula2>
    </dataValidation>
    <dataValidation type="whole" allowBlank="1" showErrorMessage="1" errorTitle="Ошибка" error="Допускается ввод только неотрицательных целых чисел!" sqref="AF509">
      <formula1>0</formula1>
      <formula2>9.99999999999999E+23</formula2>
    </dataValidation>
    <dataValidation type="decimal" allowBlank="1" showErrorMessage="1" errorTitle="Ошибка" error="Допускается ввод только неотрицательных чисел!" sqref="AE509">
      <formula1>0</formula1>
      <formula2>9.99999999999999E+23</formula2>
    </dataValidation>
    <dataValidation type="decimal" allowBlank="1" showErrorMessage="1" errorTitle="Ошибка" error="Допускается ввод только неотрицательных чисел!" sqref="AC509">
      <formula1>0</formula1>
      <formula2>9.99999999999999E+23</formula2>
    </dataValidation>
    <dataValidation type="textLength" operator="lessThanOrEqual" allowBlank="1" showInputMessage="1" showErrorMessage="1" errorTitle="Ошибка" error="Допускается ввод не более 900 символов!" sqref="K5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9">
      <formula1>"a"</formula1>
    </dataValidation>
    <dataValidation type="whole" allowBlank="1" showErrorMessage="1" errorTitle="Ошибка" error="Допускается ввод только неотрицательных целых чисел!" sqref="AI508">
      <formula1>0</formula1>
      <formula2>9.99999999999999E+23</formula2>
    </dataValidation>
    <dataValidation type="whole" allowBlank="1" showErrorMessage="1" errorTitle="Ошибка" error="Допускается ввод только неотрицательных целых чисел!" sqref="AF508">
      <formula1>0</formula1>
      <formula2>9.99999999999999E+23</formula2>
    </dataValidation>
    <dataValidation type="textLength" operator="lessThanOrEqual" allowBlank="1" showInputMessage="1" showErrorMessage="1" errorTitle="Ошибка" error="Допускается ввод не более 900 символов!" sqref="K5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8">
      <formula1>"a"</formula1>
    </dataValidation>
    <dataValidation type="whole" allowBlank="1" showErrorMessage="1" errorTitle="Ошибка" error="Допускается ввод только неотрицательных целых чисел!" sqref="AI507">
      <formula1>0</formula1>
      <formula2>9.99999999999999E+23</formula2>
    </dataValidation>
    <dataValidation type="whole" allowBlank="1" showErrorMessage="1" errorTitle="Ошибка" error="Допускается ввод только неотрицательных целых чисел!" sqref="AF507">
      <formula1>0</formula1>
      <formula2>9.99999999999999E+23</formula2>
    </dataValidation>
    <dataValidation type="textLength" operator="lessThanOrEqual" allowBlank="1" showInputMessage="1" showErrorMessage="1" errorTitle="Ошибка" error="Допускается ввод не более 900 символов!" sqref="M507">
      <formula1>900</formula1>
    </dataValidation>
    <dataValidation type="textLength" operator="lessThanOrEqual" allowBlank="1" showInputMessage="1" showErrorMessage="1" errorTitle="Ошибка" error="Допускается ввод не более 900 символов!" sqref="K5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7">
      <formula1>"a"</formula1>
    </dataValidation>
    <dataValidation type="whole" allowBlank="1" showErrorMessage="1" errorTitle="Ошибка" error="Допускается ввод только неотрицательных целых чисел!" sqref="AI367">
      <formula1>0</formula1>
      <formula2>9.99999999999999E+23</formula2>
    </dataValidation>
    <dataValidation type="whole" allowBlank="1" showErrorMessage="1" errorTitle="Ошибка" error="Допускается ввод только неотрицательных целых чисел!" sqref="AF367">
      <formula1>0</formula1>
      <formula2>9.99999999999999E+23</formula2>
    </dataValidation>
    <dataValidation type="whole" allowBlank="1" showErrorMessage="1" errorTitle="Ошибка" error="Допускается ввод только неотрицательных целых чисел!" sqref="AI366">
      <formula1>0</formula1>
      <formula2>9.99999999999999E+23</formula2>
    </dataValidation>
    <dataValidation type="whole" allowBlank="1" showErrorMessage="1" errorTitle="Ошибка" error="Допускается ввод только неотрицательных целых чисел!" sqref="AF366">
      <formula1>0</formula1>
      <formula2>9.99999999999999E+23</formula2>
    </dataValidation>
    <dataValidation type="textLength" operator="lessThanOrEqual" allowBlank="1" showInputMessage="1" showErrorMessage="1" errorTitle="Ошибка" error="Допускается ввод не более 900 символов!" sqref="K3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6">
      <formula1>"a"</formula1>
    </dataValidation>
    <dataValidation type="whole" allowBlank="1" showErrorMessage="1" errorTitle="Ошибка" error="Допускается ввод только неотрицательных целых чисел!" sqref="AI365">
      <formula1>0</formula1>
      <formula2>9.99999999999999E+23</formula2>
    </dataValidation>
    <dataValidation type="whole" allowBlank="1" showErrorMessage="1" errorTitle="Ошибка" error="Допускается ввод только неотрицательных целых чисел!" sqref="AF365">
      <formula1>0</formula1>
      <formula2>9.99999999999999E+23</formula2>
    </dataValidation>
    <dataValidation type="decimal" allowBlank="1" showErrorMessage="1" errorTitle="Ошибка" error="Допускается ввод только неотрицательных чисел!" sqref="AE365">
      <formula1>0</formula1>
      <formula2>9.99999999999999E+23</formula2>
    </dataValidation>
    <dataValidation type="decimal" allowBlank="1" showErrorMessage="1" errorTitle="Ошибка" error="Допускается ввод только неотрицательных чисел!" sqref="AC365">
      <formula1>0</formula1>
      <formula2>9.99999999999999E+23</formula2>
    </dataValidation>
    <dataValidation type="textLength" operator="lessThanOrEqual" allowBlank="1" showInputMessage="1" showErrorMessage="1" errorTitle="Ошибка" error="Допускается ввод не более 900 символов!" sqref="K3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5">
      <formula1>"a"</formula1>
    </dataValidation>
    <dataValidation type="whole" allowBlank="1" showErrorMessage="1" errorTitle="Ошибка" error="Допускается ввод только неотрицательных целых чисел!" sqref="AI364">
      <formula1>0</formula1>
      <formula2>9.99999999999999E+23</formula2>
    </dataValidation>
    <dataValidation type="whole" allowBlank="1" showErrorMessage="1" errorTitle="Ошибка" error="Допускается ввод только неотрицательных целых чисел!" sqref="AF364">
      <formula1>0</formula1>
      <formula2>9.99999999999999E+23</formula2>
    </dataValidation>
    <dataValidation type="textLength" operator="lessThanOrEqual" allowBlank="1" showInputMessage="1" showErrorMessage="1" errorTitle="Ошибка" error="Допускается ввод не более 900 символов!" sqref="K3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4">
      <formula1>"a"</formula1>
    </dataValidation>
    <dataValidation type="whole" allowBlank="1" showErrorMessage="1" errorTitle="Ошибка" error="Допускается ввод только неотрицательных целых чисел!" sqref="AI363">
      <formula1>0</formula1>
      <formula2>9.99999999999999E+23</formula2>
    </dataValidation>
    <dataValidation type="whole" allowBlank="1" showErrorMessage="1" errorTitle="Ошибка" error="Допускается ввод только неотрицательных целых чисел!" sqref="AF363">
      <formula1>0</formula1>
      <formula2>9.99999999999999E+23</formula2>
    </dataValidation>
    <dataValidation type="textLength" operator="lessThanOrEqual" allowBlank="1" showInputMessage="1" showErrorMessage="1" errorTitle="Ошибка" error="Допускается ввод не более 900 символов!" sqref="M363">
      <formula1>900</formula1>
    </dataValidation>
    <dataValidation type="textLength" operator="lessThanOrEqual" allowBlank="1" showInputMessage="1" showErrorMessage="1" errorTitle="Ошибка" error="Допускается ввод не более 900 символов!" sqref="K3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3">
      <formula1>"a"</formula1>
    </dataValidation>
    <dataValidation type="whole" allowBlank="1" showErrorMessage="1" errorTitle="Ошибка" error="Допускается ввод только неотрицательных целых чисел!" sqref="AI174">
      <formula1>0</formula1>
      <formula2>9.99999999999999E+23</formula2>
    </dataValidation>
    <dataValidation type="whole" allowBlank="1" showErrorMessage="1" errorTitle="Ошибка" error="Допускается ввод только неотрицательных целых чисел!" sqref="AF174">
      <formula1>0</formula1>
      <formula2>9.99999999999999E+23</formula2>
    </dataValidation>
    <dataValidation type="whole" allowBlank="1" showErrorMessage="1" errorTitle="Ошибка" error="Допускается ввод только неотрицательных целых чисел!" sqref="AI173">
      <formula1>0</formula1>
      <formula2>9.99999999999999E+23</formula2>
    </dataValidation>
    <dataValidation type="whole" allowBlank="1" showErrorMessage="1" errorTitle="Ошибка" error="Допускается ввод только неотрицательных целых чисел!" sqref="AF173">
      <formula1>0</formula1>
      <formula2>9.99999999999999E+23</formula2>
    </dataValidation>
    <dataValidation type="textLength" operator="lessThanOrEqual" allowBlank="1" showInputMessage="1" showErrorMessage="1" errorTitle="Ошибка" error="Допускается ввод не более 900 символов!" sqref="K1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3">
      <formula1>"a"</formula1>
    </dataValidation>
    <dataValidation type="whole" allowBlank="1" showErrorMessage="1" errorTitle="Ошибка" error="Допускается ввод только неотрицательных целых чисел!" sqref="AI171">
      <formula1>0</formula1>
      <formula2>9.99999999999999E+23</formula2>
    </dataValidation>
    <dataValidation type="whole" allowBlank="1" showErrorMessage="1" errorTitle="Ошибка" error="Допускается ввод только неотрицательных целых чисел!" sqref="AF171">
      <formula1>0</formula1>
      <formula2>9.99999999999999E+23</formula2>
    </dataValidation>
    <dataValidation type="decimal" allowBlank="1" showErrorMessage="1" errorTitle="Ошибка" error="Допускается ввод только неотрицательных чисел!" sqref="AE171">
      <formula1>0</formula1>
      <formula2>9.99999999999999E+23</formula2>
    </dataValidation>
    <dataValidation type="decimal" allowBlank="1" showErrorMessage="1" errorTitle="Ошибка" error="Допускается ввод только неотрицательных чисел!" sqref="AC171">
      <formula1>0</formula1>
      <formula2>9.99999999999999E+23</formula2>
    </dataValidation>
    <dataValidation type="textLength" operator="lessThanOrEqual" allowBlank="1" showInputMessage="1" showErrorMessage="1" errorTitle="Ошибка" error="Допускается ввод не более 900 символов!" sqref="K1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1">
      <formula1>"a"</formula1>
    </dataValidation>
    <dataValidation type="whole" allowBlank="1" showErrorMessage="1" errorTitle="Ошибка" error="Допускается ввод только неотрицательных целых чисел!" sqref="AI170">
      <formula1>0</formula1>
      <formula2>9.99999999999999E+23</formula2>
    </dataValidation>
    <dataValidation type="whole" allowBlank="1" showErrorMessage="1" errorTitle="Ошибка" error="Допускается ввод только неотрицательных целых чисел!" sqref="AF170">
      <formula1>0</formula1>
      <formula2>9.99999999999999E+23</formula2>
    </dataValidation>
    <dataValidation type="textLength" operator="lessThanOrEqual" allowBlank="1" showInputMessage="1" showErrorMessage="1" errorTitle="Ошибка" error="Допускается ввод не более 900 символов!" sqref="K1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0">
      <formula1>"a"</formula1>
    </dataValidation>
    <dataValidation type="whole" allowBlank="1" showErrorMessage="1" errorTitle="Ошибка" error="Допускается ввод только неотрицательных целых чисел!" sqref="AI169">
      <formula1>0</formula1>
      <formula2>9.99999999999999E+23</formula2>
    </dataValidation>
    <dataValidation type="whole" allowBlank="1" showErrorMessage="1" errorTitle="Ошибка" error="Допускается ввод только неотрицательных целых чисел!" sqref="AF169">
      <formula1>0</formula1>
      <formula2>9.99999999999999E+23</formula2>
    </dataValidation>
    <dataValidation type="textLength" operator="lessThanOrEqual" allowBlank="1" showInputMessage="1" showErrorMessage="1" errorTitle="Ошибка" error="Допускается ввод не более 900 символов!" sqref="M169">
      <formula1>900</formula1>
    </dataValidation>
    <dataValidation type="textLength" operator="lessThanOrEqual" allowBlank="1" showInputMessage="1" showErrorMessage="1" errorTitle="Ошибка" error="Допускается ввод не более 900 символов!" sqref="K1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9">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decimal" allowBlank="1" showErrorMessage="1" errorTitle="Ошибка" error="Допускается ввод только неотрицательных чисел!" sqref="AE48">
      <formula1>0</formula1>
      <formula2>9.99999999999999E+23</formula2>
    </dataValidation>
    <dataValidation type="decimal" allowBlank="1" showErrorMessage="1" errorTitle="Ошибка" error="Допускается ввод только неотрицательных чисел!" sqref="AC48">
      <formula1>0</formula1>
      <formula2>9.99999999999999E+23</formula2>
    </dataValidation>
    <dataValidation type="textLength" operator="lessThanOrEqual" allowBlank="1" showInputMessage="1" showErrorMessage="1" errorTitle="Ошибка" error="Допускается ввод не более 900 символов!" sqref="K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textLength" operator="lessThanOrEqual" allowBlank="1" showInputMessage="1" showErrorMessage="1" errorTitle="Ошибка" error="Допускается ввод не более 900 символов!" sqref="M46">
      <formula1>900</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166">
      <formula1>0</formula1>
      <formula2>9.99999999999999E+23</formula2>
    </dataValidation>
    <dataValidation type="whole" allowBlank="1" showErrorMessage="1" errorTitle="Ошибка" error="Допускается ввод только неотрицательных целых чисел!" sqref="AF166">
      <formula1>0</formula1>
      <formula2>9.99999999999999E+23</formula2>
    </dataValidation>
    <dataValidation type="decimal" allowBlank="1" showErrorMessage="1" errorTitle="Ошибка" error="Допускается ввод только неотрицательных чисел!" sqref="AE166">
      <formula1>0</formula1>
      <formula2>9.99999999999999E+23</formula2>
    </dataValidation>
    <dataValidation type="decimal" allowBlank="1" showErrorMessage="1" errorTitle="Ошибка" error="Допускается ввод только неотрицательных чисел!" sqref="AC166">
      <formula1>0</formula1>
      <formula2>9.99999999999999E+23</formula2>
    </dataValidation>
    <dataValidation type="textLength" operator="lessThanOrEqual" allowBlank="1" showInputMessage="1" showErrorMessage="1" errorTitle="Ошибка" error="Допускается ввод не более 900 символов!" sqref="K1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6">
      <formula1>"a"</formula1>
    </dataValidation>
    <dataValidation type="whole" allowBlank="1" showErrorMessage="1" errorTitle="Ошибка" error="Допускается ввод только неотрицательных целых чисел!" sqref="AI168">
      <formula1>0</formula1>
      <formula2>9.99999999999999E+23</formula2>
    </dataValidation>
    <dataValidation type="whole" allowBlank="1" showErrorMessage="1" errorTitle="Ошибка" error="Допускается ввод только неотрицательных целых чисел!" sqref="AF168">
      <formula1>0</formula1>
      <formula2>9.99999999999999E+23</formula2>
    </dataValidation>
    <dataValidation type="whole" allowBlank="1" showErrorMessage="1" errorTitle="Ошибка" error="Допускается ввод только неотрицательных целых чисел!" sqref="AI167">
      <formula1>0</formula1>
      <formula2>9.99999999999999E+23</formula2>
    </dataValidation>
    <dataValidation type="whole" allowBlank="1" showErrorMessage="1" errorTitle="Ошибка" error="Допускается ввод только неотрицательных целых чисел!" sqref="AF167">
      <formula1>0</formula1>
      <formula2>9.99999999999999E+23</formula2>
    </dataValidation>
    <dataValidation type="textLength" operator="lessThanOrEqual" allowBlank="1" showInputMessage="1" showErrorMessage="1" errorTitle="Ошибка" error="Допускается ввод не более 900 символов!" sqref="K1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7">
      <formula1>"a"</formula1>
    </dataValidation>
    <dataValidation type="whole" allowBlank="1" showErrorMessage="1" errorTitle="Ошибка" error="Допускается ввод только неотрицательных целых чисел!" sqref="AI165">
      <formula1>0</formula1>
      <formula2>9.99999999999999E+23</formula2>
    </dataValidation>
    <dataValidation type="whole" allowBlank="1" showErrorMessage="1" errorTitle="Ошибка" error="Допускается ввод только неотрицательных целых чисел!" sqref="AF165">
      <formula1>0</formula1>
      <formula2>9.99999999999999E+23</formula2>
    </dataValidation>
    <dataValidation type="decimal" allowBlank="1" showErrorMessage="1" errorTitle="Ошибка" error="Допускается ввод только неотрицательных чисел!" sqref="AE165">
      <formula1>0</formula1>
      <formula2>9.99999999999999E+23</formula2>
    </dataValidation>
    <dataValidation type="decimal" allowBlank="1" showErrorMessage="1" errorTitle="Ошибка" error="Допускается ввод только неотрицательных чисел!" sqref="AC165">
      <formula1>0</formula1>
      <formula2>9.99999999999999E+23</formula2>
    </dataValidation>
    <dataValidation type="textLength" operator="lessThanOrEqual" allowBlank="1" showInputMessage="1" showErrorMessage="1" errorTitle="Ошибка" error="Допускается ввод не более 900 символов!" sqref="K1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5">
      <formula1>"a"</formula1>
    </dataValidation>
    <dataValidation type="whole" allowBlank="1" showErrorMessage="1" errorTitle="Ошибка" error="Допускается ввод только неотрицательных целых чисел!" sqref="AI164">
      <formula1>0</formula1>
      <formula2>9.99999999999999E+23</formula2>
    </dataValidation>
    <dataValidation type="whole" allowBlank="1" showErrorMessage="1" errorTitle="Ошибка" error="Допускается ввод только неотрицательных целых чисел!" sqref="AF164">
      <formula1>0</formula1>
      <formula2>9.99999999999999E+23</formula2>
    </dataValidation>
    <dataValidation type="textLength" operator="lessThanOrEqual" allowBlank="1" showInputMessage="1" showErrorMessage="1" errorTitle="Ошибка" error="Допускается ввод не более 900 символов!" sqref="K1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4">
      <formula1>"a"</formula1>
    </dataValidation>
    <dataValidation type="whole" allowBlank="1" showErrorMessage="1" errorTitle="Ошибка" error="Допускается ввод только неотрицательных целых чисел!" sqref="AI163">
      <formula1>0</formula1>
      <formula2>9.99999999999999E+23</formula2>
    </dataValidation>
    <dataValidation type="whole" allowBlank="1" showErrorMessage="1" errorTitle="Ошибка" error="Допускается ввод только неотрицательных целых чисел!" sqref="AF163">
      <formula1>0</formula1>
      <formula2>9.99999999999999E+23</formula2>
    </dataValidation>
    <dataValidation type="textLength" operator="lessThanOrEqual" allowBlank="1" showInputMessage="1" showErrorMessage="1" errorTitle="Ошибка" error="Допускается ввод не более 900 символов!" sqref="M163">
      <formula1>900</formula1>
    </dataValidation>
    <dataValidation type="textLength" operator="lessThanOrEqual" allowBlank="1" showInputMessage="1" showErrorMessage="1" errorTitle="Ошибка" error="Допускается ввод не более 900 символов!" sqref="K1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3">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decimal" allowBlank="1" showErrorMessage="1" errorTitle="Ошибка" error="Допускается ввод только неотрицательных чисел!" sqref="AE43">
      <formula1>0</formula1>
      <formula2>9.99999999999999E+23</formula2>
    </dataValidation>
    <dataValidation type="decimal" allowBlank="1" showErrorMessage="1" errorTitle="Ошибка" error="Допускается ввод только неотрицательных чисел!" sqref="AC43">
      <formula1>0</formula1>
      <formula2>9.99999999999999E+23</formula2>
    </dataValidation>
    <dataValidation type="textLength" operator="lessThanOrEqual" allowBlank="1" showInputMessage="1" showErrorMessage="1" errorTitle="Ошибка" error="Допускается ввод не более 900 символов!" sqref="K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textLength" operator="lessThanOrEqual" allowBlank="1" showInputMessage="1" showErrorMessage="1" errorTitle="Ошибка" error="Допускается ввод не более 900 символов!" sqref="M41">
      <formula1>900</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504">
      <formula1>0</formula1>
      <formula2>9.99999999999999E+23</formula2>
    </dataValidation>
    <dataValidation type="whole" allowBlank="1" showErrorMessage="1" errorTitle="Ошибка" error="Допускается ввод только неотрицательных целых чисел!" sqref="AF504">
      <formula1>0</formula1>
      <formula2>9.99999999999999E+23</formula2>
    </dataValidation>
    <dataValidation type="decimal" allowBlank="1" showErrorMessage="1" errorTitle="Ошибка" error="Допускается ввод только неотрицательных чисел!" sqref="AE504">
      <formula1>0</formula1>
      <formula2>9.99999999999999E+23</formula2>
    </dataValidation>
    <dataValidation type="decimal" allowBlank="1" showErrorMessage="1" errorTitle="Ошибка" error="Допускается ввод только неотрицательных чисел!" sqref="AC504">
      <formula1>0</formula1>
      <formula2>9.99999999999999E+23</formula2>
    </dataValidation>
    <dataValidation type="textLength" operator="lessThanOrEqual" allowBlank="1" showInputMessage="1" showErrorMessage="1" errorTitle="Ошибка" error="Допускается ввод не более 900 символов!" sqref="K5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4">
      <formula1>"a"</formula1>
    </dataValidation>
    <dataValidation type="whole" allowBlank="1" showErrorMessage="1" errorTitle="Ошибка" error="Допускается ввод только неотрицательных целых чисел!" sqref="AI594">
      <formula1>0</formula1>
      <formula2>9.99999999999999E+23</formula2>
    </dataValidation>
    <dataValidation type="whole" allowBlank="1" showErrorMessage="1" errorTitle="Ошибка" error="Допускается ввод только неотрицательных целых чисел!" sqref="AF594">
      <formula1>0</formula1>
      <formula2>9.99999999999999E+23</formula2>
    </dataValidation>
    <dataValidation type="whole" allowBlank="1" showErrorMessage="1" errorTitle="Ошибка" error="Допускается ввод только неотрицательных целых чисел!" sqref="AI593">
      <formula1>0</formula1>
      <formula2>9.99999999999999E+23</formula2>
    </dataValidation>
    <dataValidation type="whole" allowBlank="1" showErrorMessage="1" errorTitle="Ошибка" error="Допускается ввод только неотрицательных целых чисел!" sqref="AF593">
      <formula1>0</formula1>
      <formula2>9.99999999999999E+23</formula2>
    </dataValidation>
    <dataValidation type="textLength" operator="lessThanOrEqual" allowBlank="1" showInputMessage="1" showErrorMessage="1" errorTitle="Ошибка" error="Допускается ввод не более 900 символов!" sqref="K5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3">
      <formula1>"a"</formula1>
    </dataValidation>
    <dataValidation type="whole" allowBlank="1" showErrorMessage="1" errorTitle="Ошибка" error="Допускается ввод только неотрицательных целых чисел!" sqref="AI592">
      <formula1>0</formula1>
      <formula2>9.99999999999999E+23</formula2>
    </dataValidation>
    <dataValidation type="whole" allowBlank="1" showErrorMessage="1" errorTitle="Ошибка" error="Допускается ввод только неотрицательных целых чисел!" sqref="AF592">
      <formula1>0</formula1>
      <formula2>9.99999999999999E+23</formula2>
    </dataValidation>
    <dataValidation type="decimal" allowBlank="1" showErrorMessage="1" errorTitle="Ошибка" error="Допускается ввод только неотрицательных чисел!" sqref="AE592">
      <formula1>0</formula1>
      <formula2>9.99999999999999E+23</formula2>
    </dataValidation>
    <dataValidation type="decimal" allowBlank="1" showErrorMessage="1" errorTitle="Ошибка" error="Допускается ввод только неотрицательных чисел!" sqref="AC592">
      <formula1>0</formula1>
      <formula2>9.99999999999999E+23</formula2>
    </dataValidation>
    <dataValidation type="textLength" operator="lessThanOrEqual" allowBlank="1" showInputMessage="1" showErrorMessage="1" errorTitle="Ошибка" error="Допускается ввод не более 900 символов!" sqref="K5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2">
      <formula1>"a"</formula1>
    </dataValidation>
    <dataValidation type="whole" allowBlank="1" showErrorMessage="1" errorTitle="Ошибка" error="Допускается ввод только неотрицательных целых чисел!" sqref="AI591">
      <formula1>0</formula1>
      <formula2>9.99999999999999E+23</formula2>
    </dataValidation>
    <dataValidation type="whole" allowBlank="1" showErrorMessage="1" errorTitle="Ошибка" error="Допускается ввод только неотрицательных целых чисел!" sqref="AF591">
      <formula1>0</formula1>
      <formula2>9.99999999999999E+23</formula2>
    </dataValidation>
    <dataValidation type="textLength" operator="lessThanOrEqual" allowBlank="1" showInputMessage="1" showErrorMessage="1" errorTitle="Ошибка" error="Допускается ввод не более 900 символов!" sqref="K5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1">
      <formula1>"a"</formula1>
    </dataValidation>
    <dataValidation type="whole" allowBlank="1" showErrorMessage="1" errorTitle="Ошибка" error="Допускается ввод только неотрицательных целых чисел!" sqref="AI590">
      <formula1>0</formula1>
      <formula2>9.99999999999999E+23</formula2>
    </dataValidation>
    <dataValidation type="whole" allowBlank="1" showErrorMessage="1" errorTitle="Ошибка" error="Допускается ввод только неотрицательных целых чисел!" sqref="AF590">
      <formula1>0</formula1>
      <formula2>9.99999999999999E+23</formula2>
    </dataValidation>
    <dataValidation type="textLength" operator="lessThanOrEqual" allowBlank="1" showInputMessage="1" showErrorMessage="1" errorTitle="Ошибка" error="Допускается ввод не более 900 символов!" sqref="M590">
      <formula1>900</formula1>
    </dataValidation>
    <dataValidation type="textLength" operator="lessThanOrEqual" allowBlank="1" showInputMessage="1" showErrorMessage="1" errorTitle="Ошибка" error="Допускается ввод не более 900 символов!" sqref="K5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0">
      <formula1>"a"</formula1>
    </dataValidation>
    <dataValidation type="whole" allowBlank="1" showErrorMessage="1" errorTitle="Ошибка" error="Допускается ввод только неотрицательных целых чисел!" sqref="AI506">
      <formula1>0</formula1>
      <formula2>9.99999999999999E+23</formula2>
    </dataValidation>
    <dataValidation type="whole" allowBlank="1" showErrorMessage="1" errorTitle="Ошибка" error="Допускается ввод только неотрицательных целых чисел!" sqref="AF506">
      <formula1>0</formula1>
      <formula2>9.99999999999999E+23</formula2>
    </dataValidation>
    <dataValidation type="whole" allowBlank="1" showErrorMessage="1" errorTitle="Ошибка" error="Допускается ввод только неотрицательных целых чисел!" sqref="AI505">
      <formula1>0</formula1>
      <formula2>9.99999999999999E+23</formula2>
    </dataValidation>
    <dataValidation type="whole" allowBlank="1" showErrorMessage="1" errorTitle="Ошибка" error="Допускается ввод только неотрицательных целых чисел!" sqref="AF505">
      <formula1>0</formula1>
      <formula2>9.99999999999999E+23</formula2>
    </dataValidation>
    <dataValidation type="textLength" operator="lessThanOrEqual" allowBlank="1" showInputMessage="1" showErrorMessage="1" errorTitle="Ошибка" error="Допускается ввод не более 900 символов!" sqref="K5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5">
      <formula1>"a"</formula1>
    </dataValidation>
    <dataValidation type="whole" allowBlank="1" showErrorMessage="1" errorTitle="Ошибка" error="Допускается ввод только неотрицательных целых чисел!" sqref="AI503">
      <formula1>0</formula1>
      <formula2>9.99999999999999E+23</formula2>
    </dataValidation>
    <dataValidation type="whole" allowBlank="1" showErrorMessage="1" errorTitle="Ошибка" error="Допускается ввод только неотрицательных целых чисел!" sqref="AF503">
      <formula1>0</formula1>
      <formula2>9.99999999999999E+23</formula2>
    </dataValidation>
    <dataValidation type="decimal" allowBlank="1" showErrorMessage="1" errorTitle="Ошибка" error="Допускается ввод только неотрицательных чисел!" sqref="AE503">
      <formula1>0</formula1>
      <formula2>9.99999999999999E+23</formula2>
    </dataValidation>
    <dataValidation type="decimal" allowBlank="1" showErrorMessage="1" errorTitle="Ошибка" error="Допускается ввод только неотрицательных чисел!" sqref="AC503">
      <formula1>0</formula1>
      <formula2>9.99999999999999E+23</formula2>
    </dataValidation>
    <dataValidation type="textLength" operator="lessThanOrEqual" allowBlank="1" showInputMessage="1" showErrorMessage="1" errorTitle="Ошибка" error="Допускается ввод не более 900 символов!" sqref="K5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3">
      <formula1>"a"</formula1>
    </dataValidation>
    <dataValidation type="whole" allowBlank="1" showErrorMessage="1" errorTitle="Ошибка" error="Допускается ввод только неотрицательных целых чисел!" sqref="AI502">
      <formula1>0</formula1>
      <formula2>9.99999999999999E+23</formula2>
    </dataValidation>
    <dataValidation type="whole" allowBlank="1" showErrorMessage="1" errorTitle="Ошибка" error="Допускается ввод только неотрицательных целых чисел!" sqref="AF502">
      <formula1>0</formula1>
      <formula2>9.99999999999999E+23</formula2>
    </dataValidation>
    <dataValidation type="textLength" operator="lessThanOrEqual" allowBlank="1" showInputMessage="1" showErrorMessage="1" errorTitle="Ошибка" error="Допускается ввод не более 900 символов!" sqref="K5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2">
      <formula1>"a"</formula1>
    </dataValidation>
    <dataValidation type="whole" allowBlank="1" showErrorMessage="1" errorTitle="Ошибка" error="Допускается ввод только неотрицательных целых чисел!" sqref="AI501">
      <formula1>0</formula1>
      <formula2>9.99999999999999E+23</formula2>
    </dataValidation>
    <dataValidation type="whole" allowBlank="1" showErrorMessage="1" errorTitle="Ошибка" error="Допускается ввод только неотрицательных целых чисел!" sqref="AF501">
      <formula1>0</formula1>
      <formula2>9.99999999999999E+23</formula2>
    </dataValidation>
    <dataValidation type="textLength" operator="lessThanOrEqual" allowBlank="1" showInputMessage="1" showErrorMessage="1" errorTitle="Ошибка" error="Допускается ввод не более 900 символов!" sqref="M501">
      <formula1>900</formula1>
    </dataValidation>
    <dataValidation type="textLength" operator="lessThanOrEqual" allowBlank="1" showInputMessage="1" showErrorMessage="1" errorTitle="Ошибка" error="Допускается ввод не более 900 символов!" sqref="K5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1">
      <formula1>"a"</formula1>
    </dataValidation>
    <dataValidation type="whole" allowBlank="1" showErrorMessage="1" errorTitle="Ошибка" error="Допускается ввод только неотрицательных целых чисел!" sqref="AI362">
      <formula1>0</formula1>
      <formula2>9.99999999999999E+23</formula2>
    </dataValidation>
    <dataValidation type="whole" allowBlank="1" showErrorMessage="1" errorTitle="Ошибка" error="Допускается ввод только неотрицательных целых чисел!" sqref="AF362">
      <formula1>0</formula1>
      <formula2>9.99999999999999E+23</formula2>
    </dataValidation>
    <dataValidation type="whole" allowBlank="1" showErrorMessage="1" errorTitle="Ошибка" error="Допускается ввод только неотрицательных целых чисел!" sqref="AI361">
      <formula1>0</formula1>
      <formula2>9.99999999999999E+23</formula2>
    </dataValidation>
    <dataValidation type="whole" allowBlank="1" showErrorMessage="1" errorTitle="Ошибка" error="Допускается ввод только неотрицательных целых чисел!" sqref="AF361">
      <formula1>0</formula1>
      <formula2>9.99999999999999E+23</formula2>
    </dataValidation>
    <dataValidation type="textLength" operator="lessThanOrEqual" allowBlank="1" showInputMessage="1" showErrorMessage="1" errorTitle="Ошибка" error="Допускается ввод не более 900 символов!" sqref="K3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1">
      <formula1>"a"</formula1>
    </dataValidation>
    <dataValidation type="whole" allowBlank="1" showErrorMessage="1" errorTitle="Ошибка" error="Допускается ввод только неотрицательных целых чисел!" sqref="AI360">
      <formula1>0</formula1>
      <formula2>9.99999999999999E+23</formula2>
    </dataValidation>
    <dataValidation type="whole" allowBlank="1" showErrorMessage="1" errorTitle="Ошибка" error="Допускается ввод только неотрицательных целых чисел!" sqref="AF360">
      <formula1>0</formula1>
      <formula2>9.99999999999999E+23</formula2>
    </dataValidation>
    <dataValidation type="decimal" allowBlank="1" showErrorMessage="1" errorTitle="Ошибка" error="Допускается ввод только неотрицательных чисел!" sqref="AE360">
      <formula1>0</formula1>
      <formula2>9.99999999999999E+23</formula2>
    </dataValidation>
    <dataValidation type="decimal" allowBlank="1" showErrorMessage="1" errorTitle="Ошибка" error="Допускается ввод только неотрицательных чисел!" sqref="AC360">
      <formula1>0</formula1>
      <formula2>9.99999999999999E+23</formula2>
    </dataValidation>
    <dataValidation type="textLength" operator="lessThanOrEqual" allowBlank="1" showInputMessage="1" showErrorMessage="1" errorTitle="Ошибка" error="Допускается ввод не более 900 символов!" sqref="K3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0">
      <formula1>"a"</formula1>
    </dataValidation>
    <dataValidation type="whole" allowBlank="1" showErrorMessage="1" errorTitle="Ошибка" error="Допускается ввод только неотрицательных целых чисел!" sqref="AI359">
      <formula1>0</formula1>
      <formula2>9.99999999999999E+23</formula2>
    </dataValidation>
    <dataValidation type="whole" allowBlank="1" showErrorMessage="1" errorTitle="Ошибка" error="Допускается ввод только неотрицательных целых чисел!" sqref="AF359">
      <formula1>0</formula1>
      <formula2>9.99999999999999E+23</formula2>
    </dataValidation>
    <dataValidation type="textLength" operator="lessThanOrEqual" allowBlank="1" showInputMessage="1" showErrorMessage="1" errorTitle="Ошибка" error="Допускается ввод не более 900 символов!" sqref="K3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9">
      <formula1>"a"</formula1>
    </dataValidation>
    <dataValidation type="whole" allowBlank="1" showErrorMessage="1" errorTitle="Ошибка" error="Допускается ввод только неотрицательных целых чисел!" sqref="AI358">
      <formula1>0</formula1>
      <formula2>9.99999999999999E+23</formula2>
    </dataValidation>
    <dataValidation type="whole" allowBlank="1" showErrorMessage="1" errorTitle="Ошибка" error="Допускается ввод только неотрицательных целых чисел!" sqref="AF358">
      <formula1>0</formula1>
      <formula2>9.99999999999999E+23</formula2>
    </dataValidation>
    <dataValidation type="textLength" operator="lessThanOrEqual" allowBlank="1" showInputMessage="1" showErrorMessage="1" errorTitle="Ошибка" error="Допускается ввод не более 900 символов!" sqref="M358">
      <formula1>900</formula1>
    </dataValidation>
    <dataValidation type="textLength" operator="lessThanOrEqual" allowBlank="1" showInputMessage="1" showErrorMessage="1" errorTitle="Ошибка" error="Допускается ввод не более 900 символов!" sqref="K3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8">
      <formula1>"a"</formula1>
    </dataValidation>
    <dataValidation type="whole" allowBlank="1" showErrorMessage="1" errorTitle="Ошибка" error="Допускается ввод только неотрицательных целых чисел!" sqref="AI162">
      <formula1>0</formula1>
      <formula2>9.99999999999999E+23</formula2>
    </dataValidation>
    <dataValidation type="whole" allowBlank="1" showErrorMessage="1" errorTitle="Ошибка" error="Допускается ввод только неотрицательных целых чисел!" sqref="AF162">
      <formula1>0</formula1>
      <formula2>9.99999999999999E+23</formula2>
    </dataValidation>
    <dataValidation type="whole" allowBlank="1" showErrorMessage="1" errorTitle="Ошибка" error="Допускается ввод только неотрицательных целых чисел!" sqref="AI161">
      <formula1>0</formula1>
      <formula2>9.99999999999999E+23</formula2>
    </dataValidation>
    <dataValidation type="whole" allowBlank="1" showErrorMessage="1" errorTitle="Ошибка" error="Допускается ввод только неотрицательных целых чисел!" sqref="AF161">
      <formula1>0</formula1>
      <formula2>9.99999999999999E+23</formula2>
    </dataValidation>
    <dataValidation type="textLength" operator="lessThanOrEqual" allowBlank="1" showInputMessage="1" showErrorMessage="1" errorTitle="Ошибка" error="Допускается ввод не более 900 символов!" sqref="K1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1">
      <formula1>"a"</formula1>
    </dataValidation>
    <dataValidation type="whole" allowBlank="1" showErrorMessage="1" errorTitle="Ошибка" error="Допускается ввод только неотрицательных целых чисел!" sqref="AI160">
      <formula1>0</formula1>
      <formula2>9.99999999999999E+23</formula2>
    </dataValidation>
    <dataValidation type="whole" allowBlank="1" showErrorMessage="1" errorTitle="Ошибка" error="Допускается ввод только неотрицательных целых чисел!" sqref="AF160">
      <formula1>0</formula1>
      <formula2>9.99999999999999E+23</formula2>
    </dataValidation>
    <dataValidation type="decimal" allowBlank="1" showErrorMessage="1" errorTitle="Ошибка" error="Допускается ввод только неотрицательных чисел!" sqref="AE160">
      <formula1>0</formula1>
      <formula2>9.99999999999999E+23</formula2>
    </dataValidation>
    <dataValidation type="decimal" allowBlank="1" showErrorMessage="1" errorTitle="Ошибка" error="Допускается ввод только неотрицательных чисел!" sqref="AC160">
      <formula1>0</formula1>
      <formula2>9.99999999999999E+23</formula2>
    </dataValidation>
    <dataValidation type="textLength" operator="lessThanOrEqual" allowBlank="1" showInputMessage="1" showErrorMessage="1" errorTitle="Ошибка" error="Допускается ввод не более 900 символов!" sqref="K1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0">
      <formula1>"a"</formula1>
    </dataValidation>
    <dataValidation type="whole" allowBlank="1" showErrorMessage="1" errorTitle="Ошибка" error="Допускается ввод только неотрицательных целых чисел!" sqref="AI159">
      <formula1>0</formula1>
      <formula2>9.99999999999999E+23</formula2>
    </dataValidation>
    <dataValidation type="whole" allowBlank="1" showErrorMessage="1" errorTitle="Ошибка" error="Допускается ввод только неотрицательных целых чисел!" sqref="AF159">
      <formula1>0</formula1>
      <formula2>9.99999999999999E+23</formula2>
    </dataValidation>
    <dataValidation type="textLength" operator="lessThanOrEqual" allowBlank="1" showInputMessage="1" showErrorMessage="1" errorTitle="Ошибка" error="Допускается ввод не более 900 символов!" sqref="K1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9">
      <formula1>"a"</formula1>
    </dataValidation>
    <dataValidation type="whole" allowBlank="1" showErrorMessage="1" errorTitle="Ошибка" error="Допускается ввод только неотрицательных целых чисел!" sqref="AI158">
      <formula1>0</formula1>
      <formula2>9.99999999999999E+23</formula2>
    </dataValidation>
    <dataValidation type="whole" allowBlank="1" showErrorMessage="1" errorTitle="Ошибка" error="Допускается ввод только неотрицательных целых чисел!" sqref="AF158">
      <formula1>0</formula1>
      <formula2>9.99999999999999E+23</formula2>
    </dataValidation>
    <dataValidation type="textLength" operator="lessThanOrEqual" allowBlank="1" showInputMessage="1" showErrorMessage="1" errorTitle="Ошибка" error="Допускается ввод не более 900 символов!" sqref="M158">
      <formula1>900</formula1>
    </dataValidation>
    <dataValidation type="textLength" operator="lessThanOrEqual" allowBlank="1" showInputMessage="1" showErrorMessage="1" errorTitle="Ошибка" error="Допускается ввод не более 900 символов!" sqref="K1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8">
      <formula1>"a"</formula1>
    </dataValidation>
    <dataValidation type="whole" allowBlank="1" showErrorMessage="1" errorTitle="Ошибка" error="Допускается ввод только неотрицательных целых чисел!" sqref="AI589">
      <formula1>0</formula1>
      <formula2>9.99999999999999E+23</formula2>
    </dataValidation>
    <dataValidation type="whole" allowBlank="1" showErrorMessage="1" errorTitle="Ошибка" error="Допускается ввод только неотрицательных целых чисел!" sqref="AF589">
      <formula1>0</formula1>
      <formula2>9.99999999999999E+23</formula2>
    </dataValidation>
    <dataValidation type="whole" allowBlank="1" showErrorMessage="1" errorTitle="Ошибка" error="Допускается ввод только неотрицательных целых чисел!" sqref="AI588">
      <formula1>0</formula1>
      <formula2>9.99999999999999E+23</formula2>
    </dataValidation>
    <dataValidation type="whole" allowBlank="1" showErrorMessage="1" errorTitle="Ошибка" error="Допускается ввод только неотрицательных целых чисел!" sqref="AF588">
      <formula1>0</formula1>
      <formula2>9.99999999999999E+23</formula2>
    </dataValidation>
    <dataValidation type="textLength" operator="lessThanOrEqual" allowBlank="1" showInputMessage="1" showErrorMessage="1" errorTitle="Ошибка" error="Допускается ввод не более 900 символов!" sqref="K5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8">
      <formula1>"a"</formula1>
    </dataValidation>
    <dataValidation type="whole" allowBlank="1" showErrorMessage="1" errorTitle="Ошибка" error="Допускается ввод только неотрицательных целых чисел!" sqref="AI587">
      <formula1>0</formula1>
      <formula2>9.99999999999999E+23</formula2>
    </dataValidation>
    <dataValidation type="whole" allowBlank="1" showErrorMessage="1" errorTitle="Ошибка" error="Допускается ввод только неотрицательных целых чисел!" sqref="AF587">
      <formula1>0</formula1>
      <formula2>9.99999999999999E+23</formula2>
    </dataValidation>
    <dataValidation type="decimal" allowBlank="1" showErrorMessage="1" errorTitle="Ошибка" error="Допускается ввод только неотрицательных чисел!" sqref="AE587">
      <formula1>0</formula1>
      <formula2>9.99999999999999E+23</formula2>
    </dataValidation>
    <dataValidation type="decimal" allowBlank="1" showErrorMessage="1" errorTitle="Ошибка" error="Допускается ввод только неотрицательных чисел!" sqref="AC587">
      <formula1>0</formula1>
      <formula2>9.99999999999999E+23</formula2>
    </dataValidation>
    <dataValidation type="textLength" operator="lessThanOrEqual" allowBlank="1" showInputMessage="1" showErrorMessage="1" errorTitle="Ошибка" error="Допускается ввод не более 900 символов!" sqref="K5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7">
      <formula1>"a"</formula1>
    </dataValidation>
    <dataValidation type="whole" allowBlank="1" showErrorMessage="1" errorTitle="Ошибка" error="Допускается ввод только неотрицательных целых чисел!" sqref="AI586">
      <formula1>0</formula1>
      <formula2>9.99999999999999E+23</formula2>
    </dataValidation>
    <dataValidation type="whole" allowBlank="1" showErrorMessage="1" errorTitle="Ошибка" error="Допускается ввод только неотрицательных целых чисел!" sqref="AF586">
      <formula1>0</formula1>
      <formula2>9.99999999999999E+23</formula2>
    </dataValidation>
    <dataValidation type="textLength" operator="lessThanOrEqual" allowBlank="1" showInputMessage="1" showErrorMessage="1" errorTitle="Ошибка" error="Допускается ввод не более 900 символов!" sqref="K5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6">
      <formula1>"a"</formula1>
    </dataValidation>
    <dataValidation type="whole" allowBlank="1" showErrorMessage="1" errorTitle="Ошибка" error="Допускается ввод только неотрицательных целых чисел!" sqref="AI585">
      <formula1>0</formula1>
      <formula2>9.99999999999999E+23</formula2>
    </dataValidation>
    <dataValidation type="whole" allowBlank="1" showErrorMessage="1" errorTitle="Ошибка" error="Допускается ввод только неотрицательных целых чисел!" sqref="AF585">
      <formula1>0</formula1>
      <formula2>9.99999999999999E+23</formula2>
    </dataValidation>
    <dataValidation type="textLength" operator="lessThanOrEqual" allowBlank="1" showInputMessage="1" showErrorMessage="1" errorTitle="Ошибка" error="Допускается ввод не более 900 символов!" sqref="M585">
      <formula1>900</formula1>
    </dataValidation>
    <dataValidation type="textLength" operator="lessThanOrEqual" allowBlank="1" showInputMessage="1" showErrorMessage="1" errorTitle="Ошибка" error="Допускается ввод не более 900 символов!" sqref="K5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5">
      <formula1>"a"</formula1>
    </dataValidation>
    <dataValidation type="whole" allowBlank="1" showErrorMessage="1" errorTitle="Ошибка" error="Допускается ввод только неотрицательных целых чисел!" sqref="AI500">
      <formula1>0</formula1>
      <formula2>9.99999999999999E+23</formula2>
    </dataValidation>
    <dataValidation type="whole" allowBlank="1" showErrorMessage="1" errorTitle="Ошибка" error="Допускается ввод только неотрицательных целых чисел!" sqref="AF500">
      <formula1>0</formula1>
      <formula2>9.99999999999999E+23</formula2>
    </dataValidation>
    <dataValidation type="whole" allowBlank="1" showErrorMessage="1" errorTitle="Ошибка" error="Допускается ввод только неотрицательных целых чисел!" sqref="AI499">
      <formula1>0</formula1>
      <formula2>9.99999999999999E+23</formula2>
    </dataValidation>
    <dataValidation type="whole" allowBlank="1" showErrorMessage="1" errorTitle="Ошибка" error="Допускается ввод только неотрицательных целых чисел!" sqref="AF499">
      <formula1>0</formula1>
      <formula2>9.99999999999999E+23</formula2>
    </dataValidation>
    <dataValidation type="textLength" operator="lessThanOrEqual" allowBlank="1" showInputMessage="1" showErrorMessage="1" errorTitle="Ошибка" error="Допускается ввод не более 900 символов!" sqref="K4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9">
      <formula1>"a"</formula1>
    </dataValidation>
    <dataValidation type="whole" allowBlank="1" showErrorMessage="1" errorTitle="Ошибка" error="Допускается ввод только неотрицательных целых чисел!" sqref="AI498">
      <formula1>0</formula1>
      <formula2>9.99999999999999E+23</formula2>
    </dataValidation>
    <dataValidation type="whole" allowBlank="1" showErrorMessage="1" errorTitle="Ошибка" error="Допускается ввод только неотрицательных целых чисел!" sqref="AF498">
      <formula1>0</formula1>
      <formula2>9.99999999999999E+23</formula2>
    </dataValidation>
    <dataValidation type="decimal" allowBlank="1" showErrorMessage="1" errorTitle="Ошибка" error="Допускается ввод только неотрицательных чисел!" sqref="AE498">
      <formula1>0</formula1>
      <formula2>9.99999999999999E+23</formula2>
    </dataValidation>
    <dataValidation type="decimal" allowBlank="1" showErrorMessage="1" errorTitle="Ошибка" error="Допускается ввод только неотрицательных чисел!" sqref="AC498">
      <formula1>0</formula1>
      <formula2>9.99999999999999E+23</formula2>
    </dataValidation>
    <dataValidation type="textLength" operator="lessThanOrEqual" allowBlank="1" showInputMessage="1" showErrorMessage="1" errorTitle="Ошибка" error="Допускается ввод не более 900 символов!" sqref="K4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8">
      <formula1>"a"</formula1>
    </dataValidation>
    <dataValidation type="whole" allowBlank="1" showErrorMessage="1" errorTitle="Ошибка" error="Допускается ввод только неотрицательных целых чисел!" sqref="AI497">
      <formula1>0</formula1>
      <formula2>9.99999999999999E+23</formula2>
    </dataValidation>
    <dataValidation type="whole" allowBlank="1" showErrorMessage="1" errorTitle="Ошибка" error="Допускается ввод только неотрицательных целых чисел!" sqref="AF497">
      <formula1>0</formula1>
      <formula2>9.99999999999999E+23</formula2>
    </dataValidation>
    <dataValidation type="textLength" operator="lessThanOrEqual" allowBlank="1" showInputMessage="1" showErrorMessage="1" errorTitle="Ошибка" error="Допускается ввод не более 900 символов!" sqref="K4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7">
      <formula1>"a"</formula1>
    </dataValidation>
    <dataValidation type="whole" allowBlank="1" showErrorMessage="1" errorTitle="Ошибка" error="Допускается ввод только неотрицательных целых чисел!" sqref="AI496">
      <formula1>0</formula1>
      <formula2>9.99999999999999E+23</formula2>
    </dataValidation>
    <dataValidation type="whole" allowBlank="1" showErrorMessage="1" errorTitle="Ошибка" error="Допускается ввод только неотрицательных целых чисел!" sqref="AF496">
      <formula1>0</formula1>
      <formula2>9.99999999999999E+23</formula2>
    </dataValidation>
    <dataValidation type="textLength" operator="lessThanOrEqual" allowBlank="1" showInputMessage="1" showErrorMessage="1" errorTitle="Ошибка" error="Допускается ввод не более 900 символов!" sqref="M496">
      <formula1>900</formula1>
    </dataValidation>
    <dataValidation type="textLength" operator="lessThanOrEqual" allowBlank="1" showInputMessage="1" showErrorMessage="1" errorTitle="Ошибка" error="Допускается ввод не более 900 символов!" sqref="K4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6">
      <formula1>"a"</formula1>
    </dataValidation>
    <dataValidation type="whole" allowBlank="1" showErrorMessage="1" errorTitle="Ошибка" error="Допускается ввод только неотрицательных целых чисел!" sqref="AI495">
      <formula1>0</formula1>
      <formula2>9.99999999999999E+23</formula2>
    </dataValidation>
    <dataValidation type="whole" allowBlank="1" showErrorMessage="1" errorTitle="Ошибка" error="Допускается ввод только неотрицательных целых чисел!" sqref="AF495">
      <formula1>0</formula1>
      <formula2>9.99999999999999E+23</formula2>
    </dataValidation>
    <dataValidation type="whole" allowBlank="1" showErrorMessage="1" errorTitle="Ошибка" error="Допускается ввод только неотрицательных целых чисел!" sqref="AI494">
      <formula1>0</formula1>
      <formula2>9.99999999999999E+23</formula2>
    </dataValidation>
    <dataValidation type="whole" allowBlank="1" showErrorMessage="1" errorTitle="Ошибка" error="Допускается ввод только неотрицательных целых чисел!" sqref="AF494">
      <formula1>0</formula1>
      <formula2>9.99999999999999E+23</formula2>
    </dataValidation>
    <dataValidation type="textLength" operator="lessThanOrEqual" allowBlank="1" showInputMessage="1" showErrorMessage="1" errorTitle="Ошибка" error="Допускается ввод не более 900 символов!" sqref="K4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4">
      <formula1>"a"</formula1>
    </dataValidation>
    <dataValidation type="whole" allowBlank="1" showErrorMessage="1" errorTitle="Ошибка" error="Допускается ввод только неотрицательных целых чисел!" sqref="AI493">
      <formula1>0</formula1>
      <formula2>9.99999999999999E+23</formula2>
    </dataValidation>
    <dataValidation type="whole" allowBlank="1" showErrorMessage="1" errorTitle="Ошибка" error="Допускается ввод только неотрицательных целых чисел!" sqref="AF493">
      <formula1>0</formula1>
      <formula2>9.99999999999999E+23</formula2>
    </dataValidation>
    <dataValidation type="decimal" allowBlank="1" showErrorMessage="1" errorTitle="Ошибка" error="Допускается ввод только неотрицательных чисел!" sqref="AE493">
      <formula1>0</formula1>
      <formula2>9.99999999999999E+23</formula2>
    </dataValidation>
    <dataValidation type="decimal" allowBlank="1" showErrorMessage="1" errorTitle="Ошибка" error="Допускается ввод только неотрицательных чисел!" sqref="AC493">
      <formula1>0</formula1>
      <formula2>9.99999999999999E+23</formula2>
    </dataValidation>
    <dataValidation type="textLength" operator="lessThanOrEqual" allowBlank="1" showInputMessage="1" showErrorMessage="1" errorTitle="Ошибка" error="Допускается ввод не более 900 символов!" sqref="K4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3">
      <formula1>"a"</formula1>
    </dataValidation>
    <dataValidation type="whole" allowBlank="1" showErrorMessage="1" errorTitle="Ошибка" error="Допускается ввод только неотрицательных целых чисел!" sqref="AI492">
      <formula1>0</formula1>
      <formula2>9.99999999999999E+23</formula2>
    </dataValidation>
    <dataValidation type="whole" allowBlank="1" showErrorMessage="1" errorTitle="Ошибка" error="Допускается ввод только неотрицательных целых чисел!" sqref="AF492">
      <formula1>0</formula1>
      <formula2>9.99999999999999E+23</formula2>
    </dataValidation>
    <dataValidation type="textLength" operator="lessThanOrEqual" allowBlank="1" showInputMessage="1" showErrorMessage="1" errorTitle="Ошибка" error="Допускается ввод не более 900 символов!" sqref="K4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2">
      <formula1>"a"</formula1>
    </dataValidation>
    <dataValidation type="whole" allowBlank="1" showErrorMessage="1" errorTitle="Ошибка" error="Допускается ввод только неотрицательных целых чисел!" sqref="AI491">
      <formula1>0</formula1>
      <formula2>9.99999999999999E+23</formula2>
    </dataValidation>
    <dataValidation type="whole" allowBlank="1" showErrorMessage="1" errorTitle="Ошибка" error="Допускается ввод только неотрицательных целых чисел!" sqref="AF491">
      <formula1>0</formula1>
      <formula2>9.99999999999999E+23</formula2>
    </dataValidation>
    <dataValidation type="textLength" operator="lessThanOrEqual" allowBlank="1" showInputMessage="1" showErrorMessage="1" errorTitle="Ошибка" error="Допускается ввод не более 900 символов!" sqref="M491">
      <formula1>900</formula1>
    </dataValidation>
    <dataValidation type="textLength" operator="lessThanOrEqual" allowBlank="1" showInputMessage="1" showErrorMessage="1" errorTitle="Ошибка" error="Допускается ввод не более 900 символов!" sqref="K4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1">
      <formula1>"a"</formula1>
    </dataValidation>
    <dataValidation type="whole" allowBlank="1" showErrorMessage="1" errorTitle="Ошибка" error="Допускается ввод только неотрицательных целых чисел!" sqref="AI490">
      <formula1>0</formula1>
      <formula2>9.99999999999999E+23</formula2>
    </dataValidation>
    <dataValidation type="whole" allowBlank="1" showErrorMessage="1" errorTitle="Ошибка" error="Допускается ввод только неотрицательных целых чисел!" sqref="AF490">
      <formula1>0</formula1>
      <formula2>9.99999999999999E+23</formula2>
    </dataValidation>
    <dataValidation type="whole" allowBlank="1" showErrorMessage="1" errorTitle="Ошибка" error="Допускается ввод только неотрицательных целых чисел!" sqref="AI489">
      <formula1>0</formula1>
      <formula2>9.99999999999999E+23</formula2>
    </dataValidation>
    <dataValidation type="whole" allowBlank="1" showErrorMessage="1" errorTitle="Ошибка" error="Допускается ввод только неотрицательных целых чисел!" sqref="AF489">
      <formula1>0</formula1>
      <formula2>9.99999999999999E+23</formula2>
    </dataValidation>
    <dataValidation type="textLength" operator="lessThanOrEqual" allowBlank="1" showInputMessage="1" showErrorMessage="1" errorTitle="Ошибка" error="Допускается ввод не более 900 символов!" sqref="K4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9">
      <formula1>"a"</formula1>
    </dataValidation>
    <dataValidation type="whole" allowBlank="1" showErrorMessage="1" errorTitle="Ошибка" error="Допускается ввод только неотрицательных целых чисел!" sqref="AI488">
      <formula1>0</formula1>
      <formula2>9.99999999999999E+23</formula2>
    </dataValidation>
    <dataValidation type="whole" allowBlank="1" showErrorMessage="1" errorTitle="Ошибка" error="Допускается ввод только неотрицательных целых чисел!" sqref="AF488">
      <formula1>0</formula1>
      <formula2>9.99999999999999E+23</formula2>
    </dataValidation>
    <dataValidation type="decimal" allowBlank="1" showErrorMessage="1" errorTitle="Ошибка" error="Допускается ввод только неотрицательных чисел!" sqref="AE488">
      <formula1>0</formula1>
      <formula2>9.99999999999999E+23</formula2>
    </dataValidation>
    <dataValidation type="decimal" allowBlank="1" showErrorMessage="1" errorTitle="Ошибка" error="Допускается ввод только неотрицательных чисел!" sqref="AC488">
      <formula1>0</formula1>
      <formula2>9.99999999999999E+23</formula2>
    </dataValidation>
    <dataValidation type="textLength" operator="lessThanOrEqual" allowBlank="1" showInputMessage="1" showErrorMessage="1" errorTitle="Ошибка" error="Допускается ввод не более 900 символов!" sqref="K4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8">
      <formula1>"a"</formula1>
    </dataValidation>
    <dataValidation type="whole" allowBlank="1" showErrorMessage="1" errorTitle="Ошибка" error="Допускается ввод только неотрицательных целых чисел!" sqref="AI487">
      <formula1>0</formula1>
      <formula2>9.99999999999999E+23</formula2>
    </dataValidation>
    <dataValidation type="whole" allowBlank="1" showErrorMessage="1" errorTitle="Ошибка" error="Допускается ввод только неотрицательных целых чисел!" sqref="AF487">
      <formula1>0</formula1>
      <formula2>9.99999999999999E+23</formula2>
    </dataValidation>
    <dataValidation type="textLength" operator="lessThanOrEqual" allowBlank="1" showInputMessage="1" showErrorMessage="1" errorTitle="Ошибка" error="Допускается ввод не более 900 символов!" sqref="K4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7">
      <formula1>"a"</formula1>
    </dataValidation>
    <dataValidation type="whole" allowBlank="1" showErrorMessage="1" errorTitle="Ошибка" error="Допускается ввод только неотрицательных целых чисел!" sqref="AI486">
      <formula1>0</formula1>
      <formula2>9.99999999999999E+23</formula2>
    </dataValidation>
    <dataValidation type="whole" allowBlank="1" showErrorMessage="1" errorTitle="Ошибка" error="Допускается ввод только неотрицательных целых чисел!" sqref="AF486">
      <formula1>0</formula1>
      <formula2>9.99999999999999E+23</formula2>
    </dataValidation>
    <dataValidation type="textLength" operator="lessThanOrEqual" allowBlank="1" showInputMessage="1" showErrorMessage="1" errorTitle="Ошибка" error="Допускается ввод не более 900 символов!" sqref="M486">
      <formula1>900</formula1>
    </dataValidation>
    <dataValidation type="textLength" operator="lessThanOrEqual" allowBlank="1" showInputMessage="1" showErrorMessage="1" errorTitle="Ошибка" error="Допускается ввод не более 900 символов!" sqref="K4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6">
      <formula1>"a"</formula1>
    </dataValidation>
    <dataValidation type="whole" allowBlank="1" showErrorMessage="1" errorTitle="Ошибка" error="Допускается ввод только неотрицательных целых чисел!" sqref="AI485">
      <formula1>0</formula1>
      <formula2>9.99999999999999E+23</formula2>
    </dataValidation>
    <dataValidation type="whole" allowBlank="1" showErrorMessage="1" errorTitle="Ошибка" error="Допускается ввод только неотрицательных целых чисел!" sqref="AF485">
      <formula1>0</formula1>
      <formula2>9.99999999999999E+23</formula2>
    </dataValidation>
    <dataValidation type="whole" allowBlank="1" showErrorMessage="1" errorTitle="Ошибка" error="Допускается ввод только неотрицательных целых чисел!" sqref="AI484">
      <formula1>0</formula1>
      <formula2>9.99999999999999E+23</formula2>
    </dataValidation>
    <dataValidation type="whole" allowBlank="1" showErrorMessage="1" errorTitle="Ошибка" error="Допускается ввод только неотрицательных целых чисел!" sqref="AF484">
      <formula1>0</formula1>
      <formula2>9.99999999999999E+23</formula2>
    </dataValidation>
    <dataValidation type="textLength" operator="lessThanOrEqual" allowBlank="1" showInputMessage="1" showErrorMessage="1" errorTitle="Ошибка" error="Допускается ввод не более 900 символов!" sqref="K4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4">
      <formula1>"a"</formula1>
    </dataValidation>
    <dataValidation type="whole" allowBlank="1" showErrorMessage="1" errorTitle="Ошибка" error="Допускается ввод только неотрицательных целых чисел!" sqref="AI483">
      <formula1>0</formula1>
      <formula2>9.99999999999999E+23</formula2>
    </dataValidation>
    <dataValidation type="whole" allowBlank="1" showErrorMessage="1" errorTitle="Ошибка" error="Допускается ввод только неотрицательных целых чисел!" sqref="AF483">
      <formula1>0</formula1>
      <formula2>9.99999999999999E+23</formula2>
    </dataValidation>
    <dataValidation type="decimal" allowBlank="1" showErrorMessage="1" errorTitle="Ошибка" error="Допускается ввод только неотрицательных чисел!" sqref="AE483">
      <formula1>0</formula1>
      <formula2>9.99999999999999E+23</formula2>
    </dataValidation>
    <dataValidation type="decimal" allowBlank="1" showErrorMessage="1" errorTitle="Ошибка" error="Допускается ввод только неотрицательных чисел!" sqref="AC483">
      <formula1>0</formula1>
      <formula2>9.99999999999999E+23</formula2>
    </dataValidation>
    <dataValidation type="textLength" operator="lessThanOrEqual" allowBlank="1" showInputMessage="1" showErrorMessage="1" errorTitle="Ошибка" error="Допускается ввод не более 900 символов!" sqref="K4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3">
      <formula1>"a"</formula1>
    </dataValidation>
    <dataValidation type="whole" allowBlank="1" showErrorMessage="1" errorTitle="Ошибка" error="Допускается ввод только неотрицательных целых чисел!" sqref="AI482">
      <formula1>0</formula1>
      <formula2>9.99999999999999E+23</formula2>
    </dataValidation>
    <dataValidation type="whole" allowBlank="1" showErrorMessage="1" errorTitle="Ошибка" error="Допускается ввод только неотрицательных целых чисел!" sqref="AF482">
      <formula1>0</formula1>
      <formula2>9.99999999999999E+23</formula2>
    </dataValidation>
    <dataValidation type="textLength" operator="lessThanOrEqual" allowBlank="1" showInputMessage="1" showErrorMessage="1" errorTitle="Ошибка" error="Допускается ввод не более 900 символов!" sqref="K4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2">
      <formula1>"a"</formula1>
    </dataValidation>
    <dataValidation type="whole" allowBlank="1" showErrorMessage="1" errorTitle="Ошибка" error="Допускается ввод только неотрицательных целых чисел!" sqref="AI481">
      <formula1>0</formula1>
      <formula2>9.99999999999999E+23</formula2>
    </dataValidation>
    <dataValidation type="whole" allowBlank="1" showErrorMessage="1" errorTitle="Ошибка" error="Допускается ввод только неотрицательных целых чисел!" sqref="AF481">
      <formula1>0</formula1>
      <formula2>9.99999999999999E+23</formula2>
    </dataValidation>
    <dataValidation type="textLength" operator="lessThanOrEqual" allowBlank="1" showInputMessage="1" showErrorMessage="1" errorTitle="Ошибка" error="Допускается ввод не более 900 символов!" sqref="M481">
      <formula1>900</formula1>
    </dataValidation>
    <dataValidation type="textLength" operator="lessThanOrEqual" allowBlank="1" showInputMessage="1" showErrorMessage="1" errorTitle="Ошибка" error="Допускается ввод не более 900 символов!" sqref="K4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1">
      <formula1>"a"</formula1>
    </dataValidation>
    <dataValidation type="whole" allowBlank="1" showErrorMessage="1" errorTitle="Ошибка" error="Допускается ввод только неотрицательных целых чисел!" sqref="AI480">
      <formula1>0</formula1>
      <formula2>9.99999999999999E+23</formula2>
    </dataValidation>
    <dataValidation type="whole" allowBlank="1" showErrorMessage="1" errorTitle="Ошибка" error="Допускается ввод только неотрицательных целых чисел!" sqref="AF480">
      <formula1>0</formula1>
      <formula2>9.99999999999999E+23</formula2>
    </dataValidation>
    <dataValidation type="whole" allowBlank="1" showErrorMessage="1" errorTitle="Ошибка" error="Допускается ввод только неотрицательных целых чисел!" sqref="AI479">
      <formula1>0</formula1>
      <formula2>9.99999999999999E+23</formula2>
    </dataValidation>
    <dataValidation type="whole" allowBlank="1" showErrorMessage="1" errorTitle="Ошибка" error="Допускается ввод только неотрицательных целых чисел!" sqref="AF479">
      <formula1>0</formula1>
      <formula2>9.99999999999999E+23</formula2>
    </dataValidation>
    <dataValidation type="textLength" operator="lessThanOrEqual" allowBlank="1" showInputMessage="1" showErrorMessage="1" errorTitle="Ошибка" error="Допускается ввод не более 900 символов!" sqref="K4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9">
      <formula1>"a"</formula1>
    </dataValidation>
    <dataValidation type="whole" allowBlank="1" showErrorMessage="1" errorTitle="Ошибка" error="Допускается ввод только неотрицательных целых чисел!" sqref="AI478">
      <formula1>0</formula1>
      <formula2>9.99999999999999E+23</formula2>
    </dataValidation>
    <dataValidation type="whole" allowBlank="1" showErrorMessage="1" errorTitle="Ошибка" error="Допускается ввод только неотрицательных целых чисел!" sqref="AF478">
      <formula1>0</formula1>
      <formula2>9.99999999999999E+23</formula2>
    </dataValidation>
    <dataValidation type="decimal" allowBlank="1" showErrorMessage="1" errorTitle="Ошибка" error="Допускается ввод только неотрицательных чисел!" sqref="AE478">
      <formula1>0</formula1>
      <formula2>9.99999999999999E+23</formula2>
    </dataValidation>
    <dataValidation type="decimal" allowBlank="1" showErrorMessage="1" errorTitle="Ошибка" error="Допускается ввод только неотрицательных чисел!" sqref="AC478">
      <formula1>0</formula1>
      <formula2>9.99999999999999E+23</formula2>
    </dataValidation>
    <dataValidation type="textLength" operator="lessThanOrEqual" allowBlank="1" showInputMessage="1" showErrorMessage="1" errorTitle="Ошибка" error="Допускается ввод не более 900 символов!" sqref="K4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8">
      <formula1>"a"</formula1>
    </dataValidation>
    <dataValidation type="whole" allowBlank="1" showErrorMessage="1" errorTitle="Ошибка" error="Допускается ввод только неотрицательных целых чисел!" sqref="AI477">
      <formula1>0</formula1>
      <formula2>9.99999999999999E+23</formula2>
    </dataValidation>
    <dataValidation type="whole" allowBlank="1" showErrorMessage="1" errorTitle="Ошибка" error="Допускается ввод только неотрицательных целых чисел!" sqref="AF477">
      <formula1>0</formula1>
      <formula2>9.99999999999999E+23</formula2>
    </dataValidation>
    <dataValidation type="textLength" operator="lessThanOrEqual" allowBlank="1" showInputMessage="1" showErrorMessage="1" errorTitle="Ошибка" error="Допускается ввод не более 900 символов!" sqref="K4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7">
      <formula1>"a"</formula1>
    </dataValidation>
    <dataValidation type="whole" allowBlank="1" showErrorMessage="1" errorTitle="Ошибка" error="Допускается ввод только неотрицательных целых чисел!" sqref="AI476">
      <formula1>0</formula1>
      <formula2>9.99999999999999E+23</formula2>
    </dataValidation>
    <dataValidation type="whole" allowBlank="1" showErrorMessage="1" errorTitle="Ошибка" error="Допускается ввод только неотрицательных целых чисел!" sqref="AF476">
      <formula1>0</formula1>
      <formula2>9.99999999999999E+23</formula2>
    </dataValidation>
    <dataValidation type="textLength" operator="lessThanOrEqual" allowBlank="1" showInputMessage="1" showErrorMessage="1" errorTitle="Ошибка" error="Допускается ввод не более 900 символов!" sqref="M476">
      <formula1>900</formula1>
    </dataValidation>
    <dataValidation type="textLength" operator="lessThanOrEqual" allowBlank="1" showInputMessage="1" showErrorMessage="1" errorTitle="Ошибка" error="Допускается ввод не более 900 символов!" sqref="K4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6">
      <formula1>"a"</formula1>
    </dataValidation>
    <dataValidation type="whole" allowBlank="1" showErrorMessage="1" errorTitle="Ошибка" error="Допускается ввод только неотрицательных целых чисел!" sqref="AI155">
      <formula1>0</formula1>
      <formula2>9.99999999999999E+23</formula2>
    </dataValidation>
    <dataValidation type="whole" allowBlank="1" showErrorMessage="1" errorTitle="Ошибка" error="Допускается ввод только неотрицательных целых чисел!" sqref="AF155">
      <formula1>0</formula1>
      <formula2>9.99999999999999E+23</formula2>
    </dataValidation>
    <dataValidation type="decimal" allowBlank="1" showErrorMessage="1" errorTitle="Ошибка" error="Допускается ввод только неотрицательных чисел!" sqref="AE155">
      <formula1>0</formula1>
      <formula2>9.99999999999999E+23</formula2>
    </dataValidation>
    <dataValidation type="decimal" allowBlank="1" showErrorMessage="1" errorTitle="Ошибка" error="Допускается ввод только неотрицательных чисел!" sqref="AC155">
      <formula1>0</formula1>
      <formula2>9.99999999999999E+23</formula2>
    </dataValidation>
    <dataValidation type="textLength" operator="lessThanOrEqual" allowBlank="1" showInputMessage="1" showErrorMessage="1" errorTitle="Ошибка" error="Допускается ввод не более 900 символов!" sqref="K1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5">
      <formula1>"a"</formula1>
    </dataValidation>
    <dataValidation type="whole" allowBlank="1" showErrorMessage="1" errorTitle="Ошибка" error="Допускается ввод только неотрицательных целых чисел!" sqref="AI357">
      <formula1>0</formula1>
      <formula2>9.99999999999999E+23</formula2>
    </dataValidation>
    <dataValidation type="whole" allowBlank="1" showErrorMessage="1" errorTitle="Ошибка" error="Допускается ввод только неотрицательных целых чисел!" sqref="AF357">
      <formula1>0</formula1>
      <formula2>9.99999999999999E+23</formula2>
    </dataValidation>
    <dataValidation type="whole" allowBlank="1" showErrorMessage="1" errorTitle="Ошибка" error="Допускается ввод только неотрицательных целых чисел!" sqref="AI356">
      <formula1>0</formula1>
      <formula2>9.99999999999999E+23</formula2>
    </dataValidation>
    <dataValidation type="whole" allowBlank="1" showErrorMessage="1" errorTitle="Ошибка" error="Допускается ввод только неотрицательных целых чисел!" sqref="AF356">
      <formula1>0</formula1>
      <formula2>9.99999999999999E+23</formula2>
    </dataValidation>
    <dataValidation type="textLength" operator="lessThanOrEqual" allowBlank="1" showInputMessage="1" showErrorMessage="1" errorTitle="Ошибка" error="Допускается ввод не более 900 символов!" sqref="K3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6">
      <formula1>"a"</formula1>
    </dataValidation>
    <dataValidation type="whole" allowBlank="1" showErrorMessage="1" errorTitle="Ошибка" error="Допускается ввод только неотрицательных целых чисел!" sqref="AI355">
      <formula1>0</formula1>
      <formula2>9.99999999999999E+23</formula2>
    </dataValidation>
    <dataValidation type="whole" allowBlank="1" showErrorMessage="1" errorTitle="Ошибка" error="Допускается ввод только неотрицательных целых чисел!" sqref="AF355">
      <formula1>0</formula1>
      <formula2>9.99999999999999E+23</formula2>
    </dataValidation>
    <dataValidation type="decimal" allowBlank="1" showErrorMessage="1" errorTitle="Ошибка" error="Допускается ввод только неотрицательных чисел!" sqref="AE355">
      <formula1>0</formula1>
      <formula2>9.99999999999999E+23</formula2>
    </dataValidation>
    <dataValidation type="decimal" allowBlank="1" showErrorMessage="1" errorTitle="Ошибка" error="Допускается ввод только неотрицательных чисел!" sqref="AC355">
      <formula1>0</formula1>
      <formula2>9.99999999999999E+23</formula2>
    </dataValidation>
    <dataValidation type="textLength" operator="lessThanOrEqual" allowBlank="1" showInputMessage="1" showErrorMessage="1" errorTitle="Ошибка" error="Допускается ввод не более 900 символов!" sqref="K3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5">
      <formula1>"a"</formula1>
    </dataValidation>
    <dataValidation type="whole" allowBlank="1" showErrorMessage="1" errorTitle="Ошибка" error="Допускается ввод только неотрицательных целых чисел!" sqref="AI354">
      <formula1>0</formula1>
      <formula2>9.99999999999999E+23</formula2>
    </dataValidation>
    <dataValidation type="whole" allowBlank="1" showErrorMessage="1" errorTitle="Ошибка" error="Допускается ввод только неотрицательных целых чисел!" sqref="AF354">
      <formula1>0</formula1>
      <formula2>9.99999999999999E+23</formula2>
    </dataValidation>
    <dataValidation type="textLength" operator="lessThanOrEqual" allowBlank="1" showInputMessage="1" showErrorMessage="1" errorTitle="Ошибка" error="Допускается ввод не более 900 символов!" sqref="K3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4">
      <formula1>"a"</formula1>
    </dataValidation>
    <dataValidation type="whole" allowBlank="1" showErrorMessage="1" errorTitle="Ошибка" error="Допускается ввод только неотрицательных целых чисел!" sqref="AI353">
      <formula1>0</formula1>
      <formula2>9.99999999999999E+23</formula2>
    </dataValidation>
    <dataValidation type="whole" allowBlank="1" showErrorMessage="1" errorTitle="Ошибка" error="Допускается ввод только неотрицательных целых чисел!" sqref="AF353">
      <formula1>0</formula1>
      <formula2>9.99999999999999E+23</formula2>
    </dataValidation>
    <dataValidation type="textLength" operator="lessThanOrEqual" allowBlank="1" showInputMessage="1" showErrorMessage="1" errorTitle="Ошибка" error="Допускается ввод не более 900 символов!" sqref="M353">
      <formula1>900</formula1>
    </dataValidation>
    <dataValidation type="textLength" operator="lessThanOrEqual" allowBlank="1" showInputMessage="1" showErrorMessage="1" errorTitle="Ошибка" error="Допускается ввод не более 900 символов!" sqref="K3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3">
      <formula1>"a"</formula1>
    </dataValidation>
    <dataValidation type="whole" allowBlank="1" showErrorMessage="1" errorTitle="Ошибка" error="Допускается ввод только неотрицательных целых чисел!" sqref="AI157">
      <formula1>0</formula1>
      <formula2>9.99999999999999E+23</formula2>
    </dataValidation>
    <dataValidation type="whole" allowBlank="1" showErrorMessage="1" errorTitle="Ошибка" error="Допускается ввод только неотрицательных целых чисел!" sqref="AF157">
      <formula1>0</formula1>
      <formula2>9.99999999999999E+23</formula2>
    </dataValidation>
    <dataValidation type="whole" allowBlank="1" showErrorMessage="1" errorTitle="Ошибка" error="Допускается ввод только неотрицательных целых чисел!" sqref="AI156">
      <formula1>0</formula1>
      <formula2>9.99999999999999E+23</formula2>
    </dataValidation>
    <dataValidation type="whole" allowBlank="1" showErrorMessage="1" errorTitle="Ошибка" error="Допускается ввод только неотрицательных целых чисел!" sqref="AF156">
      <formula1>0</formula1>
      <formula2>9.99999999999999E+23</formula2>
    </dataValidation>
    <dataValidation type="textLength" operator="lessThanOrEqual" allowBlank="1" showInputMessage="1" showErrorMessage="1" errorTitle="Ошибка" error="Допускается ввод не более 900 символов!" sqref="K1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6">
      <formula1>"a"</formula1>
    </dataValidation>
    <dataValidation type="whole" allowBlank="1" showErrorMessage="1" errorTitle="Ошибка" error="Допускается ввод только неотрицательных целых чисел!" sqref="AI154">
      <formula1>0</formula1>
      <formula2>9.99999999999999E+23</formula2>
    </dataValidation>
    <dataValidation type="whole" allowBlank="1" showErrorMessage="1" errorTitle="Ошибка" error="Допускается ввод только неотрицательных целых чисел!" sqref="AF154">
      <formula1>0</formula1>
      <formula2>9.99999999999999E+23</formula2>
    </dataValidation>
    <dataValidation type="decimal" allowBlank="1" showErrorMessage="1" errorTitle="Ошибка" error="Допускается ввод только неотрицательных чисел!" sqref="AE154">
      <formula1>0</formula1>
      <formula2>9.99999999999999E+23</formula2>
    </dataValidation>
    <dataValidation type="decimal" allowBlank="1" showErrorMessage="1" errorTitle="Ошибка" error="Допускается ввод только неотрицательных чисел!" sqref="AC154">
      <formula1>0</formula1>
      <formula2>9.99999999999999E+23</formula2>
    </dataValidation>
    <dataValidation type="textLength" operator="lessThanOrEqual" allowBlank="1" showInputMessage="1" showErrorMessage="1" errorTitle="Ошибка" error="Допускается ввод не более 900 символов!" sqref="K1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4">
      <formula1>"a"</formula1>
    </dataValidation>
    <dataValidation type="whole" allowBlank="1" showErrorMessage="1" errorTitle="Ошибка" error="Допускается ввод только неотрицательных целых чисел!" sqref="AI153">
      <formula1>0</formula1>
      <formula2>9.99999999999999E+23</formula2>
    </dataValidation>
    <dataValidation type="whole" allowBlank="1" showErrorMessage="1" errorTitle="Ошибка" error="Допускается ввод только неотрицательных целых чисел!" sqref="AF153">
      <formula1>0</formula1>
      <formula2>9.99999999999999E+23</formula2>
    </dataValidation>
    <dataValidation type="textLength" operator="lessThanOrEqual" allowBlank="1" showInputMessage="1" showErrorMessage="1" errorTitle="Ошибка" error="Допускается ввод не более 900 символов!" sqref="K1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3">
      <formula1>"a"</formula1>
    </dataValidation>
    <dataValidation type="whole" allowBlank="1" showErrorMessage="1" errorTitle="Ошибка" error="Допускается ввод только неотрицательных целых чисел!" sqref="AI152">
      <formula1>0</formula1>
      <formula2>9.99999999999999E+23</formula2>
    </dataValidation>
    <dataValidation type="whole" allowBlank="1" showErrorMessage="1" errorTitle="Ошибка" error="Допускается ввод только неотрицательных целых чисел!" sqref="AF152">
      <formula1>0</formula1>
      <formula2>9.99999999999999E+23</formula2>
    </dataValidation>
    <dataValidation type="textLength" operator="lessThanOrEqual" allowBlank="1" showInputMessage="1" showErrorMessage="1" errorTitle="Ошибка" error="Допускается ввод не более 900 символов!" sqref="M152">
      <formula1>900</formula1>
    </dataValidation>
    <dataValidation type="textLength" operator="lessThanOrEqual" allowBlank="1" showInputMessage="1" showErrorMessage="1" errorTitle="Ошибка" error="Допускается ввод не более 900 символов!" sqref="K1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2">
      <formula1>"a"</formula1>
    </dataValidation>
    <dataValidation type="whole" allowBlank="1" showErrorMessage="1" errorTitle="Ошибка" error="Допускается ввод только неотрицательных целых чисел!" sqref="AI352">
      <formula1>0</formula1>
      <formula2>9.99999999999999E+23</formula2>
    </dataValidation>
    <dataValidation type="whole" allowBlank="1" showErrorMessage="1" errorTitle="Ошибка" error="Допускается ввод только неотрицательных целых чисел!" sqref="AF352">
      <formula1>0</formula1>
      <formula2>9.99999999999999E+23</formula2>
    </dataValidation>
    <dataValidation type="whole" allowBlank="1" showErrorMessage="1" errorTitle="Ошибка" error="Допускается ввод только неотрицательных целых чисел!" sqref="AI351">
      <formula1>0</formula1>
      <formula2>9.99999999999999E+23</formula2>
    </dataValidation>
    <dataValidation type="whole" allowBlank="1" showErrorMessage="1" errorTitle="Ошибка" error="Допускается ввод только неотрицательных целых чисел!" sqref="AF351">
      <formula1>0</formula1>
      <formula2>9.99999999999999E+23</formula2>
    </dataValidation>
    <dataValidation type="textLength" operator="lessThanOrEqual" allowBlank="1" showInputMessage="1" showErrorMessage="1" errorTitle="Ошибка" error="Допускается ввод не более 900 символов!" sqref="K3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1">
      <formula1>"a"</formula1>
    </dataValidation>
    <dataValidation type="whole" allowBlank="1" showErrorMessage="1" errorTitle="Ошибка" error="Допускается ввод только неотрицательных целых чисел!" sqref="AI350">
      <formula1>0</formula1>
      <formula2>9.99999999999999E+23</formula2>
    </dataValidation>
    <dataValidation type="whole" allowBlank="1" showErrorMessage="1" errorTitle="Ошибка" error="Допускается ввод только неотрицательных целых чисел!" sqref="AF350">
      <formula1>0</formula1>
      <formula2>9.99999999999999E+23</formula2>
    </dataValidation>
    <dataValidation type="decimal" allowBlank="1" showErrorMessage="1" errorTitle="Ошибка" error="Допускается ввод только неотрицательных чисел!" sqref="AE350">
      <formula1>0</formula1>
      <formula2>9.99999999999999E+23</formula2>
    </dataValidation>
    <dataValidation type="decimal" allowBlank="1" showErrorMessage="1" errorTitle="Ошибка" error="Допускается ввод только неотрицательных чисел!" sqref="AC350">
      <formula1>0</formula1>
      <formula2>9.99999999999999E+23</formula2>
    </dataValidation>
    <dataValidation type="textLength" operator="lessThanOrEqual" allowBlank="1" showInputMessage="1" showErrorMessage="1" errorTitle="Ошибка" error="Допускается ввод не более 900 символов!" sqref="K3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0">
      <formula1>"a"</formula1>
    </dataValidation>
    <dataValidation type="whole" allowBlank="1" showErrorMessage="1" errorTitle="Ошибка" error="Допускается ввод только неотрицательных целых чисел!" sqref="AI349">
      <formula1>0</formula1>
      <formula2>9.99999999999999E+23</formula2>
    </dataValidation>
    <dataValidation type="whole" allowBlank="1" showErrorMessage="1" errorTitle="Ошибка" error="Допускается ввод только неотрицательных целых чисел!" sqref="AF349">
      <formula1>0</formula1>
      <formula2>9.99999999999999E+23</formula2>
    </dataValidation>
    <dataValidation type="textLength" operator="lessThanOrEqual" allowBlank="1" showInputMessage="1" showErrorMessage="1" errorTitle="Ошибка" error="Допускается ввод не более 900 символов!" sqref="K3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9">
      <formula1>"a"</formula1>
    </dataValidation>
    <dataValidation type="whole" allowBlank="1" showErrorMessage="1" errorTitle="Ошибка" error="Допускается ввод только неотрицательных целых чисел!" sqref="AI348">
      <formula1>0</formula1>
      <formula2>9.99999999999999E+23</formula2>
    </dataValidation>
    <dataValidation type="whole" allowBlank="1" showErrorMessage="1" errorTitle="Ошибка" error="Допускается ввод только неотрицательных целых чисел!" sqref="AF348">
      <formula1>0</formula1>
      <formula2>9.99999999999999E+23</formula2>
    </dataValidation>
    <dataValidation type="textLength" operator="lessThanOrEqual" allowBlank="1" showInputMessage="1" showErrorMessage="1" errorTitle="Ошибка" error="Допускается ввод не более 900 символов!" sqref="M348">
      <formula1>900</formula1>
    </dataValidation>
    <dataValidation type="textLength" operator="lessThanOrEqual" allowBlank="1" showInputMessage="1" showErrorMessage="1" errorTitle="Ошибка" error="Допускается ввод не более 900 символов!" sqref="K3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8">
      <formula1>"a"</formula1>
    </dataValidation>
    <dataValidation type="whole" allowBlank="1" showErrorMessage="1" errorTitle="Ошибка" error="Допускается ввод только неотрицательных целых чисел!" sqref="AI151">
      <formula1>0</formula1>
      <formula2>9.99999999999999E+23</formula2>
    </dataValidation>
    <dataValidation type="whole" allowBlank="1" showErrorMessage="1" errorTitle="Ошибка" error="Допускается ввод только неотрицательных целых чисел!" sqref="AF151">
      <formula1>0</formula1>
      <formula2>9.99999999999999E+23</formula2>
    </dataValidation>
    <dataValidation type="whole" allowBlank="1" showErrorMessage="1" errorTitle="Ошибка" error="Допускается ввод только неотрицательных целых чисел!" sqref="AI150">
      <formula1>0</formula1>
      <formula2>9.99999999999999E+23</formula2>
    </dataValidation>
    <dataValidation type="whole" allowBlank="1" showErrorMessage="1" errorTitle="Ошибка" error="Допускается ввод только неотрицательных целых чисел!" sqref="AF150">
      <formula1>0</formula1>
      <formula2>9.99999999999999E+23</formula2>
    </dataValidation>
    <dataValidation type="textLength" operator="lessThanOrEqual" allowBlank="1" showInputMessage="1" showErrorMessage="1" errorTitle="Ошибка" error="Допускается ввод не более 900 символов!" sqref="K1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0">
      <formula1>"a"</formula1>
    </dataValidation>
    <dataValidation type="whole" allowBlank="1" showErrorMessage="1" errorTitle="Ошибка" error="Допускается ввод только неотрицательных целых чисел!" sqref="AI149">
      <formula1>0</formula1>
      <formula2>9.99999999999999E+23</formula2>
    </dataValidation>
    <dataValidation type="whole" allowBlank="1" showErrorMessage="1" errorTitle="Ошибка" error="Допускается ввод только неотрицательных целых чисел!" sqref="AF149">
      <formula1>0</formula1>
      <formula2>9.99999999999999E+23</formula2>
    </dataValidation>
    <dataValidation type="decimal" allowBlank="1" showErrorMessage="1" errorTitle="Ошибка" error="Допускается ввод только неотрицательных чисел!" sqref="AE149">
      <formula1>0</formula1>
      <formula2>9.99999999999999E+23</formula2>
    </dataValidation>
    <dataValidation type="decimal" allowBlank="1" showErrorMessage="1" errorTitle="Ошибка" error="Допускается ввод только неотрицательных чисел!" sqref="AC149">
      <formula1>0</formula1>
      <formula2>9.99999999999999E+23</formula2>
    </dataValidation>
    <dataValidation type="textLength" operator="lessThanOrEqual" allowBlank="1" showInputMessage="1" showErrorMessage="1" errorTitle="Ошибка" error="Допускается ввод не более 900 символов!" sqref="K1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9">
      <formula1>"a"</formula1>
    </dataValidation>
    <dataValidation type="whole" allowBlank="1" showErrorMessage="1" errorTitle="Ошибка" error="Допускается ввод только неотрицательных целых чисел!" sqref="AI148">
      <formula1>0</formula1>
      <formula2>9.99999999999999E+23</formula2>
    </dataValidation>
    <dataValidation type="whole" allowBlank="1" showErrorMessage="1" errorTitle="Ошибка" error="Допускается ввод только неотрицательных целых чисел!" sqref="AF148">
      <formula1>0</formula1>
      <formula2>9.99999999999999E+23</formula2>
    </dataValidation>
    <dataValidation type="textLength" operator="lessThanOrEqual" allowBlank="1" showInputMessage="1" showErrorMessage="1" errorTitle="Ошибка" error="Допускается ввод не более 900 символов!" sqref="K1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8">
      <formula1>"a"</formula1>
    </dataValidation>
    <dataValidation type="whole" allowBlank="1" showErrorMessage="1" errorTitle="Ошибка" error="Допускается ввод только неотрицательных целых чисел!" sqref="AI147">
      <formula1>0</formula1>
      <formula2>9.99999999999999E+23</formula2>
    </dataValidation>
    <dataValidation type="whole" allowBlank="1" showErrorMessage="1" errorTitle="Ошибка" error="Допускается ввод только неотрицательных целых чисел!" sqref="AF147">
      <formula1>0</formula1>
      <formula2>9.99999999999999E+23</formula2>
    </dataValidation>
    <dataValidation type="textLength" operator="lessThanOrEqual" allowBlank="1" showInputMessage="1" showErrorMessage="1" errorTitle="Ошибка" error="Допускается ввод не более 900 символов!" sqref="M147">
      <formula1>900</formula1>
    </dataValidation>
    <dataValidation type="textLength" operator="lessThanOrEqual" allowBlank="1" showInputMessage="1" showErrorMessage="1" errorTitle="Ошибка" error="Допускается ввод не более 900 символов!" sqref="K1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7">
      <formula1>"a"</formula1>
    </dataValidation>
    <dataValidation type="whole" allowBlank="1" showErrorMessage="1" errorTitle="Ошибка" error="Допускается ввод только неотрицательных целых чисел!" sqref="AI584">
      <formula1>0</formula1>
      <formula2>9.99999999999999E+23</formula2>
    </dataValidation>
    <dataValidation type="whole" allowBlank="1" showErrorMessage="1" errorTitle="Ошибка" error="Допускается ввод только неотрицательных целых чисел!" sqref="AF584">
      <formula1>0</formula1>
      <formula2>9.99999999999999E+23</formula2>
    </dataValidation>
    <dataValidation type="whole" allowBlank="1" showErrorMessage="1" errorTitle="Ошибка" error="Допускается ввод только неотрицательных целых чисел!" sqref="AI583">
      <formula1>0</formula1>
      <formula2>9.99999999999999E+23</formula2>
    </dataValidation>
    <dataValidation type="whole" allowBlank="1" showErrorMessage="1" errorTitle="Ошибка" error="Допускается ввод только неотрицательных целых чисел!" sqref="AF583">
      <formula1>0</formula1>
      <formula2>9.99999999999999E+23</formula2>
    </dataValidation>
    <dataValidation type="textLength" operator="lessThanOrEqual" allowBlank="1" showInputMessage="1" showErrorMessage="1" errorTitle="Ошибка" error="Допускается ввод не более 900 символов!" sqref="K5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3">
      <formula1>"a"</formula1>
    </dataValidation>
    <dataValidation type="whole" allowBlank="1" showErrorMessage="1" errorTitle="Ошибка" error="Допускается ввод только неотрицательных целых чисел!" sqref="AI582">
      <formula1>0</formula1>
      <formula2>9.99999999999999E+23</formula2>
    </dataValidation>
    <dataValidation type="whole" allowBlank="1" showErrorMessage="1" errorTitle="Ошибка" error="Допускается ввод только неотрицательных целых чисел!" sqref="AF582">
      <formula1>0</formula1>
      <formula2>9.99999999999999E+23</formula2>
    </dataValidation>
    <dataValidation type="decimal" allowBlank="1" showErrorMessage="1" errorTitle="Ошибка" error="Допускается ввод только неотрицательных чисел!" sqref="AE582">
      <formula1>0</formula1>
      <formula2>9.99999999999999E+23</formula2>
    </dataValidation>
    <dataValidation type="decimal" allowBlank="1" showErrorMessage="1" errorTitle="Ошибка" error="Допускается ввод только неотрицательных чисел!" sqref="AC582">
      <formula1>0</formula1>
      <formula2>9.99999999999999E+23</formula2>
    </dataValidation>
    <dataValidation type="textLength" operator="lessThanOrEqual" allowBlank="1" showInputMessage="1" showErrorMessage="1" errorTitle="Ошибка" error="Допускается ввод не более 900 символов!" sqref="K5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2">
      <formula1>"a"</formula1>
    </dataValidation>
    <dataValidation type="whole" allowBlank="1" showErrorMessage="1" errorTitle="Ошибка" error="Допускается ввод только неотрицательных целых чисел!" sqref="AI581">
      <formula1>0</formula1>
      <formula2>9.99999999999999E+23</formula2>
    </dataValidation>
    <dataValidation type="whole" allowBlank="1" showErrorMessage="1" errorTitle="Ошибка" error="Допускается ввод только неотрицательных целых чисел!" sqref="AF581">
      <formula1>0</formula1>
      <formula2>9.99999999999999E+23</formula2>
    </dataValidation>
    <dataValidation type="textLength" operator="lessThanOrEqual" allowBlank="1" showInputMessage="1" showErrorMessage="1" errorTitle="Ошибка" error="Допускается ввод не более 900 символов!" sqref="K5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1">
      <formula1>"a"</formula1>
    </dataValidation>
    <dataValidation type="whole" allowBlank="1" showErrorMessage="1" errorTitle="Ошибка" error="Допускается ввод только неотрицательных целых чисел!" sqref="AI580">
      <formula1>0</formula1>
      <formula2>9.99999999999999E+23</formula2>
    </dataValidation>
    <dataValidation type="whole" allowBlank="1" showErrorMessage="1" errorTitle="Ошибка" error="Допускается ввод только неотрицательных целых чисел!" sqref="AF580">
      <formula1>0</formula1>
      <formula2>9.99999999999999E+23</formula2>
    </dataValidation>
    <dataValidation type="textLength" operator="lessThanOrEqual" allowBlank="1" showInputMessage="1" showErrorMessage="1" errorTitle="Ошибка" error="Допускается ввод не более 900 символов!" sqref="M580">
      <formula1>900</formula1>
    </dataValidation>
    <dataValidation type="textLength" operator="lessThanOrEqual" allowBlank="1" showInputMessage="1" showErrorMessage="1" errorTitle="Ошибка" error="Допускается ввод не более 900 символов!" sqref="K5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0">
      <formula1>"a"</formula1>
    </dataValidation>
    <dataValidation type="whole" allowBlank="1" showErrorMessage="1" errorTitle="Ошибка" error="Допускается ввод только неотрицательных целых чисел!" sqref="AI579">
      <formula1>0</formula1>
      <formula2>9.99999999999999E+23</formula2>
    </dataValidation>
    <dataValidation type="whole" allowBlank="1" showErrorMessage="1" errorTitle="Ошибка" error="Допускается ввод только неотрицательных целых чисел!" sqref="AF579">
      <formula1>0</formula1>
      <formula2>9.99999999999999E+23</formula2>
    </dataValidation>
    <dataValidation type="whole" allowBlank="1" showErrorMessage="1" errorTitle="Ошибка" error="Допускается ввод только неотрицательных целых чисел!" sqref="AI578">
      <formula1>0</formula1>
      <formula2>9.99999999999999E+23</formula2>
    </dataValidation>
    <dataValidation type="whole" allowBlank="1" showErrorMessage="1" errorTitle="Ошибка" error="Допускается ввод только неотрицательных целых чисел!" sqref="AF578">
      <formula1>0</formula1>
      <formula2>9.99999999999999E+23</formula2>
    </dataValidation>
    <dataValidation type="textLength" operator="lessThanOrEqual" allowBlank="1" showInputMessage="1" showErrorMessage="1" errorTitle="Ошибка" error="Допускается ввод не более 900 символов!" sqref="K5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8">
      <formula1>"a"</formula1>
    </dataValidation>
    <dataValidation type="whole" allowBlank="1" showErrorMessage="1" errorTitle="Ошибка" error="Допускается ввод только неотрицательных целых чисел!" sqref="AI577">
      <formula1>0</formula1>
      <formula2>9.99999999999999E+23</formula2>
    </dataValidation>
    <dataValidation type="whole" allowBlank="1" showErrorMessage="1" errorTitle="Ошибка" error="Допускается ввод только неотрицательных целых чисел!" sqref="AF577">
      <formula1>0</formula1>
      <formula2>9.99999999999999E+23</formula2>
    </dataValidation>
    <dataValidation type="decimal" allowBlank="1" showErrorMessage="1" errorTitle="Ошибка" error="Допускается ввод только неотрицательных чисел!" sqref="AE577">
      <formula1>0</formula1>
      <formula2>9.99999999999999E+23</formula2>
    </dataValidation>
    <dataValidation type="decimal" allowBlank="1" showErrorMessage="1" errorTitle="Ошибка" error="Допускается ввод только неотрицательных чисел!" sqref="AC577">
      <formula1>0</formula1>
      <formula2>9.99999999999999E+23</formula2>
    </dataValidation>
    <dataValidation type="textLength" operator="lessThanOrEqual" allowBlank="1" showInputMessage="1" showErrorMessage="1" errorTitle="Ошибка" error="Допускается ввод не более 900 символов!" sqref="K5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7">
      <formula1>"a"</formula1>
    </dataValidation>
    <dataValidation type="whole" allowBlank="1" showErrorMessage="1" errorTitle="Ошибка" error="Допускается ввод только неотрицательных целых чисел!" sqref="AI576">
      <formula1>0</formula1>
      <formula2>9.99999999999999E+23</formula2>
    </dataValidation>
    <dataValidation type="whole" allowBlank="1" showErrorMessage="1" errorTitle="Ошибка" error="Допускается ввод только неотрицательных целых чисел!" sqref="AF576">
      <formula1>0</formula1>
      <formula2>9.99999999999999E+23</formula2>
    </dataValidation>
    <dataValidation type="textLength" operator="lessThanOrEqual" allowBlank="1" showInputMessage="1" showErrorMessage="1" errorTitle="Ошибка" error="Допускается ввод не более 900 символов!" sqref="K5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6">
      <formula1>"a"</formula1>
    </dataValidation>
    <dataValidation type="whole" allowBlank="1" showErrorMessage="1" errorTitle="Ошибка" error="Допускается ввод только неотрицательных целых чисел!" sqref="AI575">
      <formula1>0</formula1>
      <formula2>9.99999999999999E+23</formula2>
    </dataValidation>
    <dataValidation type="whole" allowBlank="1" showErrorMessage="1" errorTitle="Ошибка" error="Допускается ввод только неотрицательных целых чисел!" sqref="AF575">
      <formula1>0</formula1>
      <formula2>9.99999999999999E+23</formula2>
    </dataValidation>
    <dataValidation type="textLength" operator="lessThanOrEqual" allowBlank="1" showInputMessage="1" showErrorMessage="1" errorTitle="Ошибка" error="Допускается ввод не более 900 символов!" sqref="M575">
      <formula1>900</formula1>
    </dataValidation>
    <dataValidation type="textLength" operator="lessThanOrEqual" allowBlank="1" showInputMessage="1" showErrorMessage="1" errorTitle="Ошибка" error="Допускается ввод не более 900 символов!" sqref="K5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5">
      <formula1>"a"</formula1>
    </dataValidation>
    <dataValidation type="whole" allowBlank="1" showErrorMessage="1" errorTitle="Ошибка" error="Допускается ввод только неотрицательных целых чисел!" sqref="AI475">
      <formula1>0</formula1>
      <formula2>9.99999999999999E+23</formula2>
    </dataValidation>
    <dataValidation type="whole" allowBlank="1" showErrorMessage="1" errorTitle="Ошибка" error="Допускается ввод только неотрицательных целых чисел!" sqref="AF475">
      <formula1>0</formula1>
      <formula2>9.99999999999999E+23</formula2>
    </dataValidation>
    <dataValidation type="whole" allowBlank="1" showErrorMessage="1" errorTitle="Ошибка" error="Допускается ввод только неотрицательных целых чисел!" sqref="AI474">
      <formula1>0</formula1>
      <formula2>9.99999999999999E+23</formula2>
    </dataValidation>
    <dataValidation type="whole" allowBlank="1" showErrorMessage="1" errorTitle="Ошибка" error="Допускается ввод только неотрицательных целых чисел!" sqref="AF474">
      <formula1>0</formula1>
      <formula2>9.99999999999999E+23</formula2>
    </dataValidation>
    <dataValidation type="textLength" operator="lessThanOrEqual" allowBlank="1" showInputMessage="1" showErrorMessage="1" errorTitle="Ошибка" error="Допускается ввод не более 900 символов!" sqref="K4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4">
      <formula1>"a"</formula1>
    </dataValidation>
    <dataValidation type="whole" allowBlank="1" showErrorMessage="1" errorTitle="Ошибка" error="Допускается ввод только неотрицательных целых чисел!" sqref="AI473">
      <formula1>0</formula1>
      <formula2>9.99999999999999E+23</formula2>
    </dataValidation>
    <dataValidation type="whole" allowBlank="1" showErrorMessage="1" errorTitle="Ошибка" error="Допускается ввод только неотрицательных целых чисел!" sqref="AF473">
      <formula1>0</formula1>
      <formula2>9.99999999999999E+23</formula2>
    </dataValidation>
    <dataValidation type="decimal" allowBlank="1" showErrorMessage="1" errorTitle="Ошибка" error="Допускается ввод только неотрицательных чисел!" sqref="AE473">
      <formula1>0</formula1>
      <formula2>9.99999999999999E+23</formula2>
    </dataValidation>
    <dataValidation type="decimal" allowBlank="1" showErrorMessage="1" errorTitle="Ошибка" error="Допускается ввод только неотрицательных чисел!" sqref="AC473">
      <formula1>0</formula1>
      <formula2>9.99999999999999E+23</formula2>
    </dataValidation>
    <dataValidation type="textLength" operator="lessThanOrEqual" allowBlank="1" showInputMessage="1" showErrorMessage="1" errorTitle="Ошибка" error="Допускается ввод не более 900 символов!" sqref="K4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3">
      <formula1>"a"</formula1>
    </dataValidation>
    <dataValidation type="whole" allowBlank="1" showErrorMessage="1" errorTitle="Ошибка" error="Допускается ввод только неотрицательных целых чисел!" sqref="AI472">
      <formula1>0</formula1>
      <formula2>9.99999999999999E+23</formula2>
    </dataValidation>
    <dataValidation type="whole" allowBlank="1" showErrorMessage="1" errorTitle="Ошибка" error="Допускается ввод только неотрицательных целых чисел!" sqref="AF472">
      <formula1>0</formula1>
      <formula2>9.99999999999999E+23</formula2>
    </dataValidation>
    <dataValidation type="textLength" operator="lessThanOrEqual" allowBlank="1" showInputMessage="1" showErrorMessage="1" errorTitle="Ошибка" error="Допускается ввод не более 900 символов!" sqref="K4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2">
      <formula1>"a"</formula1>
    </dataValidation>
    <dataValidation type="whole" allowBlank="1" showErrorMessage="1" errorTitle="Ошибка" error="Допускается ввод только неотрицательных целых чисел!" sqref="AI471">
      <formula1>0</formula1>
      <formula2>9.99999999999999E+23</formula2>
    </dataValidation>
    <dataValidation type="whole" allowBlank="1" showErrorMessage="1" errorTitle="Ошибка" error="Допускается ввод только неотрицательных целых чисел!" sqref="AF471">
      <formula1>0</formula1>
      <formula2>9.99999999999999E+23</formula2>
    </dataValidation>
    <dataValidation type="textLength" operator="lessThanOrEqual" allowBlank="1" showInputMessage="1" showErrorMessage="1" errorTitle="Ошибка" error="Допускается ввод не более 900 символов!" sqref="M471">
      <formula1>900</formula1>
    </dataValidation>
    <dataValidation type="textLength" operator="lessThanOrEqual" allowBlank="1" showInputMessage="1" showErrorMessage="1" errorTitle="Ошибка" error="Допускается ввод не более 900 символов!" sqref="K4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1">
      <formula1>"a"</formula1>
    </dataValidation>
    <dataValidation type="whole" allowBlank="1" showErrorMessage="1" errorTitle="Ошибка" error="Допускается ввод только неотрицательных целых чисел!" sqref="AI470">
      <formula1>0</formula1>
      <formula2>9.99999999999999E+23</formula2>
    </dataValidation>
    <dataValidation type="whole" allowBlank="1" showErrorMessage="1" errorTitle="Ошибка" error="Допускается ввод только неотрицательных целых чисел!" sqref="AF470">
      <formula1>0</formula1>
      <formula2>9.99999999999999E+23</formula2>
    </dataValidation>
    <dataValidation type="whole" allowBlank="1" showErrorMessage="1" errorTitle="Ошибка" error="Допускается ввод только неотрицательных целых чисел!" sqref="AI469">
      <formula1>0</formula1>
      <formula2>9.99999999999999E+23</formula2>
    </dataValidation>
    <dataValidation type="whole" allowBlank="1" showErrorMessage="1" errorTitle="Ошибка" error="Допускается ввод только неотрицательных целых чисел!" sqref="AF469">
      <formula1>0</formula1>
      <formula2>9.99999999999999E+23</formula2>
    </dataValidation>
    <dataValidation type="textLength" operator="lessThanOrEqual" allowBlank="1" showInputMessage="1" showErrorMessage="1" errorTitle="Ошибка" error="Допускается ввод не более 900 символов!" sqref="K4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9">
      <formula1>"a"</formula1>
    </dataValidation>
    <dataValidation type="whole" allowBlank="1" showErrorMessage="1" errorTitle="Ошибка" error="Допускается ввод только неотрицательных целых чисел!" sqref="AI468">
      <formula1>0</formula1>
      <formula2>9.99999999999999E+23</formula2>
    </dataValidation>
    <dataValidation type="whole" allowBlank="1" showErrorMessage="1" errorTitle="Ошибка" error="Допускается ввод только неотрицательных целых чисел!" sqref="AF468">
      <formula1>0</formula1>
      <formula2>9.99999999999999E+23</formula2>
    </dataValidation>
    <dataValidation type="decimal" allowBlank="1" showErrorMessage="1" errorTitle="Ошибка" error="Допускается ввод только неотрицательных чисел!" sqref="AE468">
      <formula1>0</formula1>
      <formula2>9.99999999999999E+23</formula2>
    </dataValidation>
    <dataValidation type="decimal" allowBlank="1" showErrorMessage="1" errorTitle="Ошибка" error="Допускается ввод только неотрицательных чисел!" sqref="AC468">
      <formula1>0</formula1>
      <formula2>9.99999999999999E+23</formula2>
    </dataValidation>
    <dataValidation type="textLength" operator="lessThanOrEqual" allowBlank="1" showInputMessage="1" showErrorMessage="1" errorTitle="Ошибка" error="Допускается ввод не более 900 символов!" sqref="K4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8">
      <formula1>"a"</formula1>
    </dataValidation>
    <dataValidation type="whole" allowBlank="1" showErrorMessage="1" errorTitle="Ошибка" error="Допускается ввод только неотрицательных целых чисел!" sqref="AI467">
      <formula1>0</formula1>
      <formula2>9.99999999999999E+23</formula2>
    </dataValidation>
    <dataValidation type="whole" allowBlank="1" showErrorMessage="1" errorTitle="Ошибка" error="Допускается ввод только неотрицательных целых чисел!" sqref="AF467">
      <formula1>0</formula1>
      <formula2>9.99999999999999E+23</formula2>
    </dataValidation>
    <dataValidation type="textLength" operator="lessThanOrEqual" allowBlank="1" showInputMessage="1" showErrorMessage="1" errorTitle="Ошибка" error="Допускается ввод не более 900 символов!" sqref="K4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7">
      <formula1>"a"</formula1>
    </dataValidation>
    <dataValidation type="whole" allowBlank="1" showErrorMessage="1" errorTitle="Ошибка" error="Допускается ввод только неотрицательных целых чисел!" sqref="AI466">
      <formula1>0</formula1>
      <formula2>9.99999999999999E+23</formula2>
    </dataValidation>
    <dataValidation type="whole" allowBlank="1" showErrorMessage="1" errorTitle="Ошибка" error="Допускается ввод только неотрицательных целых чисел!" sqref="AF466">
      <formula1>0</formula1>
      <formula2>9.99999999999999E+23</formula2>
    </dataValidation>
    <dataValidation type="textLength" operator="lessThanOrEqual" allowBlank="1" showInputMessage="1" showErrorMessage="1" errorTitle="Ошибка" error="Допускается ввод не более 900 символов!" sqref="M466">
      <formula1>900</formula1>
    </dataValidation>
    <dataValidation type="textLength" operator="lessThanOrEqual" allowBlank="1" showInputMessage="1" showErrorMessage="1" errorTitle="Ошибка" error="Допускается ввод не более 900 символов!" sqref="K4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6">
      <formula1>"a"</formula1>
    </dataValidation>
    <dataValidation type="whole" allowBlank="1" showErrorMessage="1" errorTitle="Ошибка" error="Допускается ввод только неотрицательных целых чисел!" sqref="AI347">
      <formula1>0</formula1>
      <formula2>9.99999999999999E+23</formula2>
    </dataValidation>
    <dataValidation type="whole" allowBlank="1" showErrorMessage="1" errorTitle="Ошибка" error="Допускается ввод только неотрицательных целых чисел!" sqref="AF347">
      <formula1>0</formula1>
      <formula2>9.99999999999999E+23</formula2>
    </dataValidation>
    <dataValidation type="whole" allowBlank="1" showErrorMessage="1" errorTitle="Ошибка" error="Допускается ввод только неотрицательных целых чисел!" sqref="AI346">
      <formula1>0</formula1>
      <formula2>9.99999999999999E+23</formula2>
    </dataValidation>
    <dataValidation type="whole" allowBlank="1" showErrorMessage="1" errorTitle="Ошибка" error="Допускается ввод только неотрицательных целых чисел!" sqref="AF346">
      <formula1>0</formula1>
      <formula2>9.99999999999999E+23</formula2>
    </dataValidation>
    <dataValidation type="textLength" operator="lessThanOrEqual" allowBlank="1" showInputMessage="1" showErrorMessage="1" errorTitle="Ошибка" error="Допускается ввод не более 900 символов!" sqref="K3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6">
      <formula1>"a"</formula1>
    </dataValidation>
    <dataValidation type="whole" allowBlank="1" showErrorMessage="1" errorTitle="Ошибка" error="Допускается ввод только неотрицательных целых чисел!" sqref="AI345">
      <formula1>0</formula1>
      <formula2>9.99999999999999E+23</formula2>
    </dataValidation>
    <dataValidation type="whole" allowBlank="1" showErrorMessage="1" errorTitle="Ошибка" error="Допускается ввод только неотрицательных целых чисел!" sqref="AF345">
      <formula1>0</formula1>
      <formula2>9.99999999999999E+23</formula2>
    </dataValidation>
    <dataValidation type="decimal" allowBlank="1" showErrorMessage="1" errorTitle="Ошибка" error="Допускается ввод только неотрицательных чисел!" sqref="AE345">
      <formula1>0</formula1>
      <formula2>9.99999999999999E+23</formula2>
    </dataValidation>
    <dataValidation type="decimal" allowBlank="1" showErrorMessage="1" errorTitle="Ошибка" error="Допускается ввод только неотрицательных чисел!" sqref="AC345">
      <formula1>0</formula1>
      <formula2>9.99999999999999E+23</formula2>
    </dataValidation>
    <dataValidation type="textLength" operator="lessThanOrEqual" allowBlank="1" showInputMessage="1" showErrorMessage="1" errorTitle="Ошибка" error="Допускается ввод не более 900 символов!" sqref="K3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5">
      <formula1>"a"</formula1>
    </dataValidation>
    <dataValidation type="whole" allowBlank="1" showErrorMessage="1" errorTitle="Ошибка" error="Допускается ввод только неотрицательных целых чисел!" sqref="AI344">
      <formula1>0</formula1>
      <formula2>9.99999999999999E+23</formula2>
    </dataValidation>
    <dataValidation type="whole" allowBlank="1" showErrorMessage="1" errorTitle="Ошибка" error="Допускается ввод только неотрицательных целых чисел!" sqref="AF344">
      <formula1>0</formula1>
      <formula2>9.99999999999999E+23</formula2>
    </dataValidation>
    <dataValidation type="textLength" operator="lessThanOrEqual" allowBlank="1" showInputMessage="1" showErrorMessage="1" errorTitle="Ошибка" error="Допускается ввод не более 900 символов!" sqref="K3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4">
      <formula1>"a"</formula1>
    </dataValidation>
    <dataValidation type="whole" allowBlank="1" showErrorMessage="1" errorTitle="Ошибка" error="Допускается ввод только неотрицательных целых чисел!" sqref="AI343">
      <formula1>0</formula1>
      <formula2>9.99999999999999E+23</formula2>
    </dataValidation>
    <dataValidation type="whole" allowBlank="1" showErrorMessage="1" errorTitle="Ошибка" error="Допускается ввод только неотрицательных целых чисел!" sqref="AF343">
      <formula1>0</formula1>
      <formula2>9.99999999999999E+23</formula2>
    </dataValidation>
    <dataValidation type="textLength" operator="lessThanOrEqual" allowBlank="1" showInputMessage="1" showErrorMessage="1" errorTitle="Ошибка" error="Допускается ввод не более 900 символов!" sqref="M343">
      <formula1>900</formula1>
    </dataValidation>
    <dataValidation type="textLength" operator="lessThanOrEqual" allowBlank="1" showInputMessage="1" showErrorMessage="1" errorTitle="Ошибка" error="Допускается ввод не более 900 символов!" sqref="K3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3">
      <formula1>"a"</formula1>
    </dataValidation>
    <dataValidation type="whole" allowBlank="1" showErrorMessage="1" errorTitle="Ошибка" error="Допускается ввод только неотрицательных целых чисел!" sqref="AI342">
      <formula1>0</formula1>
      <formula2>9.99999999999999E+23</formula2>
    </dataValidation>
    <dataValidation type="whole" allowBlank="1" showErrorMessage="1" errorTitle="Ошибка" error="Допускается ввод только неотрицательных целых чисел!" sqref="AF342">
      <formula1>0</formula1>
      <formula2>9.99999999999999E+23</formula2>
    </dataValidation>
    <dataValidation type="whole" allowBlank="1" showErrorMessage="1" errorTitle="Ошибка" error="Допускается ввод только неотрицательных целых чисел!" sqref="AI341">
      <formula1>0</formula1>
      <formula2>9.99999999999999E+23</formula2>
    </dataValidation>
    <dataValidation type="whole" allowBlank="1" showErrorMessage="1" errorTitle="Ошибка" error="Допускается ввод только неотрицательных целых чисел!" sqref="AF341">
      <formula1>0</formula1>
      <formula2>9.99999999999999E+23</formula2>
    </dataValidation>
    <dataValidation type="textLength" operator="lessThanOrEqual" allowBlank="1" showInputMessage="1" showErrorMessage="1" errorTitle="Ошибка" error="Допускается ввод не более 900 символов!" sqref="K3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1">
      <formula1>"a"</formula1>
    </dataValidation>
    <dataValidation type="whole" allowBlank="1" showErrorMessage="1" errorTitle="Ошибка" error="Допускается ввод только неотрицательных целых чисел!" sqref="AI340">
      <formula1>0</formula1>
      <formula2>9.99999999999999E+23</formula2>
    </dataValidation>
    <dataValidation type="whole" allowBlank="1" showErrorMessage="1" errorTitle="Ошибка" error="Допускается ввод только неотрицательных целых чисел!" sqref="AF340">
      <formula1>0</formula1>
      <formula2>9.99999999999999E+23</formula2>
    </dataValidation>
    <dataValidation type="decimal" allowBlank="1" showErrorMessage="1" errorTitle="Ошибка" error="Допускается ввод только неотрицательных чисел!" sqref="AE340">
      <formula1>0</formula1>
      <formula2>9.99999999999999E+23</formula2>
    </dataValidation>
    <dataValidation type="decimal" allowBlank="1" showErrorMessage="1" errorTitle="Ошибка" error="Допускается ввод только неотрицательных чисел!" sqref="AC340">
      <formula1>0</formula1>
      <formula2>9.99999999999999E+23</formula2>
    </dataValidation>
    <dataValidation type="textLength" operator="lessThanOrEqual" allowBlank="1" showInputMessage="1" showErrorMessage="1" errorTitle="Ошибка" error="Допускается ввод не более 900 символов!" sqref="K3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0">
      <formula1>"a"</formula1>
    </dataValidation>
    <dataValidation type="whole" allowBlank="1" showErrorMessage="1" errorTitle="Ошибка" error="Допускается ввод только неотрицательных целых чисел!" sqref="AI339">
      <formula1>0</formula1>
      <formula2>9.99999999999999E+23</formula2>
    </dataValidation>
    <dataValidation type="whole" allowBlank="1" showErrorMessage="1" errorTitle="Ошибка" error="Допускается ввод только неотрицательных целых чисел!" sqref="AF339">
      <formula1>0</formula1>
      <formula2>9.99999999999999E+23</formula2>
    </dataValidation>
    <dataValidation type="textLength" operator="lessThanOrEqual" allowBlank="1" showInputMessage="1" showErrorMessage="1" errorTitle="Ошибка" error="Допускается ввод не более 900 символов!" sqref="K3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9">
      <formula1>"a"</formula1>
    </dataValidation>
    <dataValidation type="whole" allowBlank="1" showErrorMessage="1" errorTitle="Ошибка" error="Допускается ввод только неотрицательных целых чисел!" sqref="AI338">
      <formula1>0</formula1>
      <formula2>9.99999999999999E+23</formula2>
    </dataValidation>
    <dataValidation type="whole" allowBlank="1" showErrorMessage="1" errorTitle="Ошибка" error="Допускается ввод только неотрицательных целых чисел!" sqref="AF338">
      <formula1>0</formula1>
      <formula2>9.99999999999999E+23</formula2>
    </dataValidation>
    <dataValidation type="textLength" operator="lessThanOrEqual" allowBlank="1" showInputMessage="1" showErrorMessage="1" errorTitle="Ошибка" error="Допускается ввод не более 900 символов!" sqref="M338">
      <formula1>900</formula1>
    </dataValidation>
    <dataValidation type="textLength" operator="lessThanOrEqual" allowBlank="1" showInputMessage="1" showErrorMessage="1" errorTitle="Ошибка" error="Допускается ввод не более 900 символов!" sqref="K3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8">
      <formula1>"a"</formula1>
    </dataValidation>
    <dataValidation type="whole" allowBlank="1" showErrorMessage="1" errorTitle="Ошибка" error="Допускается ввод только неотрицательных целых чисел!" sqref="AI465">
      <formula1>0</formula1>
      <formula2>9.99999999999999E+23</formula2>
    </dataValidation>
    <dataValidation type="whole" allowBlank="1" showErrorMessage="1" errorTitle="Ошибка" error="Допускается ввод только неотрицательных целых чисел!" sqref="AF465">
      <formula1>0</formula1>
      <formula2>9.99999999999999E+23</formula2>
    </dataValidation>
    <dataValidation type="whole" allowBlank="1" showErrorMessage="1" errorTitle="Ошибка" error="Допускается ввод только неотрицательных целых чисел!" sqref="AI464">
      <formula1>0</formula1>
      <formula2>9.99999999999999E+23</formula2>
    </dataValidation>
    <dataValidation type="whole" allowBlank="1" showErrorMessage="1" errorTitle="Ошибка" error="Допускается ввод только неотрицательных целых чисел!" sqref="AF464">
      <formula1>0</formula1>
      <formula2>9.99999999999999E+23</formula2>
    </dataValidation>
    <dataValidation type="textLength" operator="lessThanOrEqual" allowBlank="1" showInputMessage="1" showErrorMessage="1" errorTitle="Ошибка" error="Допускается ввод не более 900 символов!" sqref="K4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4">
      <formula1>"a"</formula1>
    </dataValidation>
    <dataValidation type="whole" allowBlank="1" showErrorMessage="1" errorTitle="Ошибка" error="Допускается ввод только неотрицательных целых чисел!" sqref="AI463">
      <formula1>0</formula1>
      <formula2>9.99999999999999E+23</formula2>
    </dataValidation>
    <dataValidation type="whole" allowBlank="1" showErrorMessage="1" errorTitle="Ошибка" error="Допускается ввод только неотрицательных целых чисел!" sqref="AF463">
      <formula1>0</formula1>
      <formula2>9.99999999999999E+23</formula2>
    </dataValidation>
    <dataValidation type="decimal" allowBlank="1" showErrorMessage="1" errorTitle="Ошибка" error="Допускается ввод только неотрицательных чисел!" sqref="AE463">
      <formula1>0</formula1>
      <formula2>9.99999999999999E+23</formula2>
    </dataValidation>
    <dataValidation type="decimal" allowBlank="1" showErrorMessage="1" errorTitle="Ошибка" error="Допускается ввод только неотрицательных чисел!" sqref="AC463">
      <formula1>0</formula1>
      <formula2>9.99999999999999E+23</formula2>
    </dataValidation>
    <dataValidation type="textLength" operator="lessThanOrEqual" allowBlank="1" showInputMessage="1" showErrorMessage="1" errorTitle="Ошибка" error="Допускается ввод не более 900 символов!" sqref="K4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3">
      <formula1>"a"</formula1>
    </dataValidation>
    <dataValidation type="whole" allowBlank="1" showErrorMessage="1" errorTitle="Ошибка" error="Допускается ввод только неотрицательных целых чисел!" sqref="AI462">
      <formula1>0</formula1>
      <formula2>9.99999999999999E+23</formula2>
    </dataValidation>
    <dataValidation type="whole" allowBlank="1" showErrorMessage="1" errorTitle="Ошибка" error="Допускается ввод только неотрицательных целых чисел!" sqref="AF462">
      <formula1>0</formula1>
      <formula2>9.99999999999999E+23</formula2>
    </dataValidation>
    <dataValidation type="textLength" operator="lessThanOrEqual" allowBlank="1" showInputMessage="1" showErrorMessage="1" errorTitle="Ошибка" error="Допускается ввод не более 900 символов!" sqref="K4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2">
      <formula1>"a"</formula1>
    </dataValidation>
    <dataValidation type="whole" allowBlank="1" showErrorMessage="1" errorTitle="Ошибка" error="Допускается ввод только неотрицательных целых чисел!" sqref="AI461">
      <formula1>0</formula1>
      <formula2>9.99999999999999E+23</formula2>
    </dataValidation>
    <dataValidation type="whole" allowBlank="1" showErrorMessage="1" errorTitle="Ошибка" error="Допускается ввод только неотрицательных целых чисел!" sqref="AF461">
      <formula1>0</formula1>
      <formula2>9.99999999999999E+23</formula2>
    </dataValidation>
    <dataValidation type="textLength" operator="lessThanOrEqual" allowBlank="1" showInputMessage="1" showErrorMessage="1" errorTitle="Ошибка" error="Допускается ввод не более 900 символов!" sqref="M461">
      <formula1>900</formula1>
    </dataValidation>
    <dataValidation type="textLength" operator="lessThanOrEqual" allowBlank="1" showInputMessage="1" showErrorMessage="1" errorTitle="Ошибка" error="Допускается ввод не более 900 символов!" sqref="K4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1">
      <formula1>"a"</formula1>
    </dataValidation>
    <dataValidation type="whole" allowBlank="1" showErrorMessage="1" errorTitle="Ошибка" error="Допускается ввод только неотрицательных целых чисел!" sqref="AI574">
      <formula1>0</formula1>
      <formula2>9.99999999999999E+23</formula2>
    </dataValidation>
    <dataValidation type="whole" allowBlank="1" showErrorMessage="1" errorTitle="Ошибка" error="Допускается ввод только неотрицательных целых чисел!" sqref="AF574">
      <formula1>0</formula1>
      <formula2>9.99999999999999E+23</formula2>
    </dataValidation>
    <dataValidation type="whole" allowBlank="1" showErrorMessage="1" errorTitle="Ошибка" error="Допускается ввод только неотрицательных целых чисел!" sqref="AI573">
      <formula1>0</formula1>
      <formula2>9.99999999999999E+23</formula2>
    </dataValidation>
    <dataValidation type="whole" allowBlank="1" showErrorMessage="1" errorTitle="Ошибка" error="Допускается ввод только неотрицательных целых чисел!" sqref="AF573">
      <formula1>0</formula1>
      <formula2>9.99999999999999E+23</formula2>
    </dataValidation>
    <dataValidation type="textLength" operator="lessThanOrEqual" allowBlank="1" showInputMessage="1" showErrorMessage="1" errorTitle="Ошибка" error="Допускается ввод не более 900 символов!" sqref="K5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3">
      <formula1>"a"</formula1>
    </dataValidation>
    <dataValidation type="whole" allowBlank="1" showErrorMessage="1" errorTitle="Ошибка" error="Допускается ввод только неотрицательных целых чисел!" sqref="AI572">
      <formula1>0</formula1>
      <formula2>9.99999999999999E+23</formula2>
    </dataValidation>
    <dataValidation type="whole" allowBlank="1" showErrorMessage="1" errorTitle="Ошибка" error="Допускается ввод только неотрицательных целых чисел!" sqref="AF572">
      <formula1>0</formula1>
      <formula2>9.99999999999999E+23</formula2>
    </dataValidation>
    <dataValidation type="decimal" allowBlank="1" showErrorMessage="1" errorTitle="Ошибка" error="Допускается ввод только неотрицательных чисел!" sqref="AE572">
      <formula1>0</formula1>
      <formula2>9.99999999999999E+23</formula2>
    </dataValidation>
    <dataValidation type="decimal" allowBlank="1" showErrorMessage="1" errorTitle="Ошибка" error="Допускается ввод только неотрицательных чисел!" sqref="AC572">
      <formula1>0</formula1>
      <formula2>9.99999999999999E+23</formula2>
    </dataValidation>
    <dataValidation type="textLength" operator="lessThanOrEqual" allowBlank="1" showInputMessage="1" showErrorMessage="1" errorTitle="Ошибка" error="Допускается ввод не более 900 символов!" sqref="K5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2">
      <formula1>"a"</formula1>
    </dataValidation>
    <dataValidation type="whole" allowBlank="1" showErrorMessage="1" errorTitle="Ошибка" error="Допускается ввод только неотрицательных целых чисел!" sqref="AI571">
      <formula1>0</formula1>
      <formula2>9.99999999999999E+23</formula2>
    </dataValidation>
    <dataValidation type="whole" allowBlank="1" showErrorMessage="1" errorTitle="Ошибка" error="Допускается ввод только неотрицательных целых чисел!" sqref="AF571">
      <formula1>0</formula1>
      <formula2>9.99999999999999E+23</formula2>
    </dataValidation>
    <dataValidation type="textLength" operator="lessThanOrEqual" allowBlank="1" showInputMessage="1" showErrorMessage="1" errorTitle="Ошибка" error="Допускается ввод не более 900 символов!" sqref="K5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1">
      <formula1>"a"</formula1>
    </dataValidation>
    <dataValidation type="whole" allowBlank="1" showErrorMessage="1" errorTitle="Ошибка" error="Допускается ввод только неотрицательных целых чисел!" sqref="AI570">
      <formula1>0</formula1>
      <formula2>9.99999999999999E+23</formula2>
    </dataValidation>
    <dataValidation type="whole" allowBlank="1" showErrorMessage="1" errorTitle="Ошибка" error="Допускается ввод только неотрицательных целых чисел!" sqref="AF570">
      <formula1>0</formula1>
      <formula2>9.99999999999999E+23</formula2>
    </dataValidation>
    <dataValidation type="textLength" operator="lessThanOrEqual" allowBlank="1" showInputMessage="1" showErrorMessage="1" errorTitle="Ошибка" error="Допускается ввод не более 900 символов!" sqref="M570">
      <formula1>900</formula1>
    </dataValidation>
    <dataValidation type="textLength" operator="lessThanOrEqual" allowBlank="1" showInputMessage="1" showErrorMessage="1" errorTitle="Ошибка" error="Допускается ввод не более 900 символов!" sqref="K5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0">
      <formula1>"a"</formula1>
    </dataValidation>
    <dataValidation type="whole" allowBlank="1" showErrorMessage="1" errorTitle="Ошибка" error="Допускается ввод только неотрицательных целых чисел!" sqref="AI337">
      <formula1>0</formula1>
      <formula2>9.99999999999999E+23</formula2>
    </dataValidation>
    <dataValidation type="whole" allowBlank="1" showErrorMessage="1" errorTitle="Ошибка" error="Допускается ввод только неотрицательных целых чисел!" sqref="AF337">
      <formula1>0</formula1>
      <formula2>9.99999999999999E+23</formula2>
    </dataValidation>
    <dataValidation type="whole" allowBlank="1" showErrorMessage="1" errorTitle="Ошибка" error="Допускается ввод только неотрицательных целых чисел!" sqref="AI336">
      <formula1>0</formula1>
      <formula2>9.99999999999999E+23</formula2>
    </dataValidation>
    <dataValidation type="whole" allowBlank="1" showErrorMessage="1" errorTitle="Ошибка" error="Допускается ввод только неотрицательных целых чисел!" sqref="AF336">
      <formula1>0</formula1>
      <formula2>9.99999999999999E+23</formula2>
    </dataValidation>
    <dataValidation type="textLength" operator="lessThanOrEqual" allowBlank="1" showInputMessage="1" showErrorMessage="1" errorTitle="Ошибка" error="Допускается ввод не более 900 символов!" sqref="K3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6">
      <formula1>"a"</formula1>
    </dataValidation>
    <dataValidation type="whole" allowBlank="1" showErrorMessage="1" errorTitle="Ошибка" error="Допускается ввод только неотрицательных целых чисел!" sqref="AI335">
      <formula1>0</formula1>
      <formula2>9.99999999999999E+23</formula2>
    </dataValidation>
    <dataValidation type="whole" allowBlank="1" showErrorMessage="1" errorTitle="Ошибка" error="Допускается ввод только неотрицательных целых чисел!" sqref="AF335">
      <formula1>0</formula1>
      <formula2>9.99999999999999E+23</formula2>
    </dataValidation>
    <dataValidation type="decimal" allowBlank="1" showErrorMessage="1" errorTitle="Ошибка" error="Допускается ввод только неотрицательных чисел!" sqref="AE335">
      <formula1>0</formula1>
      <formula2>9.99999999999999E+23</formula2>
    </dataValidation>
    <dataValidation type="decimal" allowBlank="1" showErrorMessage="1" errorTitle="Ошибка" error="Допускается ввод только неотрицательных чисел!" sqref="AC335">
      <formula1>0</formula1>
      <formula2>9.99999999999999E+23</formula2>
    </dataValidation>
    <dataValidation type="textLength" operator="lessThanOrEqual" allowBlank="1" showInputMessage="1" showErrorMessage="1" errorTitle="Ошибка" error="Допускается ввод не более 900 символов!" sqref="K3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5">
      <formula1>"a"</formula1>
    </dataValidation>
    <dataValidation type="whole" allowBlank="1" showErrorMessage="1" errorTitle="Ошибка" error="Допускается ввод только неотрицательных целых чисел!" sqref="AI334">
      <formula1>0</formula1>
      <formula2>9.99999999999999E+23</formula2>
    </dataValidation>
    <dataValidation type="whole" allowBlank="1" showErrorMessage="1" errorTitle="Ошибка" error="Допускается ввод только неотрицательных целых чисел!" sqref="AF334">
      <formula1>0</formula1>
      <formula2>9.99999999999999E+23</formula2>
    </dataValidation>
    <dataValidation type="textLength" operator="lessThanOrEqual" allowBlank="1" showInputMessage="1" showErrorMessage="1" errorTitle="Ошибка" error="Допускается ввод не более 900 символов!" sqref="K3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4">
      <formula1>"a"</formula1>
    </dataValidation>
    <dataValidation type="whole" allowBlank="1" showErrorMessage="1" errorTitle="Ошибка" error="Допускается ввод только неотрицательных целых чисел!" sqref="AI333">
      <formula1>0</formula1>
      <formula2>9.99999999999999E+23</formula2>
    </dataValidation>
    <dataValidation type="whole" allowBlank="1" showErrorMessage="1" errorTitle="Ошибка" error="Допускается ввод только неотрицательных целых чисел!" sqref="AF333">
      <formula1>0</formula1>
      <formula2>9.99999999999999E+23</formula2>
    </dataValidation>
    <dataValidation type="textLength" operator="lessThanOrEqual" allowBlank="1" showInputMessage="1" showErrorMessage="1" errorTitle="Ошибка" error="Допускается ввод не более 900 символов!" sqref="M333">
      <formula1>900</formula1>
    </dataValidation>
    <dataValidation type="textLength" operator="lessThanOrEqual" allowBlank="1" showInputMessage="1" showErrorMessage="1" errorTitle="Ошибка" error="Допускается ввод не более 900 символов!" sqref="K3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3">
      <formula1>"a"</formula1>
    </dataValidation>
    <dataValidation type="whole" allowBlank="1" showErrorMessage="1" errorTitle="Ошибка" error="Допускается ввод только неотрицательных целых чисел!" sqref="AI146">
      <formula1>0</formula1>
      <formula2>9.99999999999999E+23</formula2>
    </dataValidation>
    <dataValidation type="whole" allowBlank="1" showErrorMessage="1" errorTitle="Ошибка" error="Допускается ввод только неотрицательных целых чисел!" sqref="AF146">
      <formula1>0</formula1>
      <formula2>9.99999999999999E+23</formula2>
    </dataValidation>
    <dataValidation type="whole" allowBlank="1" showErrorMessage="1" errorTitle="Ошибка" error="Допускается ввод только неотрицательных целых чисел!" sqref="AI145">
      <formula1>0</formula1>
      <formula2>9.99999999999999E+23</formula2>
    </dataValidation>
    <dataValidation type="whole" allowBlank="1" showErrorMessage="1" errorTitle="Ошибка" error="Допускается ввод только неотрицательных целых чисел!" sqref="AF145">
      <formula1>0</formula1>
      <formula2>9.99999999999999E+23</formula2>
    </dataValidation>
    <dataValidation type="textLength" operator="lessThanOrEqual" allowBlank="1" showInputMessage="1" showErrorMessage="1" errorTitle="Ошибка" error="Допускается ввод не более 900 символов!" sqref="K1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5">
      <formula1>"a"</formula1>
    </dataValidation>
    <dataValidation type="whole" allowBlank="1" showErrorMessage="1" errorTitle="Ошибка" error="Допускается ввод только неотрицательных целых чисел!" sqref="AI144">
      <formula1>0</formula1>
      <formula2>9.99999999999999E+23</formula2>
    </dataValidation>
    <dataValidation type="whole" allowBlank="1" showErrorMessage="1" errorTitle="Ошибка" error="Допускается ввод только неотрицательных целых чисел!" sqref="AF144">
      <formula1>0</formula1>
      <formula2>9.99999999999999E+23</formula2>
    </dataValidation>
    <dataValidation type="decimal" allowBlank="1" showErrorMessage="1" errorTitle="Ошибка" error="Допускается ввод только неотрицательных чисел!" sqref="AE144">
      <formula1>0</formula1>
      <formula2>9.99999999999999E+23</formula2>
    </dataValidation>
    <dataValidation type="decimal" allowBlank="1" showErrorMessage="1" errorTitle="Ошибка" error="Допускается ввод только неотрицательных чисел!" sqref="AC144">
      <formula1>0</formula1>
      <formula2>9.99999999999999E+23</formula2>
    </dataValidation>
    <dataValidation type="textLength" operator="lessThanOrEqual" allowBlank="1" showInputMessage="1" showErrorMessage="1" errorTitle="Ошибка" error="Допускается ввод не более 900 символов!" sqref="K1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4">
      <formula1>"a"</formula1>
    </dataValidation>
    <dataValidation type="whole" allowBlank="1" showErrorMessage="1" errorTitle="Ошибка" error="Допускается ввод только неотрицательных целых чисел!" sqref="AI143">
      <formula1>0</formula1>
      <formula2>9.99999999999999E+23</formula2>
    </dataValidation>
    <dataValidation type="whole" allowBlank="1" showErrorMessage="1" errorTitle="Ошибка" error="Допускается ввод только неотрицательных целых чисел!" sqref="AF143">
      <formula1>0</formula1>
      <formula2>9.99999999999999E+23</formula2>
    </dataValidation>
    <dataValidation type="textLength" operator="lessThanOrEqual" allowBlank="1" showInputMessage="1" showErrorMessage="1" errorTitle="Ошибка" error="Допускается ввод не более 900 символов!" sqref="K1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3">
      <formula1>"a"</formula1>
    </dataValidation>
    <dataValidation type="whole" allowBlank="1" showErrorMessage="1" errorTitle="Ошибка" error="Допускается ввод только неотрицательных целых чисел!" sqref="AI142">
      <formula1>0</formula1>
      <formula2>9.99999999999999E+23</formula2>
    </dataValidation>
    <dataValidation type="whole" allowBlank="1" showErrorMessage="1" errorTitle="Ошибка" error="Допускается ввод только неотрицательных целых чисел!" sqref="AF142">
      <formula1>0</formula1>
      <formula2>9.99999999999999E+23</formula2>
    </dataValidation>
    <dataValidation type="textLength" operator="lessThanOrEqual" allowBlank="1" showInputMessage="1" showErrorMessage="1" errorTitle="Ошибка" error="Допускается ввод не более 900 символов!" sqref="M142">
      <formula1>900</formula1>
    </dataValidation>
    <dataValidation type="textLength" operator="lessThanOrEqual" allowBlank="1" showInputMessage="1" showErrorMessage="1" errorTitle="Ошибка" error="Допускается ввод не более 900 символов!" sqref="K1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2">
      <formula1>"a"</formula1>
    </dataValidation>
    <dataValidation type="whole" allowBlank="1" showErrorMessage="1" errorTitle="Ошибка" error="Допускается ввод только неотрицательных целых чисел!" sqref="AI460">
      <formula1>0</formula1>
      <formula2>9.99999999999999E+23</formula2>
    </dataValidation>
    <dataValidation type="whole" allowBlank="1" showErrorMessage="1" errorTitle="Ошибка" error="Допускается ввод только неотрицательных целых чисел!" sqref="AF460">
      <formula1>0</formula1>
      <formula2>9.99999999999999E+23</formula2>
    </dataValidation>
    <dataValidation type="whole" allowBlank="1" showErrorMessage="1" errorTitle="Ошибка" error="Допускается ввод только неотрицательных целых чисел!" sqref="AI459">
      <formula1>0</formula1>
      <formula2>9.99999999999999E+23</formula2>
    </dataValidation>
    <dataValidation type="whole" allowBlank="1" showErrorMessage="1" errorTitle="Ошибка" error="Допускается ввод только неотрицательных целых чисел!" sqref="AF459">
      <formula1>0</formula1>
      <formula2>9.99999999999999E+23</formula2>
    </dataValidation>
    <dataValidation type="textLength" operator="lessThanOrEqual" allowBlank="1" showInputMessage="1" showErrorMessage="1" errorTitle="Ошибка" error="Допускается ввод не более 900 символов!" sqref="K4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9">
      <formula1>"a"</formula1>
    </dataValidation>
    <dataValidation type="whole" allowBlank="1" showErrorMessage="1" errorTitle="Ошибка" error="Допускается ввод только неотрицательных целых чисел!" sqref="AI458">
      <formula1>0</formula1>
      <formula2>9.99999999999999E+23</formula2>
    </dataValidation>
    <dataValidation type="whole" allowBlank="1" showErrorMessage="1" errorTitle="Ошибка" error="Допускается ввод только неотрицательных целых чисел!" sqref="AF458">
      <formula1>0</formula1>
      <formula2>9.99999999999999E+23</formula2>
    </dataValidation>
    <dataValidation type="decimal" allowBlank="1" showErrorMessage="1" errorTitle="Ошибка" error="Допускается ввод только неотрицательных чисел!" sqref="AE458">
      <formula1>0</formula1>
      <formula2>9.99999999999999E+23</formula2>
    </dataValidation>
    <dataValidation type="decimal" allowBlank="1" showErrorMessage="1" errorTitle="Ошибка" error="Допускается ввод только неотрицательных чисел!" sqref="AC458">
      <formula1>0</formula1>
      <formula2>9.99999999999999E+23</formula2>
    </dataValidation>
    <dataValidation type="textLength" operator="lessThanOrEqual" allowBlank="1" showInputMessage="1" showErrorMessage="1" errorTitle="Ошибка" error="Допускается ввод не более 900 символов!" sqref="K4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8">
      <formula1>"a"</formula1>
    </dataValidation>
    <dataValidation type="whole" allowBlank="1" showErrorMessage="1" errorTitle="Ошибка" error="Допускается ввод только неотрицательных целых чисел!" sqref="AI457">
      <formula1>0</formula1>
      <formula2>9.99999999999999E+23</formula2>
    </dataValidation>
    <dataValidation type="whole" allowBlank="1" showErrorMessage="1" errorTitle="Ошибка" error="Допускается ввод только неотрицательных целых чисел!" sqref="AF457">
      <formula1>0</formula1>
      <formula2>9.99999999999999E+23</formula2>
    </dataValidation>
    <dataValidation type="textLength" operator="lessThanOrEqual" allowBlank="1" showInputMessage="1" showErrorMessage="1" errorTitle="Ошибка" error="Допускается ввод не более 900 символов!" sqref="K4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7">
      <formula1>"a"</formula1>
    </dataValidation>
    <dataValidation type="whole" allowBlank="1" showErrorMessage="1" errorTitle="Ошибка" error="Допускается ввод только неотрицательных целых чисел!" sqref="AI456">
      <formula1>0</formula1>
      <formula2>9.99999999999999E+23</formula2>
    </dataValidation>
    <dataValidation type="whole" allowBlank="1" showErrorMessage="1" errorTitle="Ошибка" error="Допускается ввод только неотрицательных целых чисел!" sqref="AF456">
      <formula1>0</formula1>
      <formula2>9.99999999999999E+23</formula2>
    </dataValidation>
    <dataValidation type="textLength" operator="lessThanOrEqual" allowBlank="1" showInputMessage="1" showErrorMessage="1" errorTitle="Ошибка" error="Допускается ввод не более 900 символов!" sqref="M456">
      <formula1>900</formula1>
    </dataValidation>
    <dataValidation type="textLength" operator="lessThanOrEqual" allowBlank="1" showInputMessage="1" showErrorMessage="1" errorTitle="Ошибка" error="Допускается ввод не более 900 символов!" sqref="K4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6">
      <formula1>"a"</formula1>
    </dataValidation>
    <dataValidation type="whole" allowBlank="1" showErrorMessage="1" errorTitle="Ошибка" error="Допускается ввод только неотрицательных целых чисел!" sqref="AI332">
      <formula1>0</formula1>
      <formula2>9.99999999999999E+23</formula2>
    </dataValidation>
    <dataValidation type="whole" allowBlank="1" showErrorMessage="1" errorTitle="Ошибка" error="Допускается ввод только неотрицательных целых чисел!" sqref="AF332">
      <formula1>0</formula1>
      <formula2>9.99999999999999E+23</formula2>
    </dataValidation>
    <dataValidation type="whole" allowBlank="1" showErrorMessage="1" errorTitle="Ошибка" error="Допускается ввод только неотрицательных целых чисел!" sqref="AI331">
      <formula1>0</formula1>
      <formula2>9.99999999999999E+23</formula2>
    </dataValidation>
    <dataValidation type="whole" allowBlank="1" showErrorMessage="1" errorTitle="Ошибка" error="Допускается ввод только неотрицательных целых чисел!" sqref="AF331">
      <formula1>0</formula1>
      <formula2>9.99999999999999E+23</formula2>
    </dataValidation>
    <dataValidation type="textLength" operator="lessThanOrEqual" allowBlank="1" showInputMessage="1" showErrorMessage="1" errorTitle="Ошибка" error="Допускается ввод не более 900 символов!" sqref="K3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1">
      <formula1>"a"</formula1>
    </dataValidation>
    <dataValidation type="whole" allowBlank="1" showErrorMessage="1" errorTitle="Ошибка" error="Допускается ввод только неотрицательных целых чисел!" sqref="AI330">
      <formula1>0</formula1>
      <formula2>9.99999999999999E+23</formula2>
    </dataValidation>
    <dataValidation type="whole" allowBlank="1" showErrorMessage="1" errorTitle="Ошибка" error="Допускается ввод только неотрицательных целых чисел!" sqref="AF330">
      <formula1>0</formula1>
      <formula2>9.99999999999999E+23</formula2>
    </dataValidation>
    <dataValidation type="decimal" allowBlank="1" showErrorMessage="1" errorTitle="Ошибка" error="Допускается ввод только неотрицательных чисел!" sqref="AE330">
      <formula1>0</formula1>
      <formula2>9.99999999999999E+23</formula2>
    </dataValidation>
    <dataValidation type="decimal" allowBlank="1" showErrorMessage="1" errorTitle="Ошибка" error="Допускается ввод только неотрицательных чисел!" sqref="AC330">
      <formula1>0</formula1>
      <formula2>9.99999999999999E+23</formula2>
    </dataValidation>
    <dataValidation type="textLength" operator="lessThanOrEqual" allowBlank="1" showInputMessage="1" showErrorMessage="1" errorTitle="Ошибка" error="Допускается ввод не более 900 символов!" sqref="K3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0">
      <formula1>"a"</formula1>
    </dataValidation>
    <dataValidation type="whole" allowBlank="1" showErrorMessage="1" errorTitle="Ошибка" error="Допускается ввод только неотрицательных целых чисел!" sqref="AI329">
      <formula1>0</formula1>
      <formula2>9.99999999999999E+23</formula2>
    </dataValidation>
    <dataValidation type="whole" allowBlank="1" showErrorMessage="1" errorTitle="Ошибка" error="Допускается ввод только неотрицательных целых чисел!" sqref="AF329">
      <formula1>0</formula1>
      <formula2>9.99999999999999E+23</formula2>
    </dataValidation>
    <dataValidation type="textLength" operator="lessThanOrEqual" allowBlank="1" showInputMessage="1" showErrorMessage="1" errorTitle="Ошибка" error="Допускается ввод не более 900 символов!" sqref="K3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9">
      <formula1>"a"</formula1>
    </dataValidation>
    <dataValidation type="whole" allowBlank="1" showErrorMessage="1" errorTitle="Ошибка" error="Допускается ввод только неотрицательных целых чисел!" sqref="AI328">
      <formula1>0</formula1>
      <formula2>9.99999999999999E+23</formula2>
    </dataValidation>
    <dataValidation type="whole" allowBlank="1" showErrorMessage="1" errorTitle="Ошибка" error="Допускается ввод только неотрицательных целых чисел!" sqref="AF328">
      <formula1>0</formula1>
      <formula2>9.99999999999999E+23</formula2>
    </dataValidation>
    <dataValidation type="textLength" operator="lessThanOrEqual" allowBlank="1" showInputMessage="1" showErrorMessage="1" errorTitle="Ошибка" error="Допускается ввод не более 900 символов!" sqref="M328">
      <formula1>900</formula1>
    </dataValidation>
    <dataValidation type="textLength" operator="lessThanOrEqual" allowBlank="1" showInputMessage="1" showErrorMessage="1" errorTitle="Ошибка" error="Допускается ввод не более 900 символов!" sqref="K3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8">
      <formula1>"a"</formula1>
    </dataValidation>
    <dataValidation type="whole" allowBlank="1" showErrorMessage="1" errorTitle="Ошибка" error="Допускается ввод только неотрицательных целых чисел!" sqref="AI327">
      <formula1>0</formula1>
      <formula2>9.99999999999999E+23</formula2>
    </dataValidation>
    <dataValidation type="whole" allowBlank="1" showErrorMessage="1" errorTitle="Ошибка" error="Допускается ввод только неотрицательных целых чисел!" sqref="AF327">
      <formula1>0</formula1>
      <formula2>9.99999999999999E+23</formula2>
    </dataValidation>
    <dataValidation type="whole" allowBlank="1" showErrorMessage="1" errorTitle="Ошибка" error="Допускается ввод только неотрицательных целых чисел!" sqref="AI326">
      <formula1>0</formula1>
      <formula2>9.99999999999999E+23</formula2>
    </dataValidation>
    <dataValidation type="whole" allowBlank="1" showErrorMessage="1" errorTitle="Ошибка" error="Допускается ввод только неотрицательных целых чисел!" sqref="AF326">
      <formula1>0</formula1>
      <formula2>9.99999999999999E+23</formula2>
    </dataValidation>
    <dataValidation type="textLength" operator="lessThanOrEqual" allowBlank="1" showInputMessage="1" showErrorMessage="1" errorTitle="Ошибка" error="Допускается ввод не более 900 символов!" sqref="K3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6">
      <formula1>"a"</formula1>
    </dataValidation>
    <dataValidation type="whole" allowBlank="1" showErrorMessage="1" errorTitle="Ошибка" error="Допускается ввод только неотрицательных целых чисел!" sqref="AI325">
      <formula1>0</formula1>
      <formula2>9.99999999999999E+23</formula2>
    </dataValidation>
    <dataValidation type="whole" allowBlank="1" showErrorMessage="1" errorTitle="Ошибка" error="Допускается ввод только неотрицательных целых чисел!" sqref="AF325">
      <formula1>0</formula1>
      <formula2>9.99999999999999E+23</formula2>
    </dataValidation>
    <dataValidation type="decimal" allowBlank="1" showErrorMessage="1" errorTitle="Ошибка" error="Допускается ввод только неотрицательных чисел!" sqref="AE325">
      <formula1>0</formula1>
      <formula2>9.99999999999999E+23</formula2>
    </dataValidation>
    <dataValidation type="decimal" allowBlank="1" showErrorMessage="1" errorTitle="Ошибка" error="Допускается ввод только неотрицательных чисел!" sqref="AC325">
      <formula1>0</formula1>
      <formula2>9.99999999999999E+23</formula2>
    </dataValidation>
    <dataValidation type="textLength" operator="lessThanOrEqual" allowBlank="1" showInputMessage="1" showErrorMessage="1" errorTitle="Ошибка" error="Допускается ввод не более 900 символов!" sqref="K3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5">
      <formula1>"a"</formula1>
    </dataValidation>
    <dataValidation type="whole" allowBlank="1" showErrorMessage="1" errorTitle="Ошибка" error="Допускается ввод только неотрицательных целых чисел!" sqref="AI324">
      <formula1>0</formula1>
      <formula2>9.99999999999999E+23</formula2>
    </dataValidation>
    <dataValidation type="whole" allowBlank="1" showErrorMessage="1" errorTitle="Ошибка" error="Допускается ввод только неотрицательных целых чисел!" sqref="AF324">
      <formula1>0</formula1>
      <formula2>9.99999999999999E+23</formula2>
    </dataValidation>
    <dataValidation type="textLength" operator="lessThanOrEqual" allowBlank="1" showInputMessage="1" showErrorMessage="1" errorTitle="Ошибка" error="Допускается ввод не более 900 символов!" sqref="K3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4">
      <formula1>"a"</formula1>
    </dataValidation>
    <dataValidation type="whole" allowBlank="1" showErrorMessage="1" errorTitle="Ошибка" error="Допускается ввод только неотрицательных целых чисел!" sqref="AI323">
      <formula1>0</formula1>
      <formula2>9.99999999999999E+23</formula2>
    </dataValidation>
    <dataValidation type="whole" allowBlank="1" showErrorMessage="1" errorTitle="Ошибка" error="Допускается ввод только неотрицательных целых чисел!" sqref="AF323">
      <formula1>0</formula1>
      <formula2>9.99999999999999E+23</formula2>
    </dataValidation>
    <dataValidation type="textLength" operator="lessThanOrEqual" allowBlank="1" showInputMessage="1" showErrorMessage="1" errorTitle="Ошибка" error="Допускается ввод не более 900 символов!" sqref="M323">
      <formula1>900</formula1>
    </dataValidation>
    <dataValidation type="textLength" operator="lessThanOrEqual" allowBlank="1" showInputMessage="1" showErrorMessage="1" errorTitle="Ошибка" error="Допускается ввод не более 900 символов!" sqref="K3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3">
      <formula1>"a"</formula1>
    </dataValidation>
    <dataValidation type="whole" allowBlank="1" showErrorMessage="1" errorTitle="Ошибка" error="Допускается ввод только неотрицательных целых чисел!" sqref="AI141">
      <formula1>0</formula1>
      <formula2>9.99999999999999E+23</formula2>
    </dataValidation>
    <dataValidation type="whole" allowBlank="1" showErrorMessage="1" errorTitle="Ошибка" error="Допускается ввод только неотрицательных целых чисел!" sqref="AF141">
      <formula1>0</formula1>
      <formula2>9.99999999999999E+23</formula2>
    </dataValidation>
    <dataValidation type="whole" allowBlank="1" showErrorMessage="1" errorTitle="Ошибка" error="Допускается ввод только неотрицательных целых чисел!" sqref="AI140">
      <formula1>0</formula1>
      <formula2>9.99999999999999E+23</formula2>
    </dataValidation>
    <dataValidation type="whole" allowBlank="1" showErrorMessage="1" errorTitle="Ошибка" error="Допускается ввод только неотрицательных целых чисел!" sqref="AF140">
      <formula1>0</formula1>
      <formula2>9.99999999999999E+23</formula2>
    </dataValidation>
    <dataValidation type="textLength" operator="lessThanOrEqual" allowBlank="1" showInputMessage="1" showErrorMessage="1" errorTitle="Ошибка" error="Допускается ввод не более 900 символов!" sqref="K1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0">
      <formula1>"a"</formula1>
    </dataValidation>
    <dataValidation type="whole" allowBlank="1" showErrorMessage="1" errorTitle="Ошибка" error="Допускается ввод только неотрицательных целых чисел!" sqref="AI139">
      <formula1>0</formula1>
      <formula2>9.99999999999999E+23</formula2>
    </dataValidation>
    <dataValidation type="whole" allowBlank="1" showErrorMessage="1" errorTitle="Ошибка" error="Допускается ввод только неотрицательных целых чисел!" sqref="AF139">
      <formula1>0</formula1>
      <formula2>9.99999999999999E+23</formula2>
    </dataValidation>
    <dataValidation type="decimal" allowBlank="1" showErrorMessage="1" errorTitle="Ошибка" error="Допускается ввод только неотрицательных чисел!" sqref="AE139">
      <formula1>0</formula1>
      <formula2>9.99999999999999E+23</formula2>
    </dataValidation>
    <dataValidation type="decimal" allowBlank="1" showErrorMessage="1" errorTitle="Ошибка" error="Допускается ввод только неотрицательных чисел!" sqref="AC139">
      <formula1>0</formula1>
      <formula2>9.99999999999999E+23</formula2>
    </dataValidation>
    <dataValidation type="textLength" operator="lessThanOrEqual" allowBlank="1" showInputMessage="1" showErrorMessage="1" errorTitle="Ошибка" error="Допускается ввод не более 900 символов!" sqref="K1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9">
      <formula1>"a"</formula1>
    </dataValidation>
    <dataValidation type="whole" allowBlank="1" showErrorMessage="1" errorTitle="Ошибка" error="Допускается ввод только неотрицательных целых чисел!" sqref="AI138">
      <formula1>0</formula1>
      <formula2>9.99999999999999E+23</formula2>
    </dataValidation>
    <dataValidation type="whole" allowBlank="1" showErrorMessage="1" errorTitle="Ошибка" error="Допускается ввод только неотрицательных целых чисел!" sqref="AF138">
      <formula1>0</formula1>
      <formula2>9.99999999999999E+23</formula2>
    </dataValidation>
    <dataValidation type="textLength" operator="lessThanOrEqual" allowBlank="1" showInputMessage="1" showErrorMessage="1" errorTitle="Ошибка" error="Допускается ввод не более 900 символов!" sqref="K1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8">
      <formula1>"a"</formula1>
    </dataValidation>
    <dataValidation type="whole" allowBlank="1" showErrorMessage="1" errorTitle="Ошибка" error="Допускается ввод только неотрицательных целых чисел!" sqref="AI137">
      <formula1>0</formula1>
      <formula2>9.99999999999999E+23</formula2>
    </dataValidation>
    <dataValidation type="whole" allowBlank="1" showErrorMessage="1" errorTitle="Ошибка" error="Допускается ввод только неотрицательных целых чисел!" sqref="AF137">
      <formula1>0</formula1>
      <formula2>9.99999999999999E+23</formula2>
    </dataValidation>
    <dataValidation type="textLength" operator="lessThanOrEqual" allowBlank="1" showInputMessage="1" showErrorMessage="1" errorTitle="Ошибка" error="Допускается ввод не более 900 символов!" sqref="M137">
      <formula1>900</formula1>
    </dataValidation>
    <dataValidation type="textLength" operator="lessThanOrEqual" allowBlank="1" showInputMessage="1" showErrorMessage="1" errorTitle="Ошибка" error="Допускается ввод не более 900 символов!" sqref="K1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7">
      <formula1>"a"</formula1>
    </dataValidation>
    <dataValidation type="whole" allowBlank="1" showErrorMessage="1" errorTitle="Ошибка" error="Допускается ввод только неотрицательных целых чисел!" sqref="AI322">
      <formula1>0</formula1>
      <formula2>9.99999999999999E+23</formula2>
    </dataValidation>
    <dataValidation type="whole" allowBlank="1" showErrorMessage="1" errorTitle="Ошибка" error="Допускается ввод только неотрицательных целых чисел!" sqref="AF322">
      <formula1>0</formula1>
      <formula2>9.99999999999999E+23</formula2>
    </dataValidation>
    <dataValidation type="whole" allowBlank="1" showErrorMessage="1" errorTitle="Ошибка" error="Допускается ввод только неотрицательных целых чисел!" sqref="AI321">
      <formula1>0</formula1>
      <formula2>9.99999999999999E+23</formula2>
    </dataValidation>
    <dataValidation type="whole" allowBlank="1" showErrorMessage="1" errorTitle="Ошибка" error="Допускается ввод только неотрицательных целых чисел!" sqref="AF321">
      <formula1>0</formula1>
      <formula2>9.99999999999999E+23</formula2>
    </dataValidation>
    <dataValidation type="textLength" operator="lessThanOrEqual" allowBlank="1" showInputMessage="1" showErrorMessage="1" errorTitle="Ошибка" error="Допускается ввод не более 900 символов!" sqref="K3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1">
      <formula1>"a"</formula1>
    </dataValidation>
    <dataValidation type="whole" allowBlank="1" showErrorMessage="1" errorTitle="Ошибка" error="Допускается ввод только неотрицательных целых чисел!" sqref="AI320">
      <formula1>0</formula1>
      <formula2>9.99999999999999E+23</formula2>
    </dataValidation>
    <dataValidation type="whole" allowBlank="1" showErrorMessage="1" errorTitle="Ошибка" error="Допускается ввод только неотрицательных целых чисел!" sqref="AF320">
      <formula1>0</formula1>
      <formula2>9.99999999999999E+23</formula2>
    </dataValidation>
    <dataValidation type="decimal" allowBlank="1" showErrorMessage="1" errorTitle="Ошибка" error="Допускается ввод только неотрицательных чисел!" sqref="AE320">
      <formula1>0</formula1>
      <formula2>9.99999999999999E+23</formula2>
    </dataValidation>
    <dataValidation type="decimal" allowBlank="1" showErrorMessage="1" errorTitle="Ошибка" error="Допускается ввод только неотрицательных чисел!" sqref="AC320">
      <formula1>0</formula1>
      <formula2>9.99999999999999E+23</formula2>
    </dataValidation>
    <dataValidation type="textLength" operator="lessThanOrEqual" allowBlank="1" showInputMessage="1" showErrorMessage="1" errorTitle="Ошибка" error="Допускается ввод не более 900 символов!" sqref="K3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0">
      <formula1>"a"</formula1>
    </dataValidation>
    <dataValidation type="whole" allowBlank="1" showErrorMessage="1" errorTitle="Ошибка" error="Допускается ввод только неотрицательных целых чисел!" sqref="AI319">
      <formula1>0</formula1>
      <formula2>9.99999999999999E+23</formula2>
    </dataValidation>
    <dataValidation type="whole" allowBlank="1" showErrorMessage="1" errorTitle="Ошибка" error="Допускается ввод только неотрицательных целых чисел!" sqref="AF319">
      <formula1>0</formula1>
      <formula2>9.99999999999999E+23</formula2>
    </dataValidation>
    <dataValidation type="textLength" operator="lessThanOrEqual" allowBlank="1" showInputMessage="1" showErrorMessage="1" errorTitle="Ошибка" error="Допускается ввод не более 900 символов!" sqref="K3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9">
      <formula1>"a"</formula1>
    </dataValidation>
    <dataValidation type="whole" allowBlank="1" showErrorMessage="1" errorTitle="Ошибка" error="Допускается ввод только неотрицательных целых чисел!" sqref="AI318">
      <formula1>0</formula1>
      <formula2>9.99999999999999E+23</formula2>
    </dataValidation>
    <dataValidation type="whole" allowBlank="1" showErrorMessage="1" errorTitle="Ошибка" error="Допускается ввод только неотрицательных целых чисел!" sqref="AF318">
      <formula1>0</formula1>
      <formula2>9.99999999999999E+23</formula2>
    </dataValidation>
    <dataValidation type="textLength" operator="lessThanOrEqual" allowBlank="1" showInputMessage="1" showErrorMessage="1" errorTitle="Ошибка" error="Допускается ввод не более 900 символов!" sqref="M318">
      <formula1>900</formula1>
    </dataValidation>
    <dataValidation type="textLength" operator="lessThanOrEqual" allowBlank="1" showInputMessage="1" showErrorMessage="1" errorTitle="Ошибка" error="Допускается ввод не более 900 символов!" sqref="K3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8">
      <formula1>"a"</formula1>
    </dataValidation>
    <dataValidation type="whole" allowBlank="1" showErrorMessage="1" errorTitle="Ошибка" error="Допускается ввод только неотрицательных целых чисел!" sqref="AI317">
      <formula1>0</formula1>
      <formula2>9.99999999999999E+23</formula2>
    </dataValidation>
    <dataValidation type="whole" allowBlank="1" showErrorMessage="1" errorTitle="Ошибка" error="Допускается ввод только неотрицательных целых чисел!" sqref="AF317">
      <formula1>0</formula1>
      <formula2>9.99999999999999E+23</formula2>
    </dataValidation>
    <dataValidation type="whole" allowBlank="1" showErrorMessage="1" errorTitle="Ошибка" error="Допускается ввод только неотрицательных целых чисел!" sqref="AI316">
      <formula1>0</formula1>
      <formula2>9.99999999999999E+23</formula2>
    </dataValidation>
    <dataValidation type="whole" allowBlank="1" showErrorMessage="1" errorTitle="Ошибка" error="Допускается ввод только неотрицательных целых чисел!" sqref="AF316">
      <formula1>0</formula1>
      <formula2>9.99999999999999E+23</formula2>
    </dataValidation>
    <dataValidation type="textLength" operator="lessThanOrEqual" allowBlank="1" showInputMessage="1" showErrorMessage="1" errorTitle="Ошибка" error="Допускается ввод не более 900 символов!" sqref="K3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6">
      <formula1>"a"</formula1>
    </dataValidation>
    <dataValidation type="whole" allowBlank="1" showErrorMessage="1" errorTitle="Ошибка" error="Допускается ввод только неотрицательных целых чисел!" sqref="AI315">
      <formula1>0</formula1>
      <formula2>9.99999999999999E+23</formula2>
    </dataValidation>
    <dataValidation type="whole" allowBlank="1" showErrorMessage="1" errorTitle="Ошибка" error="Допускается ввод только неотрицательных целых чисел!" sqref="AF315">
      <formula1>0</formula1>
      <formula2>9.99999999999999E+23</formula2>
    </dataValidation>
    <dataValidation type="decimal" allowBlank="1" showErrorMessage="1" errorTitle="Ошибка" error="Допускается ввод только неотрицательных чисел!" sqref="AE315">
      <formula1>0</formula1>
      <formula2>9.99999999999999E+23</formula2>
    </dataValidation>
    <dataValidation type="decimal" allowBlank="1" showErrorMessage="1" errorTitle="Ошибка" error="Допускается ввод только неотрицательных чисел!" sqref="AC315">
      <formula1>0</formula1>
      <formula2>9.99999999999999E+23</formula2>
    </dataValidation>
    <dataValidation type="textLength" operator="lessThanOrEqual" allowBlank="1" showInputMessage="1" showErrorMessage="1" errorTitle="Ошибка" error="Допускается ввод не более 900 символов!" sqref="K3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5">
      <formula1>"a"</formula1>
    </dataValidation>
    <dataValidation type="whole" allowBlank="1" showErrorMessage="1" errorTitle="Ошибка" error="Допускается ввод только неотрицательных целых чисел!" sqref="AI314">
      <formula1>0</formula1>
      <formula2>9.99999999999999E+23</formula2>
    </dataValidation>
    <dataValidation type="whole" allowBlank="1" showErrorMessage="1" errorTitle="Ошибка" error="Допускается ввод только неотрицательных целых чисел!" sqref="AF314">
      <formula1>0</formula1>
      <formula2>9.99999999999999E+23</formula2>
    </dataValidation>
    <dataValidation type="textLength" operator="lessThanOrEqual" allowBlank="1" showInputMessage="1" showErrorMessage="1" errorTitle="Ошибка" error="Допускается ввод не более 900 символов!" sqref="K3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4">
      <formula1>"a"</formula1>
    </dataValidation>
    <dataValidation type="whole" allowBlank="1" showErrorMessage="1" errorTitle="Ошибка" error="Допускается ввод только неотрицательных целых чисел!" sqref="AI313">
      <formula1>0</formula1>
      <formula2>9.99999999999999E+23</formula2>
    </dataValidation>
    <dataValidation type="whole" allowBlank="1" showErrorMessage="1" errorTitle="Ошибка" error="Допускается ввод только неотрицательных целых чисел!" sqref="AF313">
      <formula1>0</formula1>
      <formula2>9.99999999999999E+23</formula2>
    </dataValidation>
    <dataValidation type="textLength" operator="lessThanOrEqual" allowBlank="1" showInputMessage="1" showErrorMessage="1" errorTitle="Ошибка" error="Допускается ввод не более 900 символов!" sqref="M313">
      <formula1>900</formula1>
    </dataValidation>
    <dataValidation type="textLength" operator="lessThanOrEqual" allowBlank="1" showInputMessage="1" showErrorMessage="1" errorTitle="Ошибка" error="Допускается ввод не более 900 символов!" sqref="K3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3">
      <formula1>"a"</formula1>
    </dataValidation>
    <dataValidation type="whole" allowBlank="1" showErrorMessage="1" errorTitle="Ошибка" error="Допускается ввод только неотрицательных целых чисел!" sqref="AI312">
      <formula1>0</formula1>
      <formula2>9.99999999999999E+23</formula2>
    </dataValidation>
    <dataValidation type="whole" allowBlank="1" showErrorMessage="1" errorTitle="Ошибка" error="Допускается ввод только неотрицательных целых чисел!" sqref="AF312">
      <formula1>0</formula1>
      <formula2>9.99999999999999E+23</formula2>
    </dataValidation>
    <dataValidation type="whole" allowBlank="1" showErrorMessage="1" errorTitle="Ошибка" error="Допускается ввод только неотрицательных целых чисел!" sqref="AI311">
      <formula1>0</formula1>
      <formula2>9.99999999999999E+23</formula2>
    </dataValidation>
    <dataValidation type="whole" allowBlank="1" showErrorMessage="1" errorTitle="Ошибка" error="Допускается ввод только неотрицательных целых чисел!" sqref="AF311">
      <formula1>0</formula1>
      <formula2>9.99999999999999E+23</formula2>
    </dataValidation>
    <dataValidation type="textLength" operator="lessThanOrEqual" allowBlank="1" showInputMessage="1" showErrorMessage="1" errorTitle="Ошибка" error="Допускается ввод не более 900 символов!" sqref="K3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1">
      <formula1>"a"</formula1>
    </dataValidation>
    <dataValidation type="whole" allowBlank="1" showErrorMessage="1" errorTitle="Ошибка" error="Допускается ввод только неотрицательных целых чисел!" sqref="AI310">
      <formula1>0</formula1>
      <formula2>9.99999999999999E+23</formula2>
    </dataValidation>
    <dataValidation type="whole" allowBlank="1" showErrorMessage="1" errorTitle="Ошибка" error="Допускается ввод только неотрицательных целых чисел!" sqref="AF310">
      <formula1>0</formula1>
      <formula2>9.99999999999999E+23</formula2>
    </dataValidation>
    <dataValidation type="decimal" allowBlank="1" showErrorMessage="1" errorTitle="Ошибка" error="Допускается ввод только неотрицательных чисел!" sqref="AE310">
      <formula1>0</formula1>
      <formula2>9.99999999999999E+23</formula2>
    </dataValidation>
    <dataValidation type="decimal" allowBlank="1" showErrorMessage="1" errorTitle="Ошибка" error="Допускается ввод только неотрицательных чисел!" sqref="AC310">
      <formula1>0</formula1>
      <formula2>9.99999999999999E+23</formula2>
    </dataValidation>
    <dataValidation type="textLength" operator="lessThanOrEqual" allowBlank="1" showInputMessage="1" showErrorMessage="1" errorTitle="Ошибка" error="Допускается ввод не более 900 символов!" sqref="K3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0">
      <formula1>"a"</formula1>
    </dataValidation>
    <dataValidation type="whole" allowBlank="1" showErrorMessage="1" errorTitle="Ошибка" error="Допускается ввод только неотрицательных целых чисел!" sqref="AI309">
      <formula1>0</formula1>
      <formula2>9.99999999999999E+23</formula2>
    </dataValidation>
    <dataValidation type="whole" allowBlank="1" showErrorMessage="1" errorTitle="Ошибка" error="Допускается ввод только неотрицательных целых чисел!" sqref="AF309">
      <formula1>0</formula1>
      <formula2>9.99999999999999E+23</formula2>
    </dataValidation>
    <dataValidation type="textLength" operator="lessThanOrEqual" allowBlank="1" showInputMessage="1" showErrorMessage="1" errorTitle="Ошибка" error="Допускается ввод не более 900 символов!" sqref="K3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9">
      <formula1>"a"</formula1>
    </dataValidation>
    <dataValidation type="whole" allowBlank="1" showErrorMessage="1" errorTitle="Ошибка" error="Допускается ввод только неотрицательных целых чисел!" sqref="AI308">
      <formula1>0</formula1>
      <formula2>9.99999999999999E+23</formula2>
    </dataValidation>
    <dataValidation type="whole" allowBlank="1" showErrorMessage="1" errorTitle="Ошибка" error="Допускается ввод только неотрицательных целых чисел!" sqref="AF308">
      <formula1>0</formula1>
      <formula2>9.99999999999999E+23</formula2>
    </dataValidation>
    <dataValidation type="textLength" operator="lessThanOrEqual" allowBlank="1" showInputMessage="1" showErrorMessage="1" errorTitle="Ошибка" error="Допускается ввод не более 900 символов!" sqref="M308">
      <formula1>900</formula1>
    </dataValidation>
    <dataValidation type="textLength" operator="lessThanOrEqual" allowBlank="1" showInputMessage="1" showErrorMessage="1" errorTitle="Ошибка" error="Допускается ввод не более 900 символов!" sqref="K3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8">
      <formula1>"a"</formula1>
    </dataValidation>
    <dataValidation type="whole" allowBlank="1" showErrorMessage="1" errorTitle="Ошибка" error="Допускается ввод только неотрицательных целых чисел!" sqref="AI136">
      <formula1>0</formula1>
      <formula2>9.99999999999999E+23</formula2>
    </dataValidation>
    <dataValidation type="whole" allowBlank="1" showErrorMessage="1" errorTitle="Ошибка" error="Допускается ввод только неотрицательных целых чисел!" sqref="AF136">
      <formula1>0</formula1>
      <formula2>9.99999999999999E+23</formula2>
    </dataValidation>
    <dataValidation type="whole" allowBlank="1" showErrorMessage="1" errorTitle="Ошибка" error="Допускается ввод только неотрицательных целых чисел!" sqref="AI135">
      <formula1>0</formula1>
      <formula2>9.99999999999999E+23</formula2>
    </dataValidation>
    <dataValidation type="whole" allowBlank="1" showErrorMessage="1" errorTitle="Ошибка" error="Допускается ввод только неотрицательных целых чисел!" sqref="AF135">
      <formula1>0</formula1>
      <formula2>9.99999999999999E+23</formula2>
    </dataValidation>
    <dataValidation type="textLength" operator="lessThanOrEqual" allowBlank="1" showInputMessage="1" showErrorMessage="1" errorTitle="Ошибка" error="Допускается ввод не более 900 символов!" sqref="K1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5">
      <formula1>"a"</formula1>
    </dataValidation>
    <dataValidation type="whole" allowBlank="1" showErrorMessage="1" errorTitle="Ошибка" error="Допускается ввод только неотрицательных целых чисел!" sqref="AI134">
      <formula1>0</formula1>
      <formula2>9.99999999999999E+23</formula2>
    </dataValidation>
    <dataValidation type="whole" allowBlank="1" showErrorMessage="1" errorTitle="Ошибка" error="Допускается ввод только неотрицательных целых чисел!" sqref="AF134">
      <formula1>0</formula1>
      <formula2>9.99999999999999E+23</formula2>
    </dataValidation>
    <dataValidation type="decimal" allowBlank="1" showErrorMessage="1" errorTitle="Ошибка" error="Допускается ввод только неотрицательных чисел!" sqref="AE134">
      <formula1>0</formula1>
      <formula2>9.99999999999999E+23</formula2>
    </dataValidation>
    <dataValidation type="decimal" allowBlank="1" showErrorMessage="1" errorTitle="Ошибка" error="Допускается ввод только неотрицательных чисел!" sqref="AC134">
      <formula1>0</formula1>
      <formula2>9.99999999999999E+23</formula2>
    </dataValidation>
    <dataValidation type="textLength" operator="lessThanOrEqual" allowBlank="1" showInputMessage="1" showErrorMessage="1" errorTitle="Ошибка" error="Допускается ввод не более 900 символов!" sqref="K1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4">
      <formula1>"a"</formula1>
    </dataValidation>
    <dataValidation type="whole" allowBlank="1" showErrorMessage="1" errorTitle="Ошибка" error="Допускается ввод только неотрицательных целых чисел!" sqref="AI133">
      <formula1>0</formula1>
      <formula2>9.99999999999999E+23</formula2>
    </dataValidation>
    <dataValidation type="whole" allowBlank="1" showErrorMessage="1" errorTitle="Ошибка" error="Допускается ввод только неотрицательных целых чисел!" sqref="AF133">
      <formula1>0</formula1>
      <formula2>9.99999999999999E+23</formula2>
    </dataValidation>
    <dataValidation type="textLength" operator="lessThanOrEqual" allowBlank="1" showInputMessage="1" showErrorMessage="1" errorTitle="Ошибка" error="Допускается ввод не более 900 символов!" sqref="K1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3">
      <formula1>"a"</formula1>
    </dataValidation>
    <dataValidation type="whole" allowBlank="1" showErrorMessage="1" errorTitle="Ошибка" error="Допускается ввод только неотрицательных целых чисел!" sqref="AI132">
      <formula1>0</formula1>
      <formula2>9.99999999999999E+23</formula2>
    </dataValidation>
    <dataValidation type="whole" allowBlank="1" showErrorMessage="1" errorTitle="Ошибка" error="Допускается ввод только неотрицательных целых чисел!" sqref="AF132">
      <formula1>0</formula1>
      <formula2>9.99999999999999E+23</formula2>
    </dataValidation>
    <dataValidation type="textLength" operator="lessThanOrEqual" allowBlank="1" showInputMessage="1" showErrorMessage="1" errorTitle="Ошибка" error="Допускается ввод не более 900 символов!" sqref="M132">
      <formula1>900</formula1>
    </dataValidation>
    <dataValidation type="textLength" operator="lessThanOrEqual" allowBlank="1" showInputMessage="1" showErrorMessage="1" errorTitle="Ошибка" error="Допускается ввод не более 900 символов!" sqref="K1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2">
      <formula1>"a"</formula1>
    </dataValidation>
    <dataValidation type="whole" allowBlank="1" showErrorMessage="1" errorTitle="Ошибка" error="Допускается ввод только неотрицательных целых чисел!" sqref="AI131">
      <formula1>0</formula1>
      <formula2>9.99999999999999E+23</formula2>
    </dataValidation>
    <dataValidation type="whole" allowBlank="1" showErrorMessage="1" errorTitle="Ошибка" error="Допускается ввод только неотрицательных целых чисел!" sqref="AF131">
      <formula1>0</formula1>
      <formula2>9.99999999999999E+23</formula2>
    </dataValidation>
    <dataValidation type="whole" allowBlank="1" showErrorMessage="1" errorTitle="Ошибка" error="Допускается ввод только неотрицательных целых чисел!" sqref="AI130">
      <formula1>0</formula1>
      <formula2>9.99999999999999E+23</formula2>
    </dataValidation>
    <dataValidation type="whole" allowBlank="1" showErrorMessage="1" errorTitle="Ошибка" error="Допускается ввод только неотрицательных целых чисел!" sqref="AF130">
      <formula1>0</formula1>
      <formula2>9.99999999999999E+23</formula2>
    </dataValidation>
    <dataValidation type="textLength" operator="lessThanOrEqual" allowBlank="1" showInputMessage="1" showErrorMessage="1" errorTitle="Ошибка" error="Допускается ввод не более 900 символов!" sqref="K1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0">
      <formula1>"a"</formula1>
    </dataValidation>
    <dataValidation type="whole" allowBlank="1" showErrorMessage="1" errorTitle="Ошибка" error="Допускается ввод только неотрицательных целых чисел!" sqref="AI129">
      <formula1>0</formula1>
      <formula2>9.99999999999999E+23</formula2>
    </dataValidation>
    <dataValidation type="whole" allowBlank="1" showErrorMessage="1" errorTitle="Ошибка" error="Допускается ввод только неотрицательных целых чисел!" sqref="AF129">
      <formula1>0</formula1>
      <formula2>9.99999999999999E+23</formula2>
    </dataValidation>
    <dataValidation type="decimal" allowBlank="1" showErrorMessage="1" errorTitle="Ошибка" error="Допускается ввод только неотрицательных чисел!" sqref="AE129">
      <formula1>0</formula1>
      <formula2>9.99999999999999E+23</formula2>
    </dataValidation>
    <dataValidation type="decimal" allowBlank="1" showErrorMessage="1" errorTitle="Ошибка" error="Допускается ввод только неотрицательных чисел!" sqref="AC129">
      <formula1>0</formula1>
      <formula2>9.99999999999999E+23</formula2>
    </dataValidation>
    <dataValidation type="textLength" operator="lessThanOrEqual" allowBlank="1" showInputMessage="1" showErrorMessage="1" errorTitle="Ошибка" error="Допускается ввод не более 900 символов!" sqref="K1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9">
      <formula1>"a"</formula1>
    </dataValidation>
    <dataValidation type="whole" allowBlank="1" showErrorMessage="1" errorTitle="Ошибка" error="Допускается ввод только неотрицательных целых чисел!" sqref="AI128">
      <formula1>0</formula1>
      <formula2>9.99999999999999E+23</formula2>
    </dataValidation>
    <dataValidation type="whole" allowBlank="1" showErrorMessage="1" errorTitle="Ошибка" error="Допускается ввод только неотрицательных целых чисел!" sqref="AF128">
      <formula1>0</formula1>
      <formula2>9.99999999999999E+23</formula2>
    </dataValidation>
    <dataValidation type="textLength" operator="lessThanOrEqual" allowBlank="1" showInputMessage="1" showErrorMessage="1" errorTitle="Ошибка" error="Допускается ввод не более 900 символов!" sqref="K1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8">
      <formula1>"a"</formula1>
    </dataValidation>
    <dataValidation type="whole" allowBlank="1" showErrorMessage="1" errorTitle="Ошибка" error="Допускается ввод только неотрицательных целых чисел!" sqref="AI127">
      <formula1>0</formula1>
      <formula2>9.99999999999999E+23</formula2>
    </dataValidation>
    <dataValidation type="whole" allowBlank="1" showErrorMessage="1" errorTitle="Ошибка" error="Допускается ввод только неотрицательных целых чисел!" sqref="AF127">
      <formula1>0</formula1>
      <formula2>9.99999999999999E+23</formula2>
    </dataValidation>
    <dataValidation type="textLength" operator="lessThanOrEqual" allowBlank="1" showInputMessage="1" showErrorMessage="1" errorTitle="Ошибка" error="Допускается ввод не более 900 символов!" sqref="M127">
      <formula1>900</formula1>
    </dataValidation>
    <dataValidation type="textLength" operator="lessThanOrEqual" allowBlank="1" showInputMessage="1" showErrorMessage="1" errorTitle="Ошибка" error="Допускается ввод не более 900 символов!" sqref="K1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7">
      <formula1>"a"</formula1>
    </dataValidation>
    <dataValidation type="whole" allowBlank="1" showErrorMessage="1" errorTitle="Ошибка" error="Допускается ввод только неотрицательных целых чисел!" sqref="AI126">
      <formula1>0</formula1>
      <formula2>9.99999999999999E+23</formula2>
    </dataValidation>
    <dataValidation type="whole" allowBlank="1" showErrorMessage="1" errorTitle="Ошибка" error="Допускается ввод только неотрицательных целых чисел!" sqref="AF126">
      <formula1>0</formula1>
      <formula2>9.99999999999999E+23</formula2>
    </dataValidation>
    <dataValidation type="whole" allowBlank="1" showErrorMessage="1" errorTitle="Ошибка" error="Допускается ввод только неотрицательных целых чисел!" sqref="AI125">
      <formula1>0</formula1>
      <formula2>9.99999999999999E+23</formula2>
    </dataValidation>
    <dataValidation type="whole" allowBlank="1" showErrorMessage="1" errorTitle="Ошибка" error="Допускается ввод только неотрицательных целых чисел!" sqref="AF125">
      <formula1>0</formula1>
      <formula2>9.99999999999999E+23</formula2>
    </dataValidation>
    <dataValidation type="textLength" operator="lessThanOrEqual" allowBlank="1" showInputMessage="1" showErrorMessage="1" errorTitle="Ошибка" error="Допускается ввод не более 900 символов!" sqref="K1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5">
      <formula1>"a"</formula1>
    </dataValidation>
    <dataValidation type="whole" allowBlank="1" showErrorMessage="1" errorTitle="Ошибка" error="Допускается ввод только неотрицательных целых чисел!" sqref="AI124">
      <formula1>0</formula1>
      <formula2>9.99999999999999E+23</formula2>
    </dataValidation>
    <dataValidation type="whole" allowBlank="1" showErrorMessage="1" errorTitle="Ошибка" error="Допускается ввод только неотрицательных целых чисел!" sqref="AF124">
      <formula1>0</formula1>
      <formula2>9.99999999999999E+23</formula2>
    </dataValidation>
    <dataValidation type="decimal" allowBlank="1" showErrorMessage="1" errorTitle="Ошибка" error="Допускается ввод только неотрицательных чисел!" sqref="AE124">
      <formula1>0</formula1>
      <formula2>9.99999999999999E+23</formula2>
    </dataValidation>
    <dataValidation type="decimal" allowBlank="1" showErrorMessage="1" errorTitle="Ошибка" error="Допускается ввод только неотрицательных чисел!" sqref="AC124">
      <formula1>0</formula1>
      <formula2>9.99999999999999E+23</formula2>
    </dataValidation>
    <dataValidation type="textLength" operator="lessThanOrEqual" allowBlank="1" showInputMessage="1" showErrorMessage="1" errorTitle="Ошибка" error="Допускается ввод не более 900 символов!" sqref="K1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4">
      <formula1>"a"</formula1>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textLength" operator="lessThanOrEqual" allowBlank="1" showInputMessage="1" showErrorMessage="1" errorTitle="Ошибка" error="Допускается ввод не более 900 символов!" sqref="K1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3">
      <formula1>"a"</formula1>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textLength" operator="lessThanOrEqual" allowBlank="1" showInputMessage="1" showErrorMessage="1" errorTitle="Ошибка" error="Допускается ввод не более 900 символов!" sqref="M122">
      <formula1>900</formula1>
    </dataValidation>
    <dataValidation type="textLength" operator="lessThanOrEqual" allowBlank="1" showInputMessage="1" showErrorMessage="1" errorTitle="Ошибка" error="Допускается ввод не более 900 символов!" sqref="K1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2">
      <formula1>"a"</formula1>
    </dataValidation>
    <dataValidation type="whole" allowBlank="1" showErrorMessage="1" errorTitle="Ошибка" error="Допускается ввод только неотрицательных целых чисел!" sqref="AI121">
      <formula1>0</formula1>
      <formula2>9.99999999999999E+23</formula2>
    </dataValidation>
    <dataValidation type="whole" allowBlank="1" showErrorMessage="1" errorTitle="Ошибка" error="Допускается ввод только неотрицательных целых чисел!" sqref="AF121">
      <formula1>0</formula1>
      <formula2>9.99999999999999E+23</formula2>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textLength" operator="lessThanOrEqual" allowBlank="1" showInputMessage="1" showErrorMessage="1" errorTitle="Ошибка" error="Допускается ввод не более 900 символов!" sqref="K1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0">
      <formula1>"a"</formula1>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decimal" allowBlank="1" showErrorMessage="1" errorTitle="Ошибка" error="Допускается ввод только неотрицательных чисел!" sqref="AE119">
      <formula1>0</formula1>
      <formula2>9.99999999999999E+23</formula2>
    </dataValidation>
    <dataValidation type="decimal" allowBlank="1" showErrorMessage="1" errorTitle="Ошибка" error="Допускается ввод только неотрицательных чисел!" sqref="AC119">
      <formula1>0</formula1>
      <formula2>9.99999999999999E+23</formula2>
    </dataValidation>
    <dataValidation type="textLength" operator="lessThanOrEqual" allowBlank="1" showInputMessage="1" showErrorMessage="1" errorTitle="Ошибка" error="Допускается ввод не более 900 символов!" sqref="K1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whole" allowBlank="1" showErrorMessage="1" errorTitle="Ошибка" error="Допускается ввод только неотрицательных целых чисел!" sqref="AI118">
      <formula1>0</formula1>
      <formula2>9.99999999999999E+23</formula2>
    </dataValidation>
    <dataValidation type="whole" allowBlank="1" showErrorMessage="1" errorTitle="Ошибка" error="Допускается ввод только неотрицательных целых чисел!" sqref="AF118">
      <formula1>0</formula1>
      <formula2>9.99999999999999E+23</formula2>
    </dataValidation>
    <dataValidation type="textLength" operator="lessThanOrEqual" allowBlank="1" showInputMessage="1" showErrorMessage="1" errorTitle="Ошибка" error="Допускается ввод не более 900 символов!" sqref="K1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8">
      <formula1>"a"</formula1>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textLength" operator="lessThanOrEqual" allowBlank="1" showInputMessage="1" showErrorMessage="1" errorTitle="Ошибка" error="Допускается ввод не более 900 символов!" sqref="M117">
      <formula1>900</formula1>
    </dataValidation>
    <dataValidation type="textLength" operator="lessThanOrEqual" allowBlank="1" showInputMessage="1" showErrorMessage="1" errorTitle="Ошибка" error="Допускается ввод не более 900 символов!" sqref="K1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7">
      <formula1>"a"</formula1>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whole" allowBlank="1" showErrorMessage="1" errorTitle="Ошибка" error="Допускается ввод только неотрицательных целых чисел!" sqref="AI115">
      <formula1>0</formula1>
      <formula2>9.99999999999999E+23</formula2>
    </dataValidation>
    <dataValidation type="whole" allowBlank="1" showErrorMessage="1" errorTitle="Ошибка" error="Допускается ввод только неотрицательных целых чисел!" sqref="AF115">
      <formula1>0</formula1>
      <formula2>9.99999999999999E+23</formula2>
    </dataValidation>
    <dataValidation type="textLength" operator="lessThanOrEqual" allowBlank="1" showInputMessage="1" showErrorMessage="1" errorTitle="Ошибка" error="Допускается ввод не более 900 символов!" sqref="K1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5">
      <formula1>"a"</formula1>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decimal" allowBlank="1" showErrorMessage="1" errorTitle="Ошибка" error="Допускается ввод только неотрицательных чисел!" sqref="AE114">
      <formula1>0</formula1>
      <formula2>9.99999999999999E+23</formula2>
    </dataValidation>
    <dataValidation type="decimal" allowBlank="1" showErrorMessage="1" errorTitle="Ошибка" error="Допускается ввод только неотрицательных чисел!" sqref="AC114">
      <formula1>0</formula1>
      <formula2>9.99999999999999E+23</formula2>
    </dataValidation>
    <dataValidation type="textLength" operator="lessThanOrEqual" allowBlank="1" showInputMessage="1" showErrorMessage="1" errorTitle="Ошибка" error="Допускается ввод не более 900 символов!" sqref="K1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4">
      <formula1>"a"</formula1>
    </dataValidation>
    <dataValidation type="whole" allowBlank="1" showErrorMessage="1" errorTitle="Ошибка" error="Допускается ввод только неотрицательных целых чисел!" sqref="AI113">
      <formula1>0</formula1>
      <formula2>9.99999999999999E+23</formula2>
    </dataValidation>
    <dataValidation type="whole" allowBlank="1" showErrorMessage="1" errorTitle="Ошибка" error="Допускается ввод только неотрицательных целых чисел!" sqref="AF113">
      <formula1>0</formula1>
      <formula2>9.99999999999999E+23</formula2>
    </dataValidation>
    <dataValidation type="textLength" operator="lessThanOrEqual" allowBlank="1" showInputMessage="1" showErrorMessage="1" errorTitle="Ошибка" error="Допускается ввод не более 900 символов!" sqref="K1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3">
      <formula1>"a"</formula1>
    </dataValidation>
    <dataValidation type="whole" allowBlank="1" showErrorMessage="1" errorTitle="Ошибка" error="Допускается ввод только неотрицательных целых чисел!" sqref="AI112">
      <formula1>0</formula1>
      <formula2>9.99999999999999E+23</formula2>
    </dataValidation>
    <dataValidation type="whole" allowBlank="1" showErrorMessage="1" errorTitle="Ошибка" error="Допускается ввод только неотрицательных целых чисел!" sqref="AF112">
      <formula1>0</formula1>
      <formula2>9.99999999999999E+23</formula2>
    </dataValidation>
    <dataValidation type="textLength" operator="lessThanOrEqual" allowBlank="1" showInputMessage="1" showErrorMessage="1" errorTitle="Ошибка" error="Допускается ввод не более 900 символов!" sqref="M112">
      <formula1>900</formula1>
    </dataValidation>
    <dataValidation type="textLength" operator="lessThanOrEqual" allowBlank="1" showInputMessage="1" showErrorMessage="1" errorTitle="Ошибка" error="Допускается ввод не более 900 символов!" sqref="K1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2">
      <formula1>"a"</formula1>
    </dataValidation>
    <dataValidation type="whole" allowBlank="1" showErrorMessage="1" errorTitle="Ошибка" error="Допускается ввод только неотрицательных целых чисел!" sqref="AI453">
      <formula1>0</formula1>
      <formula2>9.99999999999999E+23</formula2>
    </dataValidation>
    <dataValidation type="whole" allowBlank="1" showErrorMessage="1" errorTitle="Ошибка" error="Допускается ввод только неотрицательных целых чисел!" sqref="AF453">
      <formula1>0</formula1>
      <formula2>9.99999999999999E+23</formula2>
    </dataValidation>
    <dataValidation type="decimal" allowBlank="1" showErrorMessage="1" errorTitle="Ошибка" error="Допускается ввод только неотрицательных чисел!" sqref="AE453">
      <formula1>0</formula1>
      <formula2>9.99999999999999E+23</formula2>
    </dataValidation>
    <dataValidation type="decimal" allowBlank="1" showErrorMessage="1" errorTitle="Ошибка" error="Допускается ввод только неотрицательных чисел!" sqref="AC453">
      <formula1>0</formula1>
      <formula2>9.99999999999999E+23</formula2>
    </dataValidation>
    <dataValidation type="textLength" operator="lessThanOrEqual" allowBlank="1" showInputMessage="1" showErrorMessage="1" errorTitle="Ошибка" error="Допускается ввод не более 900 символов!" sqref="K4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3">
      <formula1>"a"</formula1>
    </dataValidation>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textLength" operator="lessThanOrEqual" allowBlank="1" showInputMessage="1" showErrorMessage="1" errorTitle="Ошибка" error="Допускается ввод не более 900 символов!" sqref="K1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0">
      <formula1>"a"</formula1>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decimal" allowBlank="1" showErrorMessage="1" errorTitle="Ошибка" error="Допускается ввод только неотрицательных чисел!" sqref="AE109">
      <formula1>0</formula1>
      <formula2>9.99999999999999E+23</formula2>
    </dataValidation>
    <dataValidation type="decimal" allowBlank="1" showErrorMessage="1" errorTitle="Ошибка" error="Допускается ввод только неотрицательных чисел!" sqref="AC109">
      <formula1>0</formula1>
      <formula2>9.99999999999999E+23</formula2>
    </dataValidation>
    <dataValidation type="textLength" operator="lessThanOrEqual" allowBlank="1" showInputMessage="1" showErrorMessage="1" errorTitle="Ошибка" error="Допускается ввод не более 900 символов!" sqref="K1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textLength" operator="lessThanOrEqual" allowBlank="1" showInputMessage="1" showErrorMessage="1" errorTitle="Ошибка" error="Допускается ввод не более 900 символов!" sqref="K1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8">
      <formula1>"a"</formula1>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textLength" operator="lessThanOrEqual" allowBlank="1" showInputMessage="1" showErrorMessage="1" errorTitle="Ошибка" error="Допускается ввод не более 900 символов!" sqref="M107">
      <formula1>900</formula1>
    </dataValidation>
    <dataValidation type="textLength" operator="lessThanOrEqual" allowBlank="1" showInputMessage="1" showErrorMessage="1" errorTitle="Ошибка" error="Допускается ввод не более 900 символов!" sqref="K1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whole" allowBlank="1" showErrorMessage="1" errorTitle="Ошибка" error="Допускается ввод только неотрицательных целых чисел!" sqref="AI569">
      <formula1>0</formula1>
      <formula2>9.99999999999999E+23</formula2>
    </dataValidation>
    <dataValidation type="whole" allowBlank="1" showErrorMessage="1" errorTitle="Ошибка" error="Допускается ввод только неотрицательных целых чисел!" sqref="AF569">
      <formula1>0</formula1>
      <formula2>9.99999999999999E+23</formula2>
    </dataValidation>
    <dataValidation type="whole" allowBlank="1" showErrorMessage="1" errorTitle="Ошибка" error="Допускается ввод только неотрицательных целых чисел!" sqref="AI568">
      <formula1>0</formula1>
      <formula2>9.99999999999999E+23</formula2>
    </dataValidation>
    <dataValidation type="whole" allowBlank="1" showErrorMessage="1" errorTitle="Ошибка" error="Допускается ввод только неотрицательных целых чисел!" sqref="AF568">
      <formula1>0</formula1>
      <formula2>9.99999999999999E+23</formula2>
    </dataValidation>
    <dataValidation type="textLength" operator="lessThanOrEqual" allowBlank="1" showInputMessage="1" showErrorMessage="1" errorTitle="Ошибка" error="Допускается ввод не более 900 символов!" sqref="K5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8">
      <formula1>"a"</formula1>
    </dataValidation>
    <dataValidation type="whole" allowBlank="1" showErrorMessage="1" errorTitle="Ошибка" error="Допускается ввод только неотрицательных целых чисел!" sqref="AI567">
      <formula1>0</formula1>
      <formula2>9.99999999999999E+23</formula2>
    </dataValidation>
    <dataValidation type="whole" allowBlank="1" showErrorMessage="1" errorTitle="Ошибка" error="Допускается ввод только неотрицательных целых чисел!" sqref="AF567">
      <formula1>0</formula1>
      <formula2>9.99999999999999E+23</formula2>
    </dataValidation>
    <dataValidation type="decimal" allowBlank="1" showErrorMessage="1" errorTitle="Ошибка" error="Допускается ввод только неотрицательных чисел!" sqref="AE567">
      <formula1>0</formula1>
      <formula2>9.99999999999999E+23</formula2>
    </dataValidation>
    <dataValidation type="decimal" allowBlank="1" showErrorMessage="1" errorTitle="Ошибка" error="Допускается ввод только неотрицательных чисел!" sqref="AC567">
      <formula1>0</formula1>
      <formula2>9.99999999999999E+23</formula2>
    </dataValidation>
    <dataValidation type="textLength" operator="lessThanOrEqual" allowBlank="1" showInputMessage="1" showErrorMessage="1" errorTitle="Ошибка" error="Допускается ввод не более 900 символов!" sqref="K5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7">
      <formula1>"a"</formula1>
    </dataValidation>
    <dataValidation type="whole" allowBlank="1" showErrorMessage="1" errorTitle="Ошибка" error="Допускается ввод только неотрицательных целых чисел!" sqref="AI566">
      <formula1>0</formula1>
      <formula2>9.99999999999999E+23</formula2>
    </dataValidation>
    <dataValidation type="whole" allowBlank="1" showErrorMessage="1" errorTitle="Ошибка" error="Допускается ввод только неотрицательных целых чисел!" sqref="AF566">
      <formula1>0</formula1>
      <formula2>9.99999999999999E+23</formula2>
    </dataValidation>
    <dataValidation type="textLength" operator="lessThanOrEqual" allowBlank="1" showInputMessage="1" showErrorMessage="1" errorTitle="Ошибка" error="Допускается ввод не более 900 символов!" sqref="K5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6">
      <formula1>"a"</formula1>
    </dataValidation>
    <dataValidation type="whole" allowBlank="1" showErrorMessage="1" errorTitle="Ошибка" error="Допускается ввод только неотрицательных целых чисел!" sqref="AI565">
      <formula1>0</formula1>
      <formula2>9.99999999999999E+23</formula2>
    </dataValidation>
    <dataValidation type="whole" allowBlank="1" showErrorMessage="1" errorTitle="Ошибка" error="Допускается ввод только неотрицательных целых чисел!" sqref="AF565">
      <formula1>0</formula1>
      <formula2>9.99999999999999E+23</formula2>
    </dataValidation>
    <dataValidation type="textLength" operator="lessThanOrEqual" allowBlank="1" showInputMessage="1" showErrorMessage="1" errorTitle="Ошибка" error="Допускается ввод не более 900 символов!" sqref="M565">
      <formula1>900</formula1>
    </dataValidation>
    <dataValidation type="textLength" operator="lessThanOrEqual" allowBlank="1" showInputMessage="1" showErrorMessage="1" errorTitle="Ошибка" error="Допускается ввод не более 900 символов!" sqref="K5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5">
      <formula1>"a"</formula1>
    </dataValidation>
    <dataValidation type="whole" allowBlank="1" showErrorMessage="1" errorTitle="Ошибка" error="Допускается ввод только неотрицательных целых чисел!" sqref="AI455">
      <formula1>0</formula1>
      <formula2>9.99999999999999E+23</formula2>
    </dataValidation>
    <dataValidation type="whole" allowBlank="1" showErrorMessage="1" errorTitle="Ошибка" error="Допускается ввод только неотрицательных целых чисел!" sqref="AF455">
      <formula1>0</formula1>
      <formula2>9.99999999999999E+23</formula2>
    </dataValidation>
    <dataValidation type="whole" allowBlank="1" showErrorMessage="1" errorTitle="Ошибка" error="Допускается ввод только неотрицательных целых чисел!" sqref="AI454">
      <formula1>0</formula1>
      <formula2>9.99999999999999E+23</formula2>
    </dataValidation>
    <dataValidation type="whole" allowBlank="1" showErrorMessage="1" errorTitle="Ошибка" error="Допускается ввод только неотрицательных целых чисел!" sqref="AF454">
      <formula1>0</formula1>
      <formula2>9.99999999999999E+23</formula2>
    </dataValidation>
    <dataValidation type="textLength" operator="lessThanOrEqual" allowBlank="1" showInputMessage="1" showErrorMessage="1" errorTitle="Ошибка" error="Допускается ввод не более 900 символов!" sqref="K4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4">
      <formula1>"a"</formula1>
    </dataValidation>
    <dataValidation type="whole" allowBlank="1" showErrorMessage="1" errorTitle="Ошибка" error="Допускается ввод только неотрицательных целых чисел!" sqref="AI452">
      <formula1>0</formula1>
      <formula2>9.99999999999999E+23</formula2>
    </dataValidation>
    <dataValidation type="whole" allowBlank="1" showErrorMessage="1" errorTitle="Ошибка" error="Допускается ввод только неотрицательных целых чисел!" sqref="AF452">
      <formula1>0</formula1>
      <formula2>9.99999999999999E+23</formula2>
    </dataValidation>
    <dataValidation type="decimal" allowBlank="1" showErrorMessage="1" errorTitle="Ошибка" error="Допускается ввод только неотрицательных чисел!" sqref="AE452">
      <formula1>0</formula1>
      <formula2>9.99999999999999E+23</formula2>
    </dataValidation>
    <dataValidation type="decimal" allowBlank="1" showErrorMessage="1" errorTitle="Ошибка" error="Допускается ввод только неотрицательных чисел!" sqref="AC452">
      <formula1>0</formula1>
      <formula2>9.99999999999999E+23</formula2>
    </dataValidation>
    <dataValidation type="textLength" operator="lessThanOrEqual" allowBlank="1" showInputMessage="1" showErrorMessage="1" errorTitle="Ошибка" error="Допускается ввод не более 900 символов!" sqref="K4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2">
      <formula1>"a"</formula1>
    </dataValidation>
    <dataValidation type="whole" allowBlank="1" showErrorMessage="1" errorTitle="Ошибка" error="Допускается ввод только неотрицательных целых чисел!" sqref="AI451">
      <formula1>0</formula1>
      <formula2>9.99999999999999E+23</formula2>
    </dataValidation>
    <dataValidation type="whole" allowBlank="1" showErrorMessage="1" errorTitle="Ошибка" error="Допускается ввод только неотрицательных целых чисел!" sqref="AF451">
      <formula1>0</formula1>
      <formula2>9.99999999999999E+23</formula2>
    </dataValidation>
    <dataValidation type="textLength" operator="lessThanOrEqual" allowBlank="1" showInputMessage="1" showErrorMessage="1" errorTitle="Ошибка" error="Допускается ввод не более 900 символов!" sqref="K4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1">
      <formula1>"a"</formula1>
    </dataValidation>
    <dataValidation type="whole" allowBlank="1" showErrorMessage="1" errorTitle="Ошибка" error="Допускается ввод только неотрицательных целых чисел!" sqref="AI450">
      <formula1>0</formula1>
      <formula2>9.99999999999999E+23</formula2>
    </dataValidation>
    <dataValidation type="whole" allowBlank="1" showErrorMessage="1" errorTitle="Ошибка" error="Допускается ввод только неотрицательных целых чисел!" sqref="AF450">
      <formula1>0</formula1>
      <formula2>9.99999999999999E+23</formula2>
    </dataValidation>
    <dataValidation type="textLength" operator="lessThanOrEqual" allowBlank="1" showInputMessage="1" showErrorMessage="1" errorTitle="Ошибка" error="Допускается ввод не более 900 символов!" sqref="M450">
      <formula1>900</formula1>
    </dataValidation>
    <dataValidation type="textLength" operator="lessThanOrEqual" allowBlank="1" showInputMessage="1" showErrorMessage="1" errorTitle="Ошибка" error="Допускается ввод не более 900 символов!" sqref="K4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0">
      <formula1>"a"</formula1>
    </dataValidation>
    <dataValidation type="whole" allowBlank="1" showErrorMessage="1" errorTitle="Ошибка" error="Допускается ввод только неотрицательных целых чисел!" sqref="AI307">
      <formula1>0</formula1>
      <formula2>9.99999999999999E+23</formula2>
    </dataValidation>
    <dataValidation type="whole" allowBlank="1" showErrorMessage="1" errorTitle="Ошибка" error="Допускается ввод только неотрицательных целых чисел!" sqref="AF307">
      <formula1>0</formula1>
      <formula2>9.99999999999999E+23</formula2>
    </dataValidation>
    <dataValidation type="whole" allowBlank="1" showErrorMessage="1" errorTitle="Ошибка" error="Допускается ввод только неотрицательных целых чисел!" sqref="AI306">
      <formula1>0</formula1>
      <formula2>9.99999999999999E+23</formula2>
    </dataValidation>
    <dataValidation type="whole" allowBlank="1" showErrorMessage="1" errorTitle="Ошибка" error="Допускается ввод только неотрицательных целых чисел!" sqref="AF306">
      <formula1>0</formula1>
      <formula2>9.99999999999999E+23</formula2>
    </dataValidation>
    <dataValidation type="textLength" operator="lessThanOrEqual" allowBlank="1" showInputMessage="1" showErrorMessage="1" errorTitle="Ошибка" error="Допускается ввод не более 900 символов!" sqref="K3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6">
      <formula1>"a"</formula1>
    </dataValidation>
    <dataValidation type="whole" allowBlank="1" showErrorMessage="1" errorTitle="Ошибка" error="Допускается ввод только неотрицательных целых чисел!" sqref="AI305">
      <formula1>0</formula1>
      <formula2>9.99999999999999E+23</formula2>
    </dataValidation>
    <dataValidation type="whole" allowBlank="1" showErrorMessage="1" errorTitle="Ошибка" error="Допускается ввод только неотрицательных целых чисел!" sqref="AF305">
      <formula1>0</formula1>
      <formula2>9.99999999999999E+23</formula2>
    </dataValidation>
    <dataValidation type="decimal" allowBlank="1" showErrorMessage="1" errorTitle="Ошибка" error="Допускается ввод только неотрицательных чисел!" sqref="AE305">
      <formula1>0</formula1>
      <formula2>9.99999999999999E+23</formula2>
    </dataValidation>
    <dataValidation type="decimal" allowBlank="1" showErrorMessage="1" errorTitle="Ошибка" error="Допускается ввод только неотрицательных чисел!" sqref="AC305">
      <formula1>0</formula1>
      <formula2>9.99999999999999E+23</formula2>
    </dataValidation>
    <dataValidation type="textLength" operator="lessThanOrEqual" allowBlank="1" showInputMessage="1" showErrorMessage="1" errorTitle="Ошибка" error="Допускается ввод не более 900 символов!" sqref="K3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5">
      <formula1>"a"</formula1>
    </dataValidation>
    <dataValidation type="whole" allowBlank="1" showErrorMessage="1" errorTitle="Ошибка" error="Допускается ввод только неотрицательных целых чисел!" sqref="AI304">
      <formula1>0</formula1>
      <formula2>9.99999999999999E+23</formula2>
    </dataValidation>
    <dataValidation type="whole" allowBlank="1" showErrorMessage="1" errorTitle="Ошибка" error="Допускается ввод только неотрицательных целых чисел!" sqref="AF304">
      <formula1>0</formula1>
      <formula2>9.99999999999999E+23</formula2>
    </dataValidation>
    <dataValidation type="textLength" operator="lessThanOrEqual" allowBlank="1" showInputMessage="1" showErrorMessage="1" errorTitle="Ошибка" error="Допускается ввод не более 900 символов!" sqref="K3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4">
      <formula1>"a"</formula1>
    </dataValidation>
    <dataValidation type="whole" allowBlank="1" showErrorMessage="1" errorTitle="Ошибка" error="Допускается ввод только неотрицательных целых чисел!" sqref="AI303">
      <formula1>0</formula1>
      <formula2>9.99999999999999E+23</formula2>
    </dataValidation>
    <dataValidation type="whole" allowBlank="1" showErrorMessage="1" errorTitle="Ошибка" error="Допускается ввод только неотрицательных целых чисел!" sqref="AF303">
      <formula1>0</formula1>
      <formula2>9.99999999999999E+23</formula2>
    </dataValidation>
    <dataValidation type="textLength" operator="lessThanOrEqual" allowBlank="1" showInputMessage="1" showErrorMessage="1" errorTitle="Ошибка" error="Допускается ввод не более 900 символов!" sqref="M303">
      <formula1>900</formula1>
    </dataValidation>
    <dataValidation type="textLength" operator="lessThanOrEqual" allowBlank="1" showInputMessage="1" showErrorMessage="1" errorTitle="Ошибка" error="Допускается ввод не более 900 символов!" sqref="K3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3">
      <formula1>"a"</formula1>
    </dataValidation>
    <dataValidation type="whole" allowBlank="1" showErrorMessage="1" errorTitle="Ошибка" error="Допускается ввод только неотрицательных целых чисел!" sqref="AI564">
      <formula1>0</formula1>
      <formula2>9.99999999999999E+23</formula2>
    </dataValidation>
    <dataValidation type="whole" allowBlank="1" showErrorMessage="1" errorTitle="Ошибка" error="Допускается ввод только неотрицательных целых чисел!" sqref="AF564">
      <formula1>0</formula1>
      <formula2>9.99999999999999E+23</formula2>
    </dataValidation>
    <dataValidation type="whole" allowBlank="1" showErrorMessage="1" errorTitle="Ошибка" error="Допускается ввод только неотрицательных целых чисел!" sqref="AI563">
      <formula1>0</formula1>
      <formula2>9.99999999999999E+23</formula2>
    </dataValidation>
    <dataValidation type="whole" allowBlank="1" showErrorMessage="1" errorTitle="Ошибка" error="Допускается ввод только неотрицательных целых чисел!" sqref="AF563">
      <formula1>0</formula1>
      <formula2>9.99999999999999E+23</formula2>
    </dataValidation>
    <dataValidation type="textLength" operator="lessThanOrEqual" allowBlank="1" showInputMessage="1" showErrorMessage="1" errorTitle="Ошибка" error="Допускается ввод не более 900 символов!" sqref="K5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3">
      <formula1>"a"</formula1>
    </dataValidation>
    <dataValidation type="whole" allowBlank="1" showErrorMessage="1" errorTitle="Ошибка" error="Допускается ввод только неотрицательных целых чисел!" sqref="AI562">
      <formula1>0</formula1>
      <formula2>9.99999999999999E+23</formula2>
    </dataValidation>
    <dataValidation type="whole" allowBlank="1" showErrorMessage="1" errorTitle="Ошибка" error="Допускается ввод только неотрицательных целых чисел!" sqref="AF562">
      <formula1>0</formula1>
      <formula2>9.99999999999999E+23</formula2>
    </dataValidation>
    <dataValidation type="decimal" allowBlank="1" showErrorMessage="1" errorTitle="Ошибка" error="Допускается ввод только неотрицательных чисел!" sqref="AE562">
      <formula1>0</formula1>
      <formula2>9.99999999999999E+23</formula2>
    </dataValidation>
    <dataValidation type="decimal" allowBlank="1" showErrorMessage="1" errorTitle="Ошибка" error="Допускается ввод только неотрицательных чисел!" sqref="AC562">
      <formula1>0</formula1>
      <formula2>9.99999999999999E+23</formula2>
    </dataValidation>
    <dataValidation type="textLength" operator="lessThanOrEqual" allowBlank="1" showInputMessage="1" showErrorMessage="1" errorTitle="Ошибка" error="Допускается ввод не более 900 символов!" sqref="K5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2">
      <formula1>"a"</formula1>
    </dataValidation>
    <dataValidation type="whole" allowBlank="1" showErrorMessage="1" errorTitle="Ошибка" error="Допускается ввод только неотрицательных целых чисел!" sqref="AI561">
      <formula1>0</formula1>
      <formula2>9.99999999999999E+23</formula2>
    </dataValidation>
    <dataValidation type="whole" allowBlank="1" showErrorMessage="1" errorTitle="Ошибка" error="Допускается ввод только неотрицательных целых чисел!" sqref="AF561">
      <formula1>0</formula1>
      <formula2>9.99999999999999E+23</formula2>
    </dataValidation>
    <dataValidation type="textLength" operator="lessThanOrEqual" allowBlank="1" showInputMessage="1" showErrorMessage="1" errorTitle="Ошибка" error="Допускается ввод не более 900 символов!" sqref="K5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1">
      <formula1>"a"</formula1>
    </dataValidation>
    <dataValidation type="whole" allowBlank="1" showErrorMessage="1" errorTitle="Ошибка" error="Допускается ввод только неотрицательных целых чисел!" sqref="AI560">
      <formula1>0</formula1>
      <formula2>9.99999999999999E+23</formula2>
    </dataValidation>
    <dataValidation type="whole" allowBlank="1" showErrorMessage="1" errorTitle="Ошибка" error="Допускается ввод только неотрицательных целых чисел!" sqref="AF560">
      <formula1>0</formula1>
      <formula2>9.99999999999999E+23</formula2>
    </dataValidation>
    <dataValidation type="textLength" operator="lessThanOrEqual" allowBlank="1" showInputMessage="1" showErrorMessage="1" errorTitle="Ошибка" error="Допускается ввод не более 900 символов!" sqref="M560">
      <formula1>900</formula1>
    </dataValidation>
    <dataValidation type="textLength" operator="lessThanOrEqual" allowBlank="1" showInputMessage="1" showErrorMessage="1" errorTitle="Ошибка" error="Допускается ввод не более 900 символов!" sqref="K5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0">
      <formula1>"a"</formula1>
    </dataValidation>
    <dataValidation type="whole" allowBlank="1" showErrorMessage="1" errorTitle="Ошибка" error="Допускается ввод только неотрицательных целых чисел!" sqref="AI559">
      <formula1>0</formula1>
      <formula2>9.99999999999999E+23</formula2>
    </dataValidation>
    <dataValidation type="whole" allowBlank="1" showErrorMessage="1" errorTitle="Ошибка" error="Допускается ввод только неотрицательных целых чисел!" sqref="AF559">
      <formula1>0</formula1>
      <formula2>9.99999999999999E+23</formula2>
    </dataValidation>
    <dataValidation type="whole" allowBlank="1" showErrorMessage="1" errorTitle="Ошибка" error="Допускается ввод только неотрицательных целых чисел!" sqref="AI558">
      <formula1>0</formula1>
      <formula2>9.99999999999999E+23</formula2>
    </dataValidation>
    <dataValidation type="whole" allowBlank="1" showErrorMessage="1" errorTitle="Ошибка" error="Допускается ввод только неотрицательных целых чисел!" sqref="AF558">
      <formula1>0</formula1>
      <formula2>9.99999999999999E+23</formula2>
    </dataValidation>
    <dataValidation type="textLength" operator="lessThanOrEqual" allowBlank="1" showInputMessage="1" showErrorMessage="1" errorTitle="Ошибка" error="Допускается ввод не более 900 символов!" sqref="K5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8">
      <formula1>"a"</formula1>
    </dataValidation>
    <dataValidation type="whole" allowBlank="1" showErrorMessage="1" errorTitle="Ошибка" error="Допускается ввод только неотрицательных целых чисел!" sqref="AI557">
      <formula1>0</formula1>
      <formula2>9.99999999999999E+23</formula2>
    </dataValidation>
    <dataValidation type="whole" allowBlank="1" showErrorMessage="1" errorTitle="Ошибка" error="Допускается ввод только неотрицательных целых чисел!" sqref="AF557">
      <formula1>0</formula1>
      <formula2>9.99999999999999E+23</formula2>
    </dataValidation>
    <dataValidation type="decimal" allowBlank="1" showErrorMessage="1" errorTitle="Ошибка" error="Допускается ввод только неотрицательных чисел!" sqref="AE557">
      <formula1>0</formula1>
      <formula2>9.99999999999999E+23</formula2>
    </dataValidation>
    <dataValidation type="decimal" allowBlank="1" showErrorMessage="1" errorTitle="Ошибка" error="Допускается ввод только неотрицательных чисел!" sqref="AC557">
      <formula1>0</formula1>
      <formula2>9.99999999999999E+23</formula2>
    </dataValidation>
    <dataValidation type="textLength" operator="lessThanOrEqual" allowBlank="1" showInputMessage="1" showErrorMessage="1" errorTitle="Ошибка" error="Допускается ввод не более 900 символов!" sqref="K5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7">
      <formula1>"a"</formula1>
    </dataValidation>
    <dataValidation type="whole" allowBlank="1" showErrorMessage="1" errorTitle="Ошибка" error="Допускается ввод только неотрицательных целых чисел!" sqref="AI556">
      <formula1>0</formula1>
      <formula2>9.99999999999999E+23</formula2>
    </dataValidation>
    <dataValidation type="whole" allowBlank="1" showErrorMessage="1" errorTitle="Ошибка" error="Допускается ввод только неотрицательных целых чисел!" sqref="AF556">
      <formula1>0</formula1>
      <formula2>9.99999999999999E+23</formula2>
    </dataValidation>
    <dataValidation type="textLength" operator="lessThanOrEqual" allowBlank="1" showInputMessage="1" showErrorMessage="1" errorTitle="Ошибка" error="Допускается ввод не более 900 символов!" sqref="K5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6">
      <formula1>"a"</formula1>
    </dataValidation>
    <dataValidation type="whole" allowBlank="1" showErrorMessage="1" errorTitle="Ошибка" error="Допускается ввод только неотрицательных целых чисел!" sqref="AI555">
      <formula1>0</formula1>
      <formula2>9.99999999999999E+23</formula2>
    </dataValidation>
    <dataValidation type="whole" allowBlank="1" showErrorMessage="1" errorTitle="Ошибка" error="Допускается ввод только неотрицательных целых чисел!" sqref="AF555">
      <formula1>0</formula1>
      <formula2>9.99999999999999E+23</formula2>
    </dataValidation>
    <dataValidation type="textLength" operator="lessThanOrEqual" allowBlank="1" showInputMessage="1" showErrorMessage="1" errorTitle="Ошибка" error="Допускается ввод не более 900 символов!" sqref="M555">
      <formula1>900</formula1>
    </dataValidation>
    <dataValidation type="textLength" operator="lessThanOrEqual" allowBlank="1" showInputMessage="1" showErrorMessage="1" errorTitle="Ошибка" error="Допускается ввод не более 900 символов!" sqref="K5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5">
      <formula1>"a"</formula1>
    </dataValidation>
    <dataValidation type="whole" allowBlank="1" showErrorMessage="1" errorTitle="Ошибка" error="Допускается ввод только неотрицательных целых чисел!" sqref="AI449">
      <formula1>0</formula1>
      <formula2>9.99999999999999E+23</formula2>
    </dataValidation>
    <dataValidation type="whole" allowBlank="1" showErrorMessage="1" errorTitle="Ошибка" error="Допускается ввод только неотрицательных целых чисел!" sqref="AF449">
      <formula1>0</formula1>
      <formula2>9.99999999999999E+23</formula2>
    </dataValidation>
    <dataValidation type="whole" allowBlank="1" showErrorMessage="1" errorTitle="Ошибка" error="Допускается ввод только неотрицательных целых чисел!" sqref="AI448">
      <formula1>0</formula1>
      <formula2>9.99999999999999E+23</formula2>
    </dataValidation>
    <dataValidation type="whole" allowBlank="1" showErrorMessage="1" errorTitle="Ошибка" error="Допускается ввод только неотрицательных целых чисел!" sqref="AF448">
      <formula1>0</formula1>
      <formula2>9.99999999999999E+23</formula2>
    </dataValidation>
    <dataValidation type="textLength" operator="lessThanOrEqual" allowBlank="1" showInputMessage="1" showErrorMessage="1" errorTitle="Ошибка" error="Допускается ввод не более 900 символов!" sqref="K4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8">
      <formula1>"a"</formula1>
    </dataValidation>
    <dataValidation type="whole" allowBlank="1" showErrorMessage="1" errorTitle="Ошибка" error="Допускается ввод только неотрицательных целых чисел!" sqref="AI447">
      <formula1>0</formula1>
      <formula2>9.99999999999999E+23</formula2>
    </dataValidation>
    <dataValidation type="whole" allowBlank="1" showErrorMessage="1" errorTitle="Ошибка" error="Допускается ввод только неотрицательных целых чисел!" sqref="AF447">
      <formula1>0</formula1>
      <formula2>9.99999999999999E+23</formula2>
    </dataValidation>
    <dataValidation type="decimal" allowBlank="1" showErrorMessage="1" errorTitle="Ошибка" error="Допускается ввод только неотрицательных чисел!" sqref="AE447">
      <formula1>0</formula1>
      <formula2>9.99999999999999E+23</formula2>
    </dataValidation>
    <dataValidation type="decimal" allowBlank="1" showErrorMessage="1" errorTitle="Ошибка" error="Допускается ввод только неотрицательных чисел!" sqref="AC447">
      <formula1>0</formula1>
      <formula2>9.99999999999999E+23</formula2>
    </dataValidation>
    <dataValidation type="textLength" operator="lessThanOrEqual" allowBlank="1" showInputMessage="1" showErrorMessage="1" errorTitle="Ошибка" error="Допускается ввод не более 900 символов!" sqref="K4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7">
      <formula1>"a"</formula1>
    </dataValidation>
    <dataValidation type="whole" allowBlank="1" showErrorMessage="1" errorTitle="Ошибка" error="Допускается ввод только неотрицательных целых чисел!" sqref="AI446">
      <formula1>0</formula1>
      <formula2>9.99999999999999E+23</formula2>
    </dataValidation>
    <dataValidation type="whole" allowBlank="1" showErrorMessage="1" errorTitle="Ошибка" error="Допускается ввод только неотрицательных целых чисел!" sqref="AF446">
      <formula1>0</formula1>
      <formula2>9.99999999999999E+23</formula2>
    </dataValidation>
    <dataValidation type="textLength" operator="lessThanOrEqual" allowBlank="1" showInputMessage="1" showErrorMessage="1" errorTitle="Ошибка" error="Допускается ввод не более 900 символов!" sqref="K4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6">
      <formula1>"a"</formula1>
    </dataValidation>
    <dataValidation type="whole" allowBlank="1" showErrorMessage="1" errorTitle="Ошибка" error="Допускается ввод только неотрицательных целых чисел!" sqref="AI445">
      <formula1>0</formula1>
      <formula2>9.99999999999999E+23</formula2>
    </dataValidation>
    <dataValidation type="whole" allowBlank="1" showErrorMessage="1" errorTitle="Ошибка" error="Допускается ввод только неотрицательных целых чисел!" sqref="AF445">
      <formula1>0</formula1>
      <formula2>9.99999999999999E+23</formula2>
    </dataValidation>
    <dataValidation type="textLength" operator="lessThanOrEqual" allowBlank="1" showInputMessage="1" showErrorMessage="1" errorTitle="Ошибка" error="Допускается ввод не более 900 символов!" sqref="M445">
      <formula1>900</formula1>
    </dataValidation>
    <dataValidation type="textLength" operator="lessThanOrEqual" allowBlank="1" showInputMessage="1" showErrorMessage="1" errorTitle="Ошибка" error="Допускается ввод не более 900 символов!" sqref="K4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5">
      <formula1>"a"</formula1>
    </dataValidation>
    <dataValidation type="whole" allowBlank="1" showErrorMessage="1" errorTitle="Ошибка" error="Допускается ввод только неотрицательных целых чисел!" sqref="AI444">
      <formula1>0</formula1>
      <formula2>9.99999999999999E+23</formula2>
    </dataValidation>
    <dataValidation type="whole" allowBlank="1" showErrorMessage="1" errorTitle="Ошибка" error="Допускается ввод только неотрицательных целых чисел!" sqref="AF444">
      <formula1>0</formula1>
      <formula2>9.99999999999999E+23</formula2>
    </dataValidation>
    <dataValidation type="whole" allowBlank="1" showErrorMessage="1" errorTitle="Ошибка" error="Допускается ввод только неотрицательных целых чисел!" sqref="AI443">
      <formula1>0</formula1>
      <formula2>9.99999999999999E+23</formula2>
    </dataValidation>
    <dataValidation type="whole" allowBlank="1" showErrorMessage="1" errorTitle="Ошибка" error="Допускается ввод только неотрицательных целых чисел!" sqref="AF443">
      <formula1>0</formula1>
      <formula2>9.99999999999999E+23</formula2>
    </dataValidation>
    <dataValidation type="textLength" operator="lessThanOrEqual" allowBlank="1" showInputMessage="1" showErrorMessage="1" errorTitle="Ошибка" error="Допускается ввод не более 900 символов!" sqref="K4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3">
      <formula1>"a"</formula1>
    </dataValidation>
    <dataValidation type="whole" allowBlank="1" showErrorMessage="1" errorTitle="Ошибка" error="Допускается ввод только неотрицательных целых чисел!" sqref="AI442">
      <formula1>0</formula1>
      <formula2>9.99999999999999E+23</formula2>
    </dataValidation>
    <dataValidation type="whole" allowBlank="1" showErrorMessage="1" errorTitle="Ошибка" error="Допускается ввод только неотрицательных целых чисел!" sqref="AF442">
      <formula1>0</formula1>
      <formula2>9.99999999999999E+23</formula2>
    </dataValidation>
    <dataValidation type="decimal" allowBlank="1" showErrorMessage="1" errorTitle="Ошибка" error="Допускается ввод только неотрицательных чисел!" sqref="AE442">
      <formula1>0</formula1>
      <formula2>9.99999999999999E+23</formula2>
    </dataValidation>
    <dataValidation type="decimal" allowBlank="1" showErrorMessage="1" errorTitle="Ошибка" error="Допускается ввод только неотрицательных чисел!" sqref="AC442">
      <formula1>0</formula1>
      <formula2>9.99999999999999E+23</formula2>
    </dataValidation>
    <dataValidation type="textLength" operator="lessThanOrEqual" allowBlank="1" showInputMessage="1" showErrorMessage="1" errorTitle="Ошибка" error="Допускается ввод не более 900 символов!" sqref="K4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2">
      <formula1>"a"</formula1>
    </dataValidation>
    <dataValidation type="whole" allowBlank="1" showErrorMessage="1" errorTitle="Ошибка" error="Допускается ввод только неотрицательных целых чисел!" sqref="AI441">
      <formula1>0</formula1>
      <formula2>9.99999999999999E+23</formula2>
    </dataValidation>
    <dataValidation type="whole" allowBlank="1" showErrorMessage="1" errorTitle="Ошибка" error="Допускается ввод только неотрицательных целых чисел!" sqref="AF441">
      <formula1>0</formula1>
      <formula2>9.99999999999999E+23</formula2>
    </dataValidation>
    <dataValidation type="textLength" operator="lessThanOrEqual" allowBlank="1" showInputMessage="1" showErrorMessage="1" errorTitle="Ошибка" error="Допускается ввод не более 900 символов!" sqref="K4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1">
      <formula1>"a"</formula1>
    </dataValidation>
    <dataValidation type="whole" allowBlank="1" showErrorMessage="1" errorTitle="Ошибка" error="Допускается ввод только неотрицательных целых чисел!" sqref="AI440">
      <formula1>0</formula1>
      <formula2>9.99999999999999E+23</formula2>
    </dataValidation>
    <dataValidation type="whole" allowBlank="1" showErrorMessage="1" errorTitle="Ошибка" error="Допускается ввод только неотрицательных целых чисел!" sqref="AF440">
      <formula1>0</formula1>
      <formula2>9.99999999999999E+23</formula2>
    </dataValidation>
    <dataValidation type="textLength" operator="lessThanOrEqual" allowBlank="1" showInputMessage="1" showErrorMessage="1" errorTitle="Ошибка" error="Допускается ввод не более 900 символов!" sqref="M440">
      <formula1>900</formula1>
    </dataValidation>
    <dataValidation type="textLength" operator="lessThanOrEqual" allowBlank="1" showInputMessage="1" showErrorMessage="1" errorTitle="Ошибка" error="Допускается ввод не более 900 символов!" sqref="K4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0">
      <formula1>"a"</formula1>
    </dataValidation>
    <dataValidation type="whole" allowBlank="1" showErrorMessage="1" errorTitle="Ошибка" error="Допускается ввод только неотрицательных целых чисел!" sqref="AI439">
      <formula1>0</formula1>
      <formula2>9.99999999999999E+23</formula2>
    </dataValidation>
    <dataValidation type="whole" allowBlank="1" showErrorMessage="1" errorTitle="Ошибка" error="Допускается ввод только неотрицательных целых чисел!" sqref="AF439">
      <formula1>0</formula1>
      <formula2>9.99999999999999E+23</formula2>
    </dataValidation>
    <dataValidation type="whole" allowBlank="1" showErrorMessage="1" errorTitle="Ошибка" error="Допускается ввод только неотрицательных целых чисел!" sqref="AI438">
      <formula1>0</formula1>
      <formula2>9.99999999999999E+23</formula2>
    </dataValidation>
    <dataValidation type="whole" allowBlank="1" showErrorMessage="1" errorTitle="Ошибка" error="Допускается ввод только неотрицательных целых чисел!" sqref="AF438">
      <formula1>0</formula1>
      <formula2>9.99999999999999E+23</formula2>
    </dataValidation>
    <dataValidation type="textLength" operator="lessThanOrEqual" allowBlank="1" showInputMessage="1" showErrorMessage="1" errorTitle="Ошибка" error="Допускается ввод не более 900 символов!" sqref="K4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8">
      <formula1>"a"</formula1>
    </dataValidation>
    <dataValidation type="whole" allowBlank="1" showErrorMessage="1" errorTitle="Ошибка" error="Допускается ввод только неотрицательных целых чисел!" sqref="AI437">
      <formula1>0</formula1>
      <formula2>9.99999999999999E+23</formula2>
    </dataValidation>
    <dataValidation type="whole" allowBlank="1" showErrorMessage="1" errorTitle="Ошибка" error="Допускается ввод только неотрицательных целых чисел!" sqref="AF437">
      <formula1>0</formula1>
      <formula2>9.99999999999999E+23</formula2>
    </dataValidation>
    <dataValidation type="decimal" allowBlank="1" showErrorMessage="1" errorTitle="Ошибка" error="Допускается ввод только неотрицательных чисел!" sqref="AE437">
      <formula1>0</formula1>
      <formula2>9.99999999999999E+23</formula2>
    </dataValidation>
    <dataValidation type="decimal" allowBlank="1" showErrorMessage="1" errorTitle="Ошибка" error="Допускается ввод только неотрицательных чисел!" sqref="AC437">
      <formula1>0</formula1>
      <formula2>9.99999999999999E+23</formula2>
    </dataValidation>
    <dataValidation type="textLength" operator="lessThanOrEqual" allowBlank="1" showInputMessage="1" showErrorMessage="1" errorTitle="Ошибка" error="Допускается ввод не более 900 символов!" sqref="K4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7">
      <formula1>"a"</formula1>
    </dataValidation>
    <dataValidation type="whole" allowBlank="1" showErrorMessage="1" errorTitle="Ошибка" error="Допускается ввод только неотрицательных целых чисел!" sqref="AI436">
      <formula1>0</formula1>
      <formula2>9.99999999999999E+23</formula2>
    </dataValidation>
    <dataValidation type="whole" allowBlank="1" showErrorMessage="1" errorTitle="Ошибка" error="Допускается ввод только неотрицательных целых чисел!" sqref="AF436">
      <formula1>0</formula1>
      <formula2>9.99999999999999E+23</formula2>
    </dataValidation>
    <dataValidation type="textLength" operator="lessThanOrEqual" allowBlank="1" showInputMessage="1" showErrorMessage="1" errorTitle="Ошибка" error="Допускается ввод не более 900 символов!" sqref="K4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6">
      <formula1>"a"</formula1>
    </dataValidation>
    <dataValidation type="whole" allowBlank="1" showErrorMessage="1" errorTitle="Ошибка" error="Допускается ввод только неотрицательных целых чисел!" sqref="AI435">
      <formula1>0</formula1>
      <formula2>9.99999999999999E+23</formula2>
    </dataValidation>
    <dataValidation type="whole" allowBlank="1" showErrorMessage="1" errorTitle="Ошибка" error="Допускается ввод только неотрицательных целых чисел!" sqref="AF435">
      <formula1>0</formula1>
      <formula2>9.99999999999999E+23</formula2>
    </dataValidation>
    <dataValidation type="textLength" operator="lessThanOrEqual" allowBlank="1" showInputMessage="1" showErrorMessage="1" errorTitle="Ошибка" error="Допускается ввод не более 900 символов!" sqref="M435">
      <formula1>900</formula1>
    </dataValidation>
    <dataValidation type="textLength" operator="lessThanOrEqual" allowBlank="1" showInputMessage="1" showErrorMessage="1" errorTitle="Ошибка" error="Допускается ввод не более 900 символов!" sqref="K4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5">
      <formula1>"a"</formula1>
    </dataValidation>
    <dataValidation type="whole" allowBlank="1" showErrorMessage="1" errorTitle="Ошибка" error="Допускается ввод только неотрицательных целых чисел!" sqref="AI302">
      <formula1>0</formula1>
      <formula2>9.99999999999999E+23</formula2>
    </dataValidation>
    <dataValidation type="whole" allowBlank="1" showErrorMessage="1" errorTitle="Ошибка" error="Допускается ввод только неотрицательных целых чисел!" sqref="AF302">
      <formula1>0</formula1>
      <formula2>9.99999999999999E+23</formula2>
    </dataValidation>
    <dataValidation type="whole" allowBlank="1" showErrorMessage="1" errorTitle="Ошибка" error="Допускается ввод только неотрицательных целых чисел!" sqref="AI301">
      <formula1>0</formula1>
      <formula2>9.99999999999999E+23</formula2>
    </dataValidation>
    <dataValidation type="whole" allowBlank="1" showErrorMessage="1" errorTitle="Ошибка" error="Допускается ввод только неотрицательных целых чисел!" sqref="AF301">
      <formula1>0</formula1>
      <formula2>9.99999999999999E+23</formula2>
    </dataValidation>
    <dataValidation type="textLength" operator="lessThanOrEqual" allowBlank="1" showInputMessage="1" showErrorMessage="1" errorTitle="Ошибка" error="Допускается ввод не более 900 символов!" sqref="K3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1">
      <formula1>"a"</formula1>
    </dataValidation>
    <dataValidation type="whole" allowBlank="1" showErrorMessage="1" errorTitle="Ошибка" error="Допускается ввод только неотрицательных целых чисел!" sqref="AI300">
      <formula1>0</formula1>
      <formula2>9.99999999999999E+23</formula2>
    </dataValidation>
    <dataValidation type="whole" allowBlank="1" showErrorMessage="1" errorTitle="Ошибка" error="Допускается ввод только неотрицательных целых чисел!" sqref="AF300">
      <formula1>0</formula1>
      <formula2>9.99999999999999E+23</formula2>
    </dataValidation>
    <dataValidation type="decimal" allowBlank="1" showErrorMessage="1" errorTitle="Ошибка" error="Допускается ввод только неотрицательных чисел!" sqref="AE300">
      <formula1>0</formula1>
      <formula2>9.99999999999999E+23</formula2>
    </dataValidation>
    <dataValidation type="decimal" allowBlank="1" showErrorMessage="1" errorTitle="Ошибка" error="Допускается ввод только неотрицательных чисел!" sqref="AC300">
      <formula1>0</formula1>
      <formula2>9.99999999999999E+23</formula2>
    </dataValidation>
    <dataValidation type="textLength" operator="lessThanOrEqual" allowBlank="1" showInputMessage="1" showErrorMessage="1" errorTitle="Ошибка" error="Допускается ввод не более 900 символов!" sqref="K3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0">
      <formula1>"a"</formula1>
    </dataValidation>
    <dataValidation type="whole" allowBlank="1" showErrorMessage="1" errorTitle="Ошибка" error="Допускается ввод только неотрицательных целых чисел!" sqref="AI299">
      <formula1>0</formula1>
      <formula2>9.99999999999999E+23</formula2>
    </dataValidation>
    <dataValidation type="whole" allowBlank="1" showErrorMessage="1" errorTitle="Ошибка" error="Допускается ввод только неотрицательных целых чисел!" sqref="AF299">
      <formula1>0</formula1>
      <formula2>9.99999999999999E+23</formula2>
    </dataValidation>
    <dataValidation type="textLength" operator="lessThanOrEqual" allowBlank="1" showInputMessage="1" showErrorMessage="1" errorTitle="Ошибка" error="Допускается ввод не более 900 символов!" sqref="K2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9">
      <formula1>"a"</formula1>
    </dataValidation>
    <dataValidation type="whole" allowBlank="1" showErrorMessage="1" errorTitle="Ошибка" error="Допускается ввод только неотрицательных целых чисел!" sqref="AI298">
      <formula1>0</formula1>
      <formula2>9.99999999999999E+23</formula2>
    </dataValidation>
    <dataValidation type="whole" allowBlank="1" showErrorMessage="1" errorTitle="Ошибка" error="Допускается ввод только неотрицательных целых чисел!" sqref="AF298">
      <formula1>0</formula1>
      <formula2>9.99999999999999E+23</formula2>
    </dataValidation>
    <dataValidation type="textLength" operator="lessThanOrEqual" allowBlank="1" showInputMessage="1" showErrorMessage="1" errorTitle="Ошибка" error="Допускается ввод не более 900 символов!" sqref="M298">
      <formula1>900</formula1>
    </dataValidation>
    <dataValidation type="textLength" operator="lessThanOrEqual" allowBlank="1" showInputMessage="1" showErrorMessage="1" errorTitle="Ошибка" error="Допускается ввод не более 900 символов!" sqref="K2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8">
      <formula1>"a"</formula1>
    </dataValidation>
    <dataValidation type="whole" allowBlank="1" showErrorMessage="1" errorTitle="Ошибка" error="Допускается ввод только неотрицательных целых чисел!" sqref="AI297">
      <formula1>0</formula1>
      <formula2>9.99999999999999E+23</formula2>
    </dataValidation>
    <dataValidation type="whole" allowBlank="1" showErrorMessage="1" errorTitle="Ошибка" error="Допускается ввод только неотрицательных целых чисел!" sqref="AF297">
      <formula1>0</formula1>
      <formula2>9.99999999999999E+23</formula2>
    </dataValidation>
    <dataValidation type="whole" allowBlank="1" showErrorMessage="1" errorTitle="Ошибка" error="Допускается ввод только неотрицательных целых чисел!" sqref="AI296">
      <formula1>0</formula1>
      <formula2>9.99999999999999E+23</formula2>
    </dataValidation>
    <dataValidation type="whole" allowBlank="1" showErrorMessage="1" errorTitle="Ошибка" error="Допускается ввод только неотрицательных целых чисел!" sqref="AF296">
      <formula1>0</formula1>
      <formula2>9.99999999999999E+23</formula2>
    </dataValidation>
    <dataValidation type="textLength" operator="lessThanOrEqual" allowBlank="1" showInputMessage="1" showErrorMessage="1" errorTitle="Ошибка" error="Допускается ввод не более 900 символов!" sqref="K2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6">
      <formula1>"a"</formula1>
    </dataValidation>
    <dataValidation type="whole" allowBlank="1" showErrorMessage="1" errorTitle="Ошибка" error="Допускается ввод только неотрицательных целых чисел!" sqref="AI295">
      <formula1>0</formula1>
      <formula2>9.99999999999999E+23</formula2>
    </dataValidation>
    <dataValidation type="whole" allowBlank="1" showErrorMessage="1" errorTitle="Ошибка" error="Допускается ввод только неотрицательных целых чисел!" sqref="AF295">
      <formula1>0</formula1>
      <formula2>9.99999999999999E+23</formula2>
    </dataValidation>
    <dataValidation type="decimal" allowBlank="1" showErrorMessage="1" errorTitle="Ошибка" error="Допускается ввод только неотрицательных чисел!" sqref="AE295">
      <formula1>0</formula1>
      <formula2>9.99999999999999E+23</formula2>
    </dataValidation>
    <dataValidation type="decimal" allowBlank="1" showErrorMessage="1" errorTitle="Ошибка" error="Допускается ввод только неотрицательных чисел!" sqref="AC295">
      <formula1>0</formula1>
      <formula2>9.99999999999999E+23</formula2>
    </dataValidation>
    <dataValidation type="textLength" operator="lessThanOrEqual" allowBlank="1" showInputMessage="1" showErrorMessage="1" errorTitle="Ошибка" error="Допускается ввод не более 900 символов!" sqref="K2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5">
      <formula1>"a"</formula1>
    </dataValidation>
    <dataValidation type="whole" allowBlank="1" showErrorMessage="1" errorTitle="Ошибка" error="Допускается ввод только неотрицательных целых чисел!" sqref="AI294">
      <formula1>0</formula1>
      <formula2>9.99999999999999E+23</formula2>
    </dataValidation>
    <dataValidation type="whole" allowBlank="1" showErrorMessage="1" errorTitle="Ошибка" error="Допускается ввод только неотрицательных целых чисел!" sqref="AF294">
      <formula1>0</formula1>
      <formula2>9.99999999999999E+23</formula2>
    </dataValidation>
    <dataValidation type="textLength" operator="lessThanOrEqual" allowBlank="1" showInputMessage="1" showErrorMessage="1" errorTitle="Ошибка" error="Допускается ввод не более 900 символов!" sqref="K2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4">
      <formula1>"a"</formula1>
    </dataValidation>
    <dataValidation type="whole" allowBlank="1" showErrorMessage="1" errorTitle="Ошибка" error="Допускается ввод только неотрицательных целых чисел!" sqref="AI293">
      <formula1>0</formula1>
      <formula2>9.99999999999999E+23</formula2>
    </dataValidation>
    <dataValidation type="whole" allowBlank="1" showErrorMessage="1" errorTitle="Ошибка" error="Допускается ввод только неотрицательных целых чисел!" sqref="AF293">
      <formula1>0</formula1>
      <formula2>9.99999999999999E+23</formula2>
    </dataValidation>
    <dataValidation type="textLength" operator="lessThanOrEqual" allowBlank="1" showInputMessage="1" showErrorMessage="1" errorTitle="Ошибка" error="Допускается ввод не более 900 символов!" sqref="M293">
      <formula1>900</formula1>
    </dataValidation>
    <dataValidation type="textLength" operator="lessThanOrEqual" allowBlank="1" showInputMessage="1" showErrorMessage="1" errorTitle="Ошибка" error="Допускается ввод не более 900 символов!" sqref="K2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3">
      <formula1>"a"</formula1>
    </dataValidation>
    <dataValidation type="whole" allowBlank="1" showErrorMessage="1" errorTitle="Ошибка" error="Допускается ввод только неотрицательных целых чисел!" sqref="AI554">
      <formula1>0</formula1>
      <formula2>9.99999999999999E+23</formula2>
    </dataValidation>
    <dataValidation type="whole" allowBlank="1" showErrorMessage="1" errorTitle="Ошибка" error="Допускается ввод только неотрицательных целых чисел!" sqref="AF554">
      <formula1>0</formula1>
      <formula2>9.99999999999999E+23</formula2>
    </dataValidation>
    <dataValidation type="whole" allowBlank="1" showErrorMessage="1" errorTitle="Ошибка" error="Допускается ввод только неотрицательных целых чисел!" sqref="AI553">
      <formula1>0</formula1>
      <formula2>9.99999999999999E+23</formula2>
    </dataValidation>
    <dataValidation type="whole" allowBlank="1" showErrorMessage="1" errorTitle="Ошибка" error="Допускается ввод только неотрицательных целых чисел!" sqref="AF553">
      <formula1>0</formula1>
      <formula2>9.99999999999999E+23</formula2>
    </dataValidation>
    <dataValidation type="textLength" operator="lessThanOrEqual" allowBlank="1" showInputMessage="1" showErrorMessage="1" errorTitle="Ошибка" error="Допускается ввод не более 900 символов!" sqref="K5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3">
      <formula1>"a"</formula1>
    </dataValidation>
    <dataValidation type="whole" allowBlank="1" showErrorMessage="1" errorTitle="Ошибка" error="Допускается ввод только неотрицательных целых чисел!" sqref="AI552">
      <formula1>0</formula1>
      <formula2>9.99999999999999E+23</formula2>
    </dataValidation>
    <dataValidation type="whole" allowBlank="1" showErrorMessage="1" errorTitle="Ошибка" error="Допускается ввод только неотрицательных целых чисел!" sqref="AF552">
      <formula1>0</formula1>
      <formula2>9.99999999999999E+23</formula2>
    </dataValidation>
    <dataValidation type="decimal" allowBlank="1" showErrorMessage="1" errorTitle="Ошибка" error="Допускается ввод только неотрицательных чисел!" sqref="AE552">
      <formula1>0</formula1>
      <formula2>9.99999999999999E+23</formula2>
    </dataValidation>
    <dataValidation type="decimal" allowBlank="1" showErrorMessage="1" errorTitle="Ошибка" error="Допускается ввод только неотрицательных чисел!" sqref="AC552">
      <formula1>0</formula1>
      <formula2>9.99999999999999E+23</formula2>
    </dataValidation>
    <dataValidation type="textLength" operator="lessThanOrEqual" allowBlank="1" showInputMessage="1" showErrorMessage="1" errorTitle="Ошибка" error="Допускается ввод не более 900 символов!" sqref="K5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2">
      <formula1>"a"</formula1>
    </dataValidation>
    <dataValidation type="whole" allowBlank="1" showErrorMessage="1" errorTitle="Ошибка" error="Допускается ввод только неотрицательных целых чисел!" sqref="AI551">
      <formula1>0</formula1>
      <formula2>9.99999999999999E+23</formula2>
    </dataValidation>
    <dataValidation type="whole" allowBlank="1" showErrorMessage="1" errorTitle="Ошибка" error="Допускается ввод только неотрицательных целых чисел!" sqref="AF551">
      <formula1>0</formula1>
      <formula2>9.99999999999999E+23</formula2>
    </dataValidation>
    <dataValidation type="textLength" operator="lessThanOrEqual" allowBlank="1" showInputMessage="1" showErrorMessage="1" errorTitle="Ошибка" error="Допускается ввод не более 900 символов!" sqref="K5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1">
      <formula1>"a"</formula1>
    </dataValidation>
    <dataValidation type="whole" allowBlank="1" showErrorMessage="1" errorTitle="Ошибка" error="Допускается ввод только неотрицательных целых чисел!" sqref="AI550">
      <formula1>0</formula1>
      <formula2>9.99999999999999E+23</formula2>
    </dataValidation>
    <dataValidation type="whole" allowBlank="1" showErrorMessage="1" errorTitle="Ошибка" error="Допускается ввод только неотрицательных целых чисел!" sqref="AF550">
      <formula1>0</formula1>
      <formula2>9.99999999999999E+23</formula2>
    </dataValidation>
    <dataValidation type="textLength" operator="lessThanOrEqual" allowBlank="1" showInputMessage="1" showErrorMessage="1" errorTitle="Ошибка" error="Допускается ввод не более 900 символов!" sqref="M550">
      <formula1>900</formula1>
    </dataValidation>
    <dataValidation type="textLength" operator="lessThanOrEqual" allowBlank="1" showInputMessage="1" showErrorMessage="1" errorTitle="Ошибка" error="Допускается ввод не более 900 символов!" sqref="K5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0">
      <formula1>"a"</formula1>
    </dataValidation>
    <dataValidation type="whole" allowBlank="1" showErrorMessage="1" errorTitle="Ошибка" error="Допускается ввод только неотрицательных целых чисел!" sqref="AI549">
      <formula1>0</formula1>
      <formula2>9.99999999999999E+23</formula2>
    </dataValidation>
    <dataValidation type="whole" allowBlank="1" showErrorMessage="1" errorTitle="Ошибка" error="Допускается ввод только неотрицательных целых чисел!" sqref="AF549">
      <formula1>0</formula1>
      <formula2>9.99999999999999E+23</formula2>
    </dataValidation>
    <dataValidation type="whole" allowBlank="1" showErrorMessage="1" errorTitle="Ошибка" error="Допускается ввод только неотрицательных целых чисел!" sqref="AI548">
      <formula1>0</formula1>
      <formula2>9.99999999999999E+23</formula2>
    </dataValidation>
    <dataValidation type="whole" allowBlank="1" showErrorMessage="1" errorTitle="Ошибка" error="Допускается ввод только неотрицательных целых чисел!" sqref="AF548">
      <formula1>0</formula1>
      <formula2>9.99999999999999E+23</formula2>
    </dataValidation>
    <dataValidation type="textLength" operator="lessThanOrEqual" allowBlank="1" showInputMessage="1" showErrorMessage="1" errorTitle="Ошибка" error="Допускается ввод не более 900 символов!" sqref="K5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8">
      <formula1>"a"</formula1>
    </dataValidation>
    <dataValidation type="whole" allowBlank="1" showErrorMessage="1" errorTitle="Ошибка" error="Допускается ввод только неотрицательных целых чисел!" sqref="AI547">
      <formula1>0</formula1>
      <formula2>9.99999999999999E+23</formula2>
    </dataValidation>
    <dataValidation type="whole" allowBlank="1" showErrorMessage="1" errorTitle="Ошибка" error="Допускается ввод только неотрицательных целых чисел!" sqref="AF547">
      <formula1>0</formula1>
      <formula2>9.99999999999999E+23</formula2>
    </dataValidation>
    <dataValidation type="decimal" allowBlank="1" showErrorMessage="1" errorTitle="Ошибка" error="Допускается ввод только неотрицательных чисел!" sqref="AE547">
      <formula1>0</formula1>
      <formula2>9.99999999999999E+23</formula2>
    </dataValidation>
    <dataValidation type="decimal" allowBlank="1" showErrorMessage="1" errorTitle="Ошибка" error="Допускается ввод только неотрицательных чисел!" sqref="AC547">
      <formula1>0</formula1>
      <formula2>9.99999999999999E+23</formula2>
    </dataValidation>
    <dataValidation type="textLength" operator="lessThanOrEqual" allowBlank="1" showInputMessage="1" showErrorMessage="1" errorTitle="Ошибка" error="Допускается ввод не более 900 символов!" sqref="K5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7">
      <formula1>"a"</formula1>
    </dataValidation>
    <dataValidation type="whole" allowBlank="1" showErrorMessage="1" errorTitle="Ошибка" error="Допускается ввод только неотрицательных целых чисел!" sqref="AI546">
      <formula1>0</formula1>
      <formula2>9.99999999999999E+23</formula2>
    </dataValidation>
    <dataValidation type="whole" allowBlank="1" showErrorMessage="1" errorTitle="Ошибка" error="Допускается ввод только неотрицательных целых чисел!" sqref="AF546">
      <formula1>0</formula1>
      <formula2>9.99999999999999E+23</formula2>
    </dataValidation>
    <dataValidation type="textLength" operator="lessThanOrEqual" allowBlank="1" showInputMessage="1" showErrorMessage="1" errorTitle="Ошибка" error="Допускается ввод не более 900 символов!" sqref="K5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6">
      <formula1>"a"</formula1>
    </dataValidation>
    <dataValidation type="whole" allowBlank="1" showErrorMessage="1" errorTitle="Ошибка" error="Допускается ввод только неотрицательных целых чисел!" sqref="AI545">
      <formula1>0</formula1>
      <formula2>9.99999999999999E+23</formula2>
    </dataValidation>
    <dataValidation type="whole" allowBlank="1" showErrorMessage="1" errorTitle="Ошибка" error="Допускается ввод только неотрицательных целых чисел!" sqref="AF545">
      <formula1>0</formula1>
      <formula2>9.99999999999999E+23</formula2>
    </dataValidation>
    <dataValidation type="textLength" operator="lessThanOrEqual" allowBlank="1" showInputMessage="1" showErrorMessage="1" errorTitle="Ошибка" error="Допускается ввод не более 900 символов!" sqref="M545">
      <formula1>900</formula1>
    </dataValidation>
    <dataValidation type="textLength" operator="lessThanOrEqual" allowBlank="1" showInputMessage="1" showErrorMessage="1" errorTitle="Ошибка" error="Допускается ввод не более 900 символов!" sqref="K5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5">
      <formula1>"a"</formula1>
    </dataValidation>
    <dataValidation type="whole" allowBlank="1" showErrorMessage="1" errorTitle="Ошибка" error="Допускается ввод только неотрицательных целых чисел!" sqref="AI434">
      <formula1>0</formula1>
      <formula2>9.99999999999999E+23</formula2>
    </dataValidation>
    <dataValidation type="whole" allowBlank="1" showErrorMessage="1" errorTitle="Ошибка" error="Допускается ввод только неотрицательных целых чисел!" sqref="AF434">
      <formula1>0</formula1>
      <formula2>9.99999999999999E+23</formula2>
    </dataValidation>
    <dataValidation type="whole" allowBlank="1" showErrorMessage="1" errorTitle="Ошибка" error="Допускается ввод только неотрицательных целых чисел!" sqref="AI433">
      <formula1>0</formula1>
      <formula2>9.99999999999999E+23</formula2>
    </dataValidation>
    <dataValidation type="whole" allowBlank="1" showErrorMessage="1" errorTitle="Ошибка" error="Допускается ввод только неотрицательных целых чисел!" sqref="AF433">
      <formula1>0</formula1>
      <formula2>9.99999999999999E+23</formula2>
    </dataValidation>
    <dataValidation type="textLength" operator="lessThanOrEqual" allowBlank="1" showInputMessage="1" showErrorMessage="1" errorTitle="Ошибка" error="Допускается ввод не более 900 символов!" sqref="K4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3">
      <formula1>"a"</formula1>
    </dataValidation>
    <dataValidation type="whole" allowBlank="1" showErrorMessage="1" errorTitle="Ошибка" error="Допускается ввод только неотрицательных целых чисел!" sqref="AI432">
      <formula1>0</formula1>
      <formula2>9.99999999999999E+23</formula2>
    </dataValidation>
    <dataValidation type="whole" allowBlank="1" showErrorMessage="1" errorTitle="Ошибка" error="Допускается ввод только неотрицательных целых чисел!" sqref="AF432">
      <formula1>0</formula1>
      <formula2>9.99999999999999E+23</formula2>
    </dataValidation>
    <dataValidation type="decimal" allowBlank="1" showErrorMessage="1" errorTitle="Ошибка" error="Допускается ввод только неотрицательных чисел!" sqref="AE432">
      <formula1>0</formula1>
      <formula2>9.99999999999999E+23</formula2>
    </dataValidation>
    <dataValidation type="decimal" allowBlank="1" showErrorMessage="1" errorTitle="Ошибка" error="Допускается ввод только неотрицательных чисел!" sqref="AC432">
      <formula1>0</formula1>
      <formula2>9.99999999999999E+23</formula2>
    </dataValidation>
    <dataValidation type="textLength" operator="lessThanOrEqual" allowBlank="1" showInputMessage="1" showErrorMessage="1" errorTitle="Ошибка" error="Допускается ввод не более 900 символов!" sqref="K4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2">
      <formula1>"a"</formula1>
    </dataValidation>
    <dataValidation type="whole" allowBlank="1" showErrorMessage="1" errorTitle="Ошибка" error="Допускается ввод только неотрицательных целых чисел!" sqref="AI431">
      <formula1>0</formula1>
      <formula2>9.99999999999999E+23</formula2>
    </dataValidation>
    <dataValidation type="whole" allowBlank="1" showErrorMessage="1" errorTitle="Ошибка" error="Допускается ввод только неотрицательных целых чисел!" sqref="AF431">
      <formula1>0</formula1>
      <formula2>9.99999999999999E+23</formula2>
    </dataValidation>
    <dataValidation type="textLength" operator="lessThanOrEqual" allowBlank="1" showInputMessage="1" showErrorMessage="1" errorTitle="Ошибка" error="Допускается ввод не более 900 символов!" sqref="K4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1">
      <formula1>"a"</formula1>
    </dataValidation>
    <dataValidation type="whole" allowBlank="1" showErrorMessage="1" errorTitle="Ошибка" error="Допускается ввод только неотрицательных целых чисел!" sqref="AI430">
      <formula1>0</formula1>
      <formula2>9.99999999999999E+23</formula2>
    </dataValidation>
    <dataValidation type="whole" allowBlank="1" showErrorMessage="1" errorTitle="Ошибка" error="Допускается ввод только неотрицательных целых чисел!" sqref="AF430">
      <formula1>0</formula1>
      <formula2>9.99999999999999E+23</formula2>
    </dataValidation>
    <dataValidation type="textLength" operator="lessThanOrEqual" allowBlank="1" showInputMessage="1" showErrorMessage="1" errorTitle="Ошибка" error="Допускается ввод не более 900 символов!" sqref="M430">
      <formula1>900</formula1>
    </dataValidation>
    <dataValidation type="textLength" operator="lessThanOrEqual" allowBlank="1" showInputMessage="1" showErrorMessage="1" errorTitle="Ошибка" error="Допускается ввод не более 900 символов!" sqref="K4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0">
      <formula1>"a"</formula1>
    </dataValidation>
    <dataValidation type="whole" allowBlank="1" showErrorMessage="1" errorTitle="Ошибка" error="Допускается ввод только неотрицательных целых чисел!" sqref="AI429">
      <formula1>0</formula1>
      <formula2>9.99999999999999E+23</formula2>
    </dataValidation>
    <dataValidation type="whole" allowBlank="1" showErrorMessage="1" errorTitle="Ошибка" error="Допускается ввод только неотрицательных целых чисел!" sqref="AF429">
      <formula1>0</formula1>
      <formula2>9.99999999999999E+23</formula2>
    </dataValidation>
    <dataValidation type="whole" allowBlank="1" showErrorMessage="1" errorTitle="Ошибка" error="Допускается ввод только неотрицательных целых чисел!" sqref="AI428">
      <formula1>0</formula1>
      <formula2>9.99999999999999E+23</formula2>
    </dataValidation>
    <dataValidation type="whole" allowBlank="1" showErrorMessage="1" errorTitle="Ошибка" error="Допускается ввод только неотрицательных целых чисел!" sqref="AF428">
      <formula1>0</formula1>
      <formula2>9.99999999999999E+23</formula2>
    </dataValidation>
    <dataValidation type="textLength" operator="lessThanOrEqual" allowBlank="1" showInputMessage="1" showErrorMessage="1" errorTitle="Ошибка" error="Допускается ввод не более 900 символов!" sqref="K4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8">
      <formula1>"a"</formula1>
    </dataValidation>
    <dataValidation type="whole" allowBlank="1" showErrorMessage="1" errorTitle="Ошибка" error="Допускается ввод только неотрицательных целых чисел!" sqref="AI427">
      <formula1>0</formula1>
      <formula2>9.99999999999999E+23</formula2>
    </dataValidation>
    <dataValidation type="whole" allowBlank="1" showErrorMessage="1" errorTitle="Ошибка" error="Допускается ввод только неотрицательных целых чисел!" sqref="AF427">
      <formula1>0</formula1>
      <formula2>9.99999999999999E+23</formula2>
    </dataValidation>
    <dataValidation type="decimal" allowBlank="1" showErrorMessage="1" errorTitle="Ошибка" error="Допускается ввод только неотрицательных чисел!" sqref="AE427">
      <formula1>0</formula1>
      <formula2>9.99999999999999E+23</formula2>
    </dataValidation>
    <dataValidation type="decimal" allowBlank="1" showErrorMessage="1" errorTitle="Ошибка" error="Допускается ввод только неотрицательных чисел!" sqref="AC427">
      <formula1>0</formula1>
      <formula2>9.99999999999999E+23</formula2>
    </dataValidation>
    <dataValidation type="textLength" operator="lessThanOrEqual" allowBlank="1" showInputMessage="1" showErrorMessage="1" errorTitle="Ошибка" error="Допускается ввод не более 900 символов!" sqref="K4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7">
      <formula1>"a"</formula1>
    </dataValidation>
    <dataValidation type="whole" allowBlank="1" showErrorMessage="1" errorTitle="Ошибка" error="Допускается ввод только неотрицательных целых чисел!" sqref="AI426">
      <formula1>0</formula1>
      <formula2>9.99999999999999E+23</formula2>
    </dataValidation>
    <dataValidation type="whole" allowBlank="1" showErrorMessage="1" errorTitle="Ошибка" error="Допускается ввод только неотрицательных целых чисел!" sqref="AF426">
      <formula1>0</formula1>
      <formula2>9.99999999999999E+23</formula2>
    </dataValidation>
    <dataValidation type="textLength" operator="lessThanOrEqual" allowBlank="1" showInputMessage="1" showErrorMessage="1" errorTitle="Ошибка" error="Допускается ввод не более 900 символов!" sqref="K4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6">
      <formula1>"a"</formula1>
    </dataValidation>
    <dataValidation type="whole" allowBlank="1" showErrorMessage="1" errorTitle="Ошибка" error="Допускается ввод только неотрицательных целых чисел!" sqref="AI425">
      <formula1>0</formula1>
      <formula2>9.99999999999999E+23</formula2>
    </dataValidation>
    <dataValidation type="whole" allowBlank="1" showErrorMessage="1" errorTitle="Ошибка" error="Допускается ввод только неотрицательных целых чисел!" sqref="AF425">
      <formula1>0</formula1>
      <formula2>9.99999999999999E+23</formula2>
    </dataValidation>
    <dataValidation type="textLength" operator="lessThanOrEqual" allowBlank="1" showInputMessage="1" showErrorMessage="1" errorTitle="Ошибка" error="Допускается ввод не более 900 символов!" sqref="M425">
      <formula1>900</formula1>
    </dataValidation>
    <dataValidation type="textLength" operator="lessThanOrEqual" allowBlank="1" showInputMessage="1" showErrorMessage="1" errorTitle="Ошибка" error="Допускается ввод не более 900 символов!" sqref="K4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5">
      <formula1>"a"</formula1>
    </dataValidation>
    <dataValidation type="whole" allowBlank="1" showErrorMessage="1" errorTitle="Ошибка" error="Допускается ввод только неотрицательных целых чисел!" sqref="AI424">
      <formula1>0</formula1>
      <formula2>9.99999999999999E+23</formula2>
    </dataValidation>
    <dataValidation type="whole" allowBlank="1" showErrorMessage="1" errorTitle="Ошибка" error="Допускается ввод только неотрицательных целых чисел!" sqref="AF424">
      <formula1>0</formula1>
      <formula2>9.99999999999999E+23</formula2>
    </dataValidation>
    <dataValidation type="whole" allowBlank="1" showErrorMessage="1" errorTitle="Ошибка" error="Допускается ввод только неотрицательных целых чисел!" sqref="AI423">
      <formula1>0</formula1>
      <formula2>9.99999999999999E+23</formula2>
    </dataValidation>
    <dataValidation type="whole" allowBlank="1" showErrorMessage="1" errorTitle="Ошибка" error="Допускается ввод только неотрицательных целых чисел!" sqref="AF423">
      <formula1>0</formula1>
      <formula2>9.99999999999999E+23</formula2>
    </dataValidation>
    <dataValidation type="textLength" operator="lessThanOrEqual" allowBlank="1" showInputMessage="1" showErrorMessage="1" errorTitle="Ошибка" error="Допускается ввод не более 900 символов!" sqref="K4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3">
      <formula1>"a"</formula1>
    </dataValidation>
    <dataValidation type="whole" allowBlank="1" showErrorMessage="1" errorTitle="Ошибка" error="Допускается ввод только неотрицательных целых чисел!" sqref="AI422">
      <formula1>0</formula1>
      <formula2>9.99999999999999E+23</formula2>
    </dataValidation>
    <dataValidation type="whole" allowBlank="1" showErrorMessage="1" errorTitle="Ошибка" error="Допускается ввод только неотрицательных целых чисел!" sqref="AF422">
      <formula1>0</formula1>
      <formula2>9.99999999999999E+23</formula2>
    </dataValidation>
    <dataValidation type="decimal" allowBlank="1" showErrorMessage="1" errorTitle="Ошибка" error="Допускается ввод только неотрицательных чисел!" sqref="AE422">
      <formula1>0</formula1>
      <formula2>9.99999999999999E+23</formula2>
    </dataValidation>
    <dataValidation type="decimal" allowBlank="1" showErrorMessage="1" errorTitle="Ошибка" error="Допускается ввод только неотрицательных чисел!" sqref="AC422">
      <formula1>0</formula1>
      <formula2>9.99999999999999E+23</formula2>
    </dataValidation>
    <dataValidation type="textLength" operator="lessThanOrEqual" allowBlank="1" showInputMessage="1" showErrorMessage="1" errorTitle="Ошибка" error="Допускается ввод не более 900 символов!" sqref="K4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2">
      <formula1>"a"</formula1>
    </dataValidation>
    <dataValidation type="whole" allowBlank="1" showErrorMessage="1" errorTitle="Ошибка" error="Допускается ввод только неотрицательных целых чисел!" sqref="AI421">
      <formula1>0</formula1>
      <formula2>9.99999999999999E+23</formula2>
    </dataValidation>
    <dataValidation type="whole" allowBlank="1" showErrorMessage="1" errorTitle="Ошибка" error="Допускается ввод только неотрицательных целых чисел!" sqref="AF421">
      <formula1>0</formula1>
      <formula2>9.99999999999999E+23</formula2>
    </dataValidation>
    <dataValidation type="textLength" operator="lessThanOrEqual" allowBlank="1" showInputMessage="1" showErrorMessage="1" errorTitle="Ошибка" error="Допускается ввод не более 900 символов!" sqref="K4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1">
      <formula1>"a"</formula1>
    </dataValidation>
    <dataValidation type="whole" allowBlank="1" showErrorMessage="1" errorTitle="Ошибка" error="Допускается ввод только неотрицательных целых чисел!" sqref="AI420">
      <formula1>0</formula1>
      <formula2>9.99999999999999E+23</formula2>
    </dataValidation>
    <dataValidation type="whole" allowBlank="1" showErrorMessage="1" errorTitle="Ошибка" error="Допускается ввод только неотрицательных целых чисел!" sqref="AF420">
      <formula1>0</formula1>
      <formula2>9.99999999999999E+23</formula2>
    </dataValidation>
    <dataValidation type="textLength" operator="lessThanOrEqual" allowBlank="1" showInputMessage="1" showErrorMessage="1" errorTitle="Ошибка" error="Допускается ввод не более 900 символов!" sqref="M420">
      <formula1>900</formula1>
    </dataValidation>
    <dataValidation type="textLength" operator="lessThanOrEqual" allowBlank="1" showInputMessage="1" showErrorMessage="1" errorTitle="Ошибка" error="Допускается ввод не более 900 символов!" sqref="K4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0">
      <formula1>"a"</formula1>
    </dataValidation>
    <dataValidation type="whole" allowBlank="1" showErrorMessage="1" errorTitle="Ошибка" error="Допускается ввод только неотрицательных целых чисел!" sqref="AI292">
      <formula1>0</formula1>
      <formula2>9.99999999999999E+23</formula2>
    </dataValidation>
    <dataValidation type="whole" allowBlank="1" showErrorMessage="1" errorTitle="Ошибка" error="Допускается ввод только неотрицательных целых чисел!" sqref="AF292">
      <formula1>0</formula1>
      <formula2>9.99999999999999E+23</formula2>
    </dataValidation>
    <dataValidation type="whole" allowBlank="1" showErrorMessage="1" errorTitle="Ошибка" error="Допускается ввод только неотрицательных целых чисел!" sqref="AI291">
      <formula1>0</formula1>
      <formula2>9.99999999999999E+23</formula2>
    </dataValidation>
    <dataValidation type="whole" allowBlank="1" showErrorMessage="1" errorTitle="Ошибка" error="Допускается ввод только неотрицательных целых чисел!" sqref="AF291">
      <formula1>0</formula1>
      <formula2>9.99999999999999E+23</formula2>
    </dataValidation>
    <dataValidation type="textLength" operator="lessThanOrEqual" allowBlank="1" showInputMessage="1" showErrorMessage="1" errorTitle="Ошибка" error="Допускается ввод не более 900 символов!" sqref="K2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1">
      <formula1>"a"</formula1>
    </dataValidation>
    <dataValidation type="whole" allowBlank="1" showErrorMessage="1" errorTitle="Ошибка" error="Допускается ввод только неотрицательных целых чисел!" sqref="AI290">
      <formula1>0</formula1>
      <formula2>9.99999999999999E+23</formula2>
    </dataValidation>
    <dataValidation type="whole" allowBlank="1" showErrorMessage="1" errorTitle="Ошибка" error="Допускается ввод только неотрицательных целых чисел!" sqref="AF290">
      <formula1>0</formula1>
      <formula2>9.99999999999999E+23</formula2>
    </dataValidation>
    <dataValidation type="decimal" allowBlank="1" showErrorMessage="1" errorTitle="Ошибка" error="Допускается ввод только неотрицательных чисел!" sqref="AE290">
      <formula1>0</formula1>
      <formula2>9.99999999999999E+23</formula2>
    </dataValidation>
    <dataValidation type="decimal" allowBlank="1" showErrorMessage="1" errorTitle="Ошибка" error="Допускается ввод только неотрицательных чисел!" sqref="AC290">
      <formula1>0</formula1>
      <formula2>9.99999999999999E+23</formula2>
    </dataValidation>
    <dataValidation type="textLength" operator="lessThanOrEqual" allowBlank="1" showInputMessage="1" showErrorMessage="1" errorTitle="Ошибка" error="Допускается ввод не более 900 символов!" sqref="K2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0">
      <formula1>"a"</formula1>
    </dataValidation>
    <dataValidation type="whole" allowBlank="1" showErrorMessage="1" errorTitle="Ошибка" error="Допускается ввод только неотрицательных целых чисел!" sqref="AI289">
      <formula1>0</formula1>
      <formula2>9.99999999999999E+23</formula2>
    </dataValidation>
    <dataValidation type="whole" allowBlank="1" showErrorMessage="1" errorTitle="Ошибка" error="Допускается ввод только неотрицательных целых чисел!" sqref="AF289">
      <formula1>0</formula1>
      <formula2>9.99999999999999E+23</formula2>
    </dataValidation>
    <dataValidation type="textLength" operator="lessThanOrEqual" allowBlank="1" showInputMessage="1" showErrorMessage="1" errorTitle="Ошибка" error="Допускается ввод не более 900 символов!" sqref="K2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9">
      <formula1>"a"</formula1>
    </dataValidation>
    <dataValidation type="whole" allowBlank="1" showErrorMessage="1" errorTitle="Ошибка" error="Допускается ввод только неотрицательных целых чисел!" sqref="AI288">
      <formula1>0</formula1>
      <formula2>9.99999999999999E+23</formula2>
    </dataValidation>
    <dataValidation type="whole" allowBlank="1" showErrorMessage="1" errorTitle="Ошибка" error="Допускается ввод только неотрицательных целых чисел!" sqref="AF288">
      <formula1>0</formula1>
      <formula2>9.99999999999999E+23</formula2>
    </dataValidation>
    <dataValidation type="textLength" operator="lessThanOrEqual" allowBlank="1" showInputMessage="1" showErrorMessage="1" errorTitle="Ошибка" error="Допускается ввод не более 900 символов!" sqref="M288">
      <formula1>900</formula1>
    </dataValidation>
    <dataValidation type="textLength" operator="lessThanOrEqual" allowBlank="1" showInputMessage="1" showErrorMessage="1" errorTitle="Ошибка" error="Допускается ввод не более 900 символов!" sqref="K2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8">
      <formula1>"a"</formula1>
    </dataValidation>
    <dataValidation type="whole" allowBlank="1" showErrorMessage="1" errorTitle="Ошибка" error="Допускается ввод только неотрицательных целых чисел!" sqref="AI544">
      <formula1>0</formula1>
      <formula2>9.99999999999999E+23</formula2>
    </dataValidation>
    <dataValidation type="whole" allowBlank="1" showErrorMessage="1" errorTitle="Ошибка" error="Допускается ввод только неотрицательных целых чисел!" sqref="AF544">
      <formula1>0</formula1>
      <formula2>9.99999999999999E+23</formula2>
    </dataValidation>
    <dataValidation type="whole" allowBlank="1" showErrorMessage="1" errorTitle="Ошибка" error="Допускается ввод только неотрицательных целых чисел!" sqref="AI543">
      <formula1>0</formula1>
      <formula2>9.99999999999999E+23</formula2>
    </dataValidation>
    <dataValidation type="whole" allowBlank="1" showErrorMessage="1" errorTitle="Ошибка" error="Допускается ввод только неотрицательных целых чисел!" sqref="AF543">
      <formula1>0</formula1>
      <formula2>9.99999999999999E+23</formula2>
    </dataValidation>
    <dataValidation type="textLength" operator="lessThanOrEqual" allowBlank="1" showInputMessage="1" showErrorMessage="1" errorTitle="Ошибка" error="Допускается ввод не более 900 символов!" sqref="K5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3">
      <formula1>"a"</formula1>
    </dataValidation>
    <dataValidation type="whole" allowBlank="1" showErrorMessage="1" errorTitle="Ошибка" error="Допускается ввод только неотрицательных целых чисел!" sqref="AI542">
      <formula1>0</formula1>
      <formula2>9.99999999999999E+23</formula2>
    </dataValidation>
    <dataValidation type="whole" allowBlank="1" showErrorMessage="1" errorTitle="Ошибка" error="Допускается ввод только неотрицательных целых чисел!" sqref="AF542">
      <formula1>0</formula1>
      <formula2>9.99999999999999E+23</formula2>
    </dataValidation>
    <dataValidation type="decimal" allowBlank="1" showErrorMessage="1" errorTitle="Ошибка" error="Допускается ввод только неотрицательных чисел!" sqref="AE542">
      <formula1>0</formula1>
      <formula2>9.99999999999999E+23</formula2>
    </dataValidation>
    <dataValidation type="decimal" allowBlank="1" showErrorMessage="1" errorTitle="Ошибка" error="Допускается ввод только неотрицательных чисел!" sqref="AC542">
      <formula1>0</formula1>
      <formula2>9.99999999999999E+23</formula2>
    </dataValidation>
    <dataValidation type="textLength" operator="lessThanOrEqual" allowBlank="1" showInputMessage="1" showErrorMessage="1" errorTitle="Ошибка" error="Допускается ввод не более 900 символов!" sqref="K5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2">
      <formula1>"a"</formula1>
    </dataValidation>
    <dataValidation type="whole" allowBlank="1" showErrorMessage="1" errorTitle="Ошибка" error="Допускается ввод только неотрицательных целых чисел!" sqref="AI541">
      <formula1>0</formula1>
      <formula2>9.99999999999999E+23</formula2>
    </dataValidation>
    <dataValidation type="whole" allowBlank="1" showErrorMessage="1" errorTitle="Ошибка" error="Допускается ввод только неотрицательных целых чисел!" sqref="AF541">
      <formula1>0</formula1>
      <formula2>9.99999999999999E+23</formula2>
    </dataValidation>
    <dataValidation type="textLength" operator="lessThanOrEqual" allowBlank="1" showInputMessage="1" showErrorMessage="1" errorTitle="Ошибка" error="Допускается ввод не более 900 символов!" sqref="K5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1">
      <formula1>"a"</formula1>
    </dataValidation>
    <dataValidation type="whole" allowBlank="1" showErrorMessage="1" errorTitle="Ошибка" error="Допускается ввод только неотрицательных целых чисел!" sqref="AI540">
      <formula1>0</formula1>
      <formula2>9.99999999999999E+23</formula2>
    </dataValidation>
    <dataValidation type="whole" allowBlank="1" showErrorMessage="1" errorTitle="Ошибка" error="Допускается ввод только неотрицательных целых чисел!" sqref="AF540">
      <formula1>0</formula1>
      <formula2>9.99999999999999E+23</formula2>
    </dataValidation>
    <dataValidation type="textLength" operator="lessThanOrEqual" allowBlank="1" showInputMessage="1" showErrorMessage="1" errorTitle="Ошибка" error="Допускается ввод не более 900 символов!" sqref="M540">
      <formula1>900</formula1>
    </dataValidation>
    <dataValidation type="textLength" operator="lessThanOrEqual" allowBlank="1" showInputMessage="1" showErrorMessage="1" errorTitle="Ошибка" error="Допускается ввод не более 900 символов!" sqref="K5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0">
      <formula1>"a"</formula1>
    </dataValidation>
    <dataValidation type="whole" allowBlank="1" showErrorMessage="1" errorTitle="Ошибка" error="Допускается ввод только неотрицательных целых чисел!" sqref="AI419">
      <formula1>0</formula1>
      <formula2>9.99999999999999E+23</formula2>
    </dataValidation>
    <dataValidation type="whole" allowBlank="1" showErrorMessage="1" errorTitle="Ошибка" error="Допускается ввод только неотрицательных целых чисел!" sqref="AF419">
      <formula1>0</formula1>
      <formula2>9.99999999999999E+23</formula2>
    </dataValidation>
    <dataValidation type="whole" allowBlank="1" showErrorMessage="1" errorTitle="Ошибка" error="Допускается ввод только неотрицательных целых чисел!" sqref="AI418">
      <formula1>0</formula1>
      <formula2>9.99999999999999E+23</formula2>
    </dataValidation>
    <dataValidation type="whole" allowBlank="1" showErrorMessage="1" errorTitle="Ошибка" error="Допускается ввод только неотрицательных целых чисел!" sqref="AF418">
      <formula1>0</formula1>
      <formula2>9.99999999999999E+23</formula2>
    </dataValidation>
    <dataValidation type="textLength" operator="lessThanOrEqual" allowBlank="1" showInputMessage="1" showErrorMessage="1" errorTitle="Ошибка" error="Допускается ввод не более 900 символов!" sqref="K4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8">
      <formula1>"a"</formula1>
    </dataValidation>
    <dataValidation type="whole" allowBlank="1" showErrorMessage="1" errorTitle="Ошибка" error="Допускается ввод только неотрицательных целых чисел!" sqref="AI417">
      <formula1>0</formula1>
      <formula2>9.99999999999999E+23</formula2>
    </dataValidation>
    <dataValidation type="whole" allowBlank="1" showErrorMessage="1" errorTitle="Ошибка" error="Допускается ввод только неотрицательных целых чисел!" sqref="AF417">
      <formula1>0</formula1>
      <formula2>9.99999999999999E+23</formula2>
    </dataValidation>
    <dataValidation type="decimal" allowBlank="1" showErrorMessage="1" errorTitle="Ошибка" error="Допускается ввод только неотрицательных чисел!" sqref="AE417">
      <formula1>0</formula1>
      <formula2>9.99999999999999E+23</formula2>
    </dataValidation>
    <dataValidation type="decimal" allowBlank="1" showErrorMessage="1" errorTitle="Ошибка" error="Допускается ввод только неотрицательных чисел!" sqref="AC417">
      <formula1>0</formula1>
      <formula2>9.99999999999999E+23</formula2>
    </dataValidation>
    <dataValidation type="textLength" operator="lessThanOrEqual" allowBlank="1" showInputMessage="1" showErrorMessage="1" errorTitle="Ошибка" error="Допускается ввод не более 900 символов!" sqref="K4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7">
      <formula1>"a"</formula1>
    </dataValidation>
    <dataValidation type="whole" allowBlank="1" showErrorMessage="1" errorTitle="Ошибка" error="Допускается ввод только неотрицательных целых чисел!" sqref="AI416">
      <formula1>0</formula1>
      <formula2>9.99999999999999E+23</formula2>
    </dataValidation>
    <dataValidation type="whole" allowBlank="1" showErrorMessage="1" errorTitle="Ошибка" error="Допускается ввод только неотрицательных целых чисел!" sqref="AF416">
      <formula1>0</formula1>
      <formula2>9.99999999999999E+23</formula2>
    </dataValidation>
    <dataValidation type="textLength" operator="lessThanOrEqual" allowBlank="1" showInputMessage="1" showErrorMessage="1" errorTitle="Ошибка" error="Допускается ввод не более 900 символов!" sqref="K4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6">
      <formula1>"a"</formula1>
    </dataValidation>
    <dataValidation type="whole" allowBlank="1" showErrorMessage="1" errorTitle="Ошибка" error="Допускается ввод только неотрицательных целых чисел!" sqref="AI415">
      <formula1>0</formula1>
      <formula2>9.99999999999999E+23</formula2>
    </dataValidation>
    <dataValidation type="whole" allowBlank="1" showErrorMessage="1" errorTitle="Ошибка" error="Допускается ввод только неотрицательных целых чисел!" sqref="AF415">
      <formula1>0</formula1>
      <formula2>9.99999999999999E+23</formula2>
    </dataValidation>
    <dataValidation type="textLength" operator="lessThanOrEqual" allowBlank="1" showInputMessage="1" showErrorMessage="1" errorTitle="Ошибка" error="Допускается ввод не более 900 символов!" sqref="M415">
      <formula1>900</formula1>
    </dataValidation>
    <dataValidation type="textLength" operator="lessThanOrEqual" allowBlank="1" showInputMessage="1" showErrorMessage="1" errorTitle="Ошибка" error="Допускается ввод не более 900 символов!" sqref="K4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5">
      <formula1>"a"</formula1>
    </dataValidation>
    <dataValidation type="whole" allowBlank="1" showErrorMessage="1" errorTitle="Ошибка" error="Допускается ввод только неотрицательных целых чисел!" sqref="AI287">
      <formula1>0</formula1>
      <formula2>9.99999999999999E+23</formula2>
    </dataValidation>
    <dataValidation type="whole" allowBlank="1" showErrorMessage="1" errorTitle="Ошибка" error="Допускается ввод только неотрицательных целых чисел!" sqref="AF287">
      <formula1>0</formula1>
      <formula2>9.99999999999999E+23</formula2>
    </dataValidation>
    <dataValidation type="whole" allowBlank="1" showErrorMessage="1" errorTitle="Ошибка" error="Допускается ввод только неотрицательных целых чисел!" sqref="AI286">
      <formula1>0</formula1>
      <formula2>9.99999999999999E+23</formula2>
    </dataValidation>
    <dataValidation type="whole" allowBlank="1" showErrorMessage="1" errorTitle="Ошибка" error="Допускается ввод только неотрицательных целых чисел!" sqref="AF286">
      <formula1>0</formula1>
      <formula2>9.99999999999999E+23</formula2>
    </dataValidation>
    <dataValidation type="textLength" operator="lessThanOrEqual" allowBlank="1" showInputMessage="1" showErrorMessage="1" errorTitle="Ошибка" error="Допускается ввод не более 900 символов!" sqref="K2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6">
      <formula1>"a"</formula1>
    </dataValidation>
    <dataValidation type="whole" allowBlank="1" showErrorMessage="1" errorTitle="Ошибка" error="Допускается ввод только неотрицательных целых чисел!" sqref="AI285">
      <formula1>0</formula1>
      <formula2>9.99999999999999E+23</formula2>
    </dataValidation>
    <dataValidation type="whole" allowBlank="1" showErrorMessage="1" errorTitle="Ошибка" error="Допускается ввод только неотрицательных целых чисел!" sqref="AF285">
      <formula1>0</formula1>
      <formula2>9.99999999999999E+23</formula2>
    </dataValidation>
    <dataValidation type="decimal" allowBlank="1" showErrorMessage="1" errorTitle="Ошибка" error="Допускается ввод только неотрицательных чисел!" sqref="AE285">
      <formula1>0</formula1>
      <formula2>9.99999999999999E+23</formula2>
    </dataValidation>
    <dataValidation type="decimal" allowBlank="1" showErrorMessage="1" errorTitle="Ошибка" error="Допускается ввод только неотрицательных чисел!" sqref="AC285">
      <formula1>0</formula1>
      <formula2>9.99999999999999E+23</formula2>
    </dataValidation>
    <dataValidation type="textLength" operator="lessThanOrEqual" allowBlank="1" showInputMessage="1" showErrorMessage="1" errorTitle="Ошибка" error="Допускается ввод не более 900 символов!" sqref="K2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5">
      <formula1>"a"</formula1>
    </dataValidation>
    <dataValidation type="whole" allowBlank="1" showErrorMessage="1" errorTitle="Ошибка" error="Допускается ввод только неотрицательных целых чисел!" sqref="AI284">
      <formula1>0</formula1>
      <formula2>9.99999999999999E+23</formula2>
    </dataValidation>
    <dataValidation type="whole" allowBlank="1" showErrorMessage="1" errorTitle="Ошибка" error="Допускается ввод только неотрицательных целых чисел!" sqref="AF284">
      <formula1>0</formula1>
      <formula2>9.99999999999999E+23</formula2>
    </dataValidation>
    <dataValidation type="textLength" operator="lessThanOrEqual" allowBlank="1" showInputMessage="1" showErrorMessage="1" errorTitle="Ошибка" error="Допускается ввод не более 900 символов!" sqref="K2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4">
      <formula1>"a"</formula1>
    </dataValidation>
    <dataValidation type="whole" allowBlank="1" showErrorMessage="1" errorTitle="Ошибка" error="Допускается ввод только неотрицательных целых чисел!" sqref="AI283">
      <formula1>0</formula1>
      <formula2>9.99999999999999E+23</formula2>
    </dataValidation>
    <dataValidation type="whole" allowBlank="1" showErrorMessage="1" errorTitle="Ошибка" error="Допускается ввод только неотрицательных целых чисел!" sqref="AF283">
      <formula1>0</formula1>
      <formula2>9.99999999999999E+23</formula2>
    </dataValidation>
    <dataValidation type="textLength" operator="lessThanOrEqual" allowBlank="1" showInputMessage="1" showErrorMessage="1" errorTitle="Ошибка" error="Допускается ввод не более 900 символов!" sqref="M283">
      <formula1>900</formula1>
    </dataValidation>
    <dataValidation type="textLength" operator="lessThanOrEqual" allowBlank="1" showInputMessage="1" showErrorMessage="1" errorTitle="Ошибка" error="Допускается ввод не более 900 символов!" sqref="K2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3">
      <formula1>"a"</formula1>
    </dataValidation>
    <dataValidation type="whole" allowBlank="1" showErrorMessage="1" errorTitle="Ошибка" error="Допускается ввод только неотрицательных целых чисел!" sqref="AI537">
      <formula1>0</formula1>
      <formula2>9.99999999999999E+23</formula2>
    </dataValidation>
    <dataValidation type="whole" allowBlank="1" showErrorMessage="1" errorTitle="Ошибка" error="Допускается ввод только неотрицательных целых чисел!" sqref="AF537">
      <formula1>0</formula1>
      <formula2>9.99999999999999E+23</formula2>
    </dataValidation>
    <dataValidation type="decimal" allowBlank="1" showErrorMessage="1" errorTitle="Ошибка" error="Допускается ввод только неотрицательных чисел!" sqref="AE537">
      <formula1>0</formula1>
      <formula2>9.99999999999999E+23</formula2>
    </dataValidation>
    <dataValidation type="decimal" allowBlank="1" showErrorMessage="1" errorTitle="Ошибка" error="Допускается ввод только неотрицательных чисел!" sqref="AC537">
      <formula1>0</formula1>
      <formula2>9.99999999999999E+23</formula2>
    </dataValidation>
    <dataValidation type="textLength" operator="lessThanOrEqual" allowBlank="1" showInputMessage="1" showErrorMessage="1" errorTitle="Ошибка" error="Допускается ввод не более 900 символов!" sqref="K5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7">
      <formula1>"a"</formula1>
    </dataValidation>
    <dataValidation type="whole" allowBlank="1" showErrorMessage="1" errorTitle="Ошибка" error="Допускается ввод только неотрицательных целых чисел!" sqref="AI539">
      <formula1>0</formula1>
      <formula2>9.99999999999999E+23</formula2>
    </dataValidation>
    <dataValidation type="whole" allowBlank="1" showErrorMessage="1" errorTitle="Ошибка" error="Допускается ввод только неотрицательных целых чисел!" sqref="AF539">
      <formula1>0</formula1>
      <formula2>9.99999999999999E+23</formula2>
    </dataValidation>
    <dataValidation type="whole" allowBlank="1" showErrorMessage="1" errorTitle="Ошибка" error="Допускается ввод только неотрицательных целых чисел!" sqref="AI538">
      <formula1>0</formula1>
      <formula2>9.99999999999999E+23</formula2>
    </dataValidation>
    <dataValidation type="whole" allowBlank="1" showErrorMessage="1" errorTitle="Ошибка" error="Допускается ввод только неотрицательных целых чисел!" sqref="AF538">
      <formula1>0</formula1>
      <formula2>9.99999999999999E+23</formula2>
    </dataValidation>
    <dataValidation type="textLength" operator="lessThanOrEqual" allowBlank="1" showInputMessage="1" showErrorMessage="1" errorTitle="Ошибка" error="Допускается ввод не более 900 символов!" sqref="K5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8">
      <formula1>"a"</formula1>
    </dataValidation>
    <dataValidation type="whole" allowBlank="1" showErrorMessage="1" errorTitle="Ошибка" error="Допускается ввод только неотрицательных целых чисел!" sqref="AI536">
      <formula1>0</formula1>
      <formula2>9.99999999999999E+23</formula2>
    </dataValidation>
    <dataValidation type="whole" allowBlank="1" showErrorMessage="1" errorTitle="Ошибка" error="Допускается ввод только неотрицательных целых чисел!" sqref="AF536">
      <formula1>0</formula1>
      <formula2>9.99999999999999E+23</formula2>
    </dataValidation>
    <dataValidation type="decimal" allowBlank="1" showErrorMessage="1" errorTitle="Ошибка" error="Допускается ввод только неотрицательных чисел!" sqref="AE536">
      <formula1>0</formula1>
      <formula2>9.99999999999999E+23</formula2>
    </dataValidation>
    <dataValidation type="decimal" allowBlank="1" showErrorMessage="1" errorTitle="Ошибка" error="Допускается ввод только неотрицательных чисел!" sqref="AC536">
      <formula1>0</formula1>
      <formula2>9.99999999999999E+23</formula2>
    </dataValidation>
    <dataValidation type="textLength" operator="lessThanOrEqual" allowBlank="1" showInputMessage="1" showErrorMessage="1" errorTitle="Ошибка" error="Допускается ввод не более 900 символов!" sqref="K5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6">
      <formula1>"a"</formula1>
    </dataValidation>
    <dataValidation type="whole" allowBlank="1" showErrorMessage="1" errorTitle="Ошибка" error="Допускается ввод только неотрицательных целых чисел!" sqref="AI535">
      <formula1>0</formula1>
      <formula2>9.99999999999999E+23</formula2>
    </dataValidation>
    <dataValidation type="whole" allowBlank="1" showErrorMessage="1" errorTitle="Ошибка" error="Допускается ввод только неотрицательных целых чисел!" sqref="AF535">
      <formula1>0</formula1>
      <formula2>9.99999999999999E+23</formula2>
    </dataValidation>
    <dataValidation type="textLength" operator="lessThanOrEqual" allowBlank="1" showInputMessage="1" showErrorMessage="1" errorTitle="Ошибка" error="Допускается ввод не более 900 символов!" sqref="K5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5">
      <formula1>"a"</formula1>
    </dataValidation>
    <dataValidation type="whole" allowBlank="1" showErrorMessage="1" errorTitle="Ошибка" error="Допускается ввод только неотрицательных целых чисел!" sqref="AI534">
      <formula1>0</formula1>
      <formula2>9.99999999999999E+23</formula2>
    </dataValidation>
    <dataValidation type="whole" allowBlank="1" showErrorMessage="1" errorTitle="Ошибка" error="Допускается ввод только неотрицательных целых чисел!" sqref="AF534">
      <formula1>0</formula1>
      <formula2>9.99999999999999E+23</formula2>
    </dataValidation>
    <dataValidation type="textLength" operator="lessThanOrEqual" allowBlank="1" showInputMessage="1" showErrorMessage="1" errorTitle="Ошибка" error="Допускается ввод не более 900 символов!" sqref="M534">
      <formula1>900</formula1>
    </dataValidation>
    <dataValidation type="textLength" operator="lessThanOrEqual" allowBlank="1" showInputMessage="1" showErrorMessage="1" errorTitle="Ошибка" error="Допускается ввод не более 900 символов!" sqref="K5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4">
      <formula1>"a"</formula1>
    </dataValidation>
    <dataValidation type="whole" allowBlank="1" showErrorMessage="1" errorTitle="Ошибка" error="Допускается ввод только неотрицательных целых чисел!" sqref="AI533">
      <formula1>0</formula1>
      <formula2>9.99999999999999E+23</formula2>
    </dataValidation>
    <dataValidation type="whole" allowBlank="1" showErrorMessage="1" errorTitle="Ошибка" error="Допускается ввод только неотрицательных целых чисел!" sqref="AF533">
      <formula1>0</formula1>
      <formula2>9.99999999999999E+23</formula2>
    </dataValidation>
    <dataValidation type="whole" allowBlank="1" showErrorMessage="1" errorTitle="Ошибка" error="Допускается ввод только неотрицательных целых чисел!" sqref="AI532">
      <formula1>0</formula1>
      <formula2>9.99999999999999E+23</formula2>
    </dataValidation>
    <dataValidation type="whole" allowBlank="1" showErrorMessage="1" errorTitle="Ошибка" error="Допускается ввод только неотрицательных целых чисел!" sqref="AF532">
      <formula1>0</formula1>
      <formula2>9.99999999999999E+23</formula2>
    </dataValidation>
    <dataValidation type="textLength" operator="lessThanOrEqual" allowBlank="1" showInputMessage="1" showErrorMessage="1" errorTitle="Ошибка" error="Допускается ввод не более 900 символов!" sqref="K5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2">
      <formula1>"a"</formula1>
    </dataValidation>
    <dataValidation type="whole" allowBlank="1" showErrorMessage="1" errorTitle="Ошибка" error="Допускается ввод только неотрицательных целых чисел!" sqref="AI531">
      <formula1>0</formula1>
      <formula2>9.99999999999999E+23</formula2>
    </dataValidation>
    <dataValidation type="whole" allowBlank="1" showErrorMessage="1" errorTitle="Ошибка" error="Допускается ввод только неотрицательных целых чисел!" sqref="AF531">
      <formula1>0</formula1>
      <formula2>9.99999999999999E+23</formula2>
    </dataValidation>
    <dataValidation type="decimal" allowBlank="1" showErrorMessage="1" errorTitle="Ошибка" error="Допускается ввод только неотрицательных чисел!" sqref="AE531">
      <formula1>0</formula1>
      <formula2>9.99999999999999E+23</formula2>
    </dataValidation>
    <dataValidation type="decimal" allowBlank="1" showErrorMessage="1" errorTitle="Ошибка" error="Допускается ввод только неотрицательных чисел!" sqref="AC531">
      <formula1>0</formula1>
      <formula2>9.99999999999999E+23</formula2>
    </dataValidation>
    <dataValidation type="textLength" operator="lessThanOrEqual" allowBlank="1" showInputMessage="1" showErrorMessage="1" errorTitle="Ошибка" error="Допускается ввод не более 900 символов!" sqref="K5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1">
      <formula1>"a"</formula1>
    </dataValidation>
    <dataValidation type="whole" allowBlank="1" showErrorMessage="1" errorTitle="Ошибка" error="Допускается ввод только неотрицательных целых чисел!" sqref="AI530">
      <formula1>0</formula1>
      <formula2>9.99999999999999E+23</formula2>
    </dataValidation>
    <dataValidation type="whole" allowBlank="1" showErrorMessage="1" errorTitle="Ошибка" error="Допускается ввод только неотрицательных целых чисел!" sqref="AF530">
      <formula1>0</formula1>
      <formula2>9.99999999999999E+23</formula2>
    </dataValidation>
    <dataValidation type="textLength" operator="lessThanOrEqual" allowBlank="1" showInputMessage="1" showErrorMessage="1" errorTitle="Ошибка" error="Допускается ввод не более 900 символов!" sqref="K5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0">
      <formula1>"a"</formula1>
    </dataValidation>
    <dataValidation type="whole" allowBlank="1" showErrorMessage="1" errorTitle="Ошибка" error="Допускается ввод только неотрицательных целых чисел!" sqref="AI529">
      <formula1>0</formula1>
      <formula2>9.99999999999999E+23</formula2>
    </dataValidation>
    <dataValidation type="whole" allowBlank="1" showErrorMessage="1" errorTitle="Ошибка" error="Допускается ввод только неотрицательных целых чисел!" sqref="AF529">
      <formula1>0</formula1>
      <formula2>9.99999999999999E+23</formula2>
    </dataValidation>
    <dataValidation type="textLength" operator="lessThanOrEqual" allowBlank="1" showInputMessage="1" showErrorMessage="1" errorTitle="Ошибка" error="Допускается ввод не более 900 символов!" sqref="M529">
      <formula1>900</formula1>
    </dataValidation>
    <dataValidation type="textLength" operator="lessThanOrEqual" allowBlank="1" showInputMessage="1" showErrorMessage="1" errorTitle="Ошибка" error="Допускается ввод не более 900 символов!" sqref="K5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9">
      <formula1>"a"</formula1>
    </dataValidation>
    <dataValidation type="whole" allowBlank="1" showErrorMessage="1" errorTitle="Ошибка" error="Допускается ввод только неотрицательных целых чисел!" sqref="AI414">
      <formula1>0</formula1>
      <formula2>9.99999999999999E+23</formula2>
    </dataValidation>
    <dataValidation type="whole" allowBlank="1" showErrorMessage="1" errorTitle="Ошибка" error="Допускается ввод только неотрицательных целых чисел!" sqref="AF414">
      <formula1>0</formula1>
      <formula2>9.99999999999999E+23</formula2>
    </dataValidation>
    <dataValidation type="whole" allowBlank="1" showErrorMessage="1" errorTitle="Ошибка" error="Допускается ввод только неотрицательных целых чисел!" sqref="AI413">
      <formula1>0</formula1>
      <formula2>9.99999999999999E+23</formula2>
    </dataValidation>
    <dataValidation type="whole" allowBlank="1" showErrorMessage="1" errorTitle="Ошибка" error="Допускается ввод только неотрицательных целых чисел!" sqref="AF413">
      <formula1>0</formula1>
      <formula2>9.99999999999999E+23</formula2>
    </dataValidation>
    <dataValidation type="textLength" operator="lessThanOrEqual" allowBlank="1" showInputMessage="1" showErrorMessage="1" errorTitle="Ошибка" error="Допускается ввод не более 900 символов!" sqref="K4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3">
      <formula1>"a"</formula1>
    </dataValidation>
    <dataValidation type="whole" allowBlank="1" showErrorMessage="1" errorTitle="Ошибка" error="Допускается ввод только неотрицательных целых чисел!" sqref="AI412">
      <formula1>0</formula1>
      <formula2>9.99999999999999E+23</formula2>
    </dataValidation>
    <dataValidation type="whole" allowBlank="1" showErrorMessage="1" errorTitle="Ошибка" error="Допускается ввод только неотрицательных целых чисел!" sqref="AF412">
      <formula1>0</formula1>
      <formula2>9.99999999999999E+23</formula2>
    </dataValidation>
    <dataValidation type="decimal" allowBlank="1" showErrorMessage="1" errorTitle="Ошибка" error="Допускается ввод только неотрицательных чисел!" sqref="AE412">
      <formula1>0</formula1>
      <formula2>9.99999999999999E+23</formula2>
    </dataValidation>
    <dataValidation type="decimal" allowBlank="1" showErrorMessage="1" errorTitle="Ошибка" error="Допускается ввод только неотрицательных чисел!" sqref="AC412">
      <formula1>0</formula1>
      <formula2>9.99999999999999E+23</formula2>
    </dataValidation>
    <dataValidation type="textLength" operator="lessThanOrEqual" allowBlank="1" showInputMessage="1" showErrorMessage="1" errorTitle="Ошибка" error="Допускается ввод не более 900 символов!" sqref="K4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2">
      <formula1>"a"</formula1>
    </dataValidation>
    <dataValidation type="whole" allowBlank="1" showErrorMessage="1" errorTitle="Ошибка" error="Допускается ввод только неотрицательных целых чисел!" sqref="AI411">
      <formula1>0</formula1>
      <formula2>9.99999999999999E+23</formula2>
    </dataValidation>
    <dataValidation type="whole" allowBlank="1" showErrorMessage="1" errorTitle="Ошибка" error="Допускается ввод только неотрицательных целых чисел!" sqref="AF411">
      <formula1>0</formula1>
      <formula2>9.99999999999999E+23</formula2>
    </dataValidation>
    <dataValidation type="textLength" operator="lessThanOrEqual" allowBlank="1" showInputMessage="1" showErrorMessage="1" errorTitle="Ошибка" error="Допускается ввод не более 900 символов!" sqref="K4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1">
      <formula1>"a"</formula1>
    </dataValidation>
    <dataValidation type="whole" allowBlank="1" showErrorMessage="1" errorTitle="Ошибка" error="Допускается ввод только неотрицательных целых чисел!" sqref="AI410">
      <formula1>0</formula1>
      <formula2>9.99999999999999E+23</formula2>
    </dataValidation>
    <dataValidation type="whole" allowBlank="1" showErrorMessage="1" errorTitle="Ошибка" error="Допускается ввод только неотрицательных целых чисел!" sqref="AF410">
      <formula1>0</formula1>
      <formula2>9.99999999999999E+23</formula2>
    </dataValidation>
    <dataValidation type="textLength" operator="lessThanOrEqual" allowBlank="1" showInputMessage="1" showErrorMessage="1" errorTitle="Ошибка" error="Допускается ввод не более 900 символов!" sqref="M410">
      <formula1>900</formula1>
    </dataValidation>
    <dataValidation type="textLength" operator="lessThanOrEqual" allowBlank="1" showInputMessage="1" showErrorMessage="1" errorTitle="Ошибка" error="Допускается ввод не более 900 символов!" sqref="K4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0">
      <formula1>"a"</formula1>
    </dataValidation>
    <dataValidation type="whole" allowBlank="1" showErrorMessage="1" errorTitle="Ошибка" error="Допускается ввод только неотрицательных целых чисел!" sqref="AI409">
      <formula1>0</formula1>
      <formula2>9.99999999999999E+23</formula2>
    </dataValidation>
    <dataValidation type="whole" allowBlank="1" showErrorMessage="1" errorTitle="Ошибка" error="Допускается ввод только неотрицательных целых чисел!" sqref="AF409">
      <formula1>0</formula1>
      <formula2>9.99999999999999E+23</formula2>
    </dataValidation>
    <dataValidation type="whole" allowBlank="1" showErrorMessage="1" errorTitle="Ошибка" error="Допускается ввод только неотрицательных целых чисел!" sqref="AI408">
      <formula1>0</formula1>
      <formula2>9.99999999999999E+23</formula2>
    </dataValidation>
    <dataValidation type="whole" allowBlank="1" showErrorMessage="1" errorTitle="Ошибка" error="Допускается ввод только неотрицательных целых чисел!" sqref="AF408">
      <formula1>0</formula1>
      <formula2>9.99999999999999E+23</formula2>
    </dataValidation>
    <dataValidation type="textLength" operator="lessThanOrEqual" allowBlank="1" showInputMessage="1" showErrorMessage="1" errorTitle="Ошибка" error="Допускается ввод не более 900 символов!" sqref="K4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8">
      <formula1>"a"</formula1>
    </dataValidation>
    <dataValidation type="whole" allowBlank="1" showErrorMessage="1" errorTitle="Ошибка" error="Допускается ввод только неотрицательных целых чисел!" sqref="AI407">
      <formula1>0</formula1>
      <formula2>9.99999999999999E+23</formula2>
    </dataValidation>
    <dataValidation type="whole" allowBlank="1" showErrorMessage="1" errorTitle="Ошибка" error="Допускается ввод только неотрицательных целых чисел!" sqref="AF407">
      <formula1>0</formula1>
      <formula2>9.99999999999999E+23</formula2>
    </dataValidation>
    <dataValidation type="decimal" allowBlank="1" showErrorMessage="1" errorTitle="Ошибка" error="Допускается ввод только неотрицательных чисел!" sqref="AE407">
      <formula1>0</formula1>
      <formula2>9.99999999999999E+23</formula2>
    </dataValidation>
    <dataValidation type="decimal" allowBlank="1" showErrorMessage="1" errorTitle="Ошибка" error="Допускается ввод только неотрицательных чисел!" sqref="AC407">
      <formula1>0</formula1>
      <formula2>9.99999999999999E+23</formula2>
    </dataValidation>
    <dataValidation type="textLength" operator="lessThanOrEqual" allowBlank="1" showInputMessage="1" showErrorMessage="1" errorTitle="Ошибка" error="Допускается ввод не более 900 символов!" sqref="K4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7">
      <formula1>"a"</formula1>
    </dataValidation>
    <dataValidation type="whole" allowBlank="1" showErrorMessage="1" errorTitle="Ошибка" error="Допускается ввод только неотрицательных целых чисел!" sqref="AI406">
      <formula1>0</formula1>
      <formula2>9.99999999999999E+23</formula2>
    </dataValidation>
    <dataValidation type="whole" allowBlank="1" showErrorMessage="1" errorTitle="Ошибка" error="Допускается ввод только неотрицательных целых чисел!" sqref="AF406">
      <formula1>0</formula1>
      <formula2>9.99999999999999E+23</formula2>
    </dataValidation>
    <dataValidation type="textLength" operator="lessThanOrEqual" allowBlank="1" showInputMessage="1" showErrorMessage="1" errorTitle="Ошибка" error="Допускается ввод не более 900 символов!" sqref="K4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6">
      <formula1>"a"</formula1>
    </dataValidation>
    <dataValidation type="whole" allowBlank="1" showErrorMessage="1" errorTitle="Ошибка" error="Допускается ввод только неотрицательных целых чисел!" sqref="AI405">
      <formula1>0</formula1>
      <formula2>9.99999999999999E+23</formula2>
    </dataValidation>
    <dataValidation type="whole" allowBlank="1" showErrorMessage="1" errorTitle="Ошибка" error="Допускается ввод только неотрицательных целых чисел!" sqref="AF405">
      <formula1>0</formula1>
      <formula2>9.99999999999999E+23</formula2>
    </dataValidation>
    <dataValidation type="textLength" operator="lessThanOrEqual" allowBlank="1" showInputMessage="1" showErrorMessage="1" errorTitle="Ошибка" error="Допускается ввод не более 900 символов!" sqref="M405">
      <formula1>900</formula1>
    </dataValidation>
    <dataValidation type="textLength" operator="lessThanOrEqual" allowBlank="1" showInputMessage="1" showErrorMessage="1" errorTitle="Ошибка" error="Допускается ввод не более 900 символов!" sqref="K4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5">
      <formula1>"a"</formula1>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textLength" operator="lessThanOrEqual" allowBlank="1" showInputMessage="1" showErrorMessage="1" errorTitle="Ошибка" error="Допускается ввод не более 900 символов!" sqref="K1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decimal" allowBlank="1" showErrorMessage="1" errorTitle="Ошибка" error="Допускается ввод только неотрицательных чисел!" sqref="AE104">
      <formula1>0</formula1>
      <formula2>9.99999999999999E+23</formula2>
    </dataValidation>
    <dataValidation type="decimal" allowBlank="1" showErrorMessage="1" errorTitle="Ошибка" error="Допускается ввод только неотрицательных чисел!" sqref="AC104">
      <formula1>0</formula1>
      <formula2>9.99999999999999E+23</formula2>
    </dataValidation>
    <dataValidation type="textLength" operator="lessThanOrEqual" allowBlank="1" showInputMessage="1" showErrorMessage="1" errorTitle="Ошибка" error="Допускается ввод не более 900 символов!" sqref="K1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textLength" operator="lessThanOrEqual" allowBlank="1" showInputMessage="1" showErrorMessage="1" errorTitle="Ошибка" error="Допускается ввод не более 900 символов!" sqref="K1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3">
      <formula1>"a"</formula1>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textLength" operator="lessThanOrEqual" allowBlank="1" showInputMessage="1" showErrorMessage="1" errorTitle="Ошибка" error="Допускается ввод не более 900 символов!" sqref="M102">
      <formula1>900</formula1>
    </dataValidation>
    <dataValidation type="textLength" operator="lessThanOrEqual" allowBlank="1" showInputMessage="1" showErrorMessage="1" errorTitle="Ошибка" error="Допускается ввод не более 900 символов!" sqref="K1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textLength" operator="lessThanOrEqual" allowBlank="1" showInputMessage="1" showErrorMessage="1" errorTitle="Ошибка" error="Допускается ввод не более 900 символов!" sqref="K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decimal" allowBlank="1" showErrorMessage="1" errorTitle="Ошибка" error="Допускается ввод только неотрицательных чисел!" sqref="AE64">
      <formula1>0</formula1>
      <formula2>9.99999999999999E+23</formula2>
    </dataValidation>
    <dataValidation type="decimal" allowBlank="1" showErrorMessage="1" errorTitle="Ошибка" error="Допускается ввод только неотрицательных чисел!" sqref="AC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textLength" operator="lessThanOrEqual" allowBlank="1" showInputMessage="1" showErrorMessage="1" errorTitle="Ошибка" error="Допускается ввод не более 900 символов!" sqref="M62">
      <formula1>900</formula1>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242">
      <formula1>0</formula1>
      <formula2>9.99999999999999E+23</formula2>
    </dataValidation>
    <dataValidation type="whole" allowBlank="1" showErrorMessage="1" errorTitle="Ошибка" error="Допускается ввод только неотрицательных целых чисел!" sqref="AF242">
      <formula1>0</formula1>
      <formula2>9.99999999999999E+23</formula2>
    </dataValidation>
    <dataValidation type="whole" allowBlank="1" showErrorMessage="1" errorTitle="Ошибка" error="Допускается ввод только неотрицательных целых чисел!" sqref="AI241">
      <formula1>0</formula1>
      <formula2>9.99999999999999E+23</formula2>
    </dataValidation>
    <dataValidation type="whole" allowBlank="1" showErrorMessage="1" errorTitle="Ошибка" error="Допускается ввод только неотрицательных целых чисел!" sqref="AF241">
      <formula1>0</formula1>
      <formula2>9.99999999999999E+23</formula2>
    </dataValidation>
    <dataValidation type="textLength" operator="lessThanOrEqual" allowBlank="1" showInputMessage="1" showErrorMessage="1" errorTitle="Ошибка" error="Допускается ввод не более 900 символов!" sqref="K2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1">
      <formula1>"a"</formula1>
    </dataValidation>
    <dataValidation type="whole" allowBlank="1" showErrorMessage="1" errorTitle="Ошибка" error="Допускается ввод только неотрицательных целых чисел!" sqref="AI240">
      <formula1>0</formula1>
      <formula2>9.99999999999999E+23</formula2>
    </dataValidation>
    <dataValidation type="whole" allowBlank="1" showErrorMessage="1" errorTitle="Ошибка" error="Допускается ввод только неотрицательных целых чисел!" sqref="AF240">
      <formula1>0</formula1>
      <formula2>9.99999999999999E+23</formula2>
    </dataValidation>
    <dataValidation type="decimal" allowBlank="1" showErrorMessage="1" errorTitle="Ошибка" error="Допускается ввод только неотрицательных чисел!" sqref="AE240">
      <formula1>0</formula1>
      <formula2>9.99999999999999E+23</formula2>
    </dataValidation>
    <dataValidation type="decimal" allowBlank="1" showErrorMessage="1" errorTitle="Ошибка" error="Допускается ввод только неотрицательных чисел!" sqref="AC240">
      <formula1>0</formula1>
      <formula2>9.99999999999999E+23</formula2>
    </dataValidation>
    <dataValidation type="textLength" operator="lessThanOrEqual" allowBlank="1" showInputMessage="1" showErrorMessage="1" errorTitle="Ошибка" error="Допускается ввод не более 900 символов!" sqref="K2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0">
      <formula1>"a"</formula1>
    </dataValidation>
    <dataValidation type="whole" allowBlank="1" showErrorMessage="1" errorTitle="Ошибка" error="Допускается ввод только неотрицательных целых чисел!" sqref="AI239">
      <formula1>0</formula1>
      <formula2>9.99999999999999E+23</formula2>
    </dataValidation>
    <dataValidation type="whole" allowBlank="1" showErrorMessage="1" errorTitle="Ошибка" error="Допускается ввод только неотрицательных целых чисел!" sqref="AF239">
      <formula1>0</formula1>
      <formula2>9.99999999999999E+23</formula2>
    </dataValidation>
    <dataValidation type="textLength" operator="lessThanOrEqual" allowBlank="1" showInputMessage="1" showErrorMessage="1" errorTitle="Ошибка" error="Допускается ввод не более 900 символов!" sqref="K2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9">
      <formula1>"a"</formula1>
    </dataValidation>
    <dataValidation type="whole" allowBlank="1" showErrorMessage="1" errorTitle="Ошибка" error="Допускается ввод только неотрицательных целых чисел!" sqref="AI238">
      <formula1>0</formula1>
      <formula2>9.99999999999999E+23</formula2>
    </dataValidation>
    <dataValidation type="whole" allowBlank="1" showErrorMessage="1" errorTitle="Ошибка" error="Допускается ввод только неотрицательных целых чисел!" sqref="AF238">
      <formula1>0</formula1>
      <formula2>9.99999999999999E+23</formula2>
    </dataValidation>
    <dataValidation type="textLength" operator="lessThanOrEqual" allowBlank="1" showInputMessage="1" showErrorMessage="1" errorTitle="Ошибка" error="Допускается ввод не более 900 символов!" sqref="M238">
      <formula1>900</formula1>
    </dataValidation>
    <dataValidation type="textLength" operator="lessThanOrEqual" allowBlank="1" showInputMessage="1" showErrorMessage="1" errorTitle="Ошибка" error="Допускается ввод не более 900 символов!" sqref="K2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8">
      <formula1>"a"</formula1>
    </dataValidation>
    <dataValidation type="whole" allowBlank="1" showErrorMessage="1" errorTitle="Ошибка" error="Допускается ввод только неотрицательных целых чисел!" sqref="AI237">
      <formula1>0</formula1>
      <formula2>9.99999999999999E+23</formula2>
    </dataValidation>
    <dataValidation type="whole" allowBlank="1" showErrorMessage="1" errorTitle="Ошибка" error="Допускается ввод только неотрицательных целых чисел!" sqref="AF237">
      <formula1>0</formula1>
      <formula2>9.99999999999999E+23</formula2>
    </dataValidation>
    <dataValidation type="whole" allowBlank="1" showErrorMessage="1" errorTitle="Ошибка" error="Допускается ввод только неотрицательных целых чисел!" sqref="AI236">
      <formula1>0</formula1>
      <formula2>9.99999999999999E+23</formula2>
    </dataValidation>
    <dataValidation type="whole" allowBlank="1" showErrorMessage="1" errorTitle="Ошибка" error="Допускается ввод только неотрицательных целых чисел!" sqref="AF236">
      <formula1>0</formula1>
      <formula2>9.99999999999999E+23</formula2>
    </dataValidation>
    <dataValidation type="textLength" operator="lessThanOrEqual" allowBlank="1" showInputMessage="1" showErrorMessage="1" errorTitle="Ошибка" error="Допускается ввод не более 900 символов!" sqref="K2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6">
      <formula1>"a"</formula1>
    </dataValidation>
    <dataValidation type="whole" allowBlank="1" showErrorMessage="1" errorTitle="Ошибка" error="Допускается ввод только неотрицательных целых чисел!" sqref="AI235">
      <formula1>0</formula1>
      <formula2>9.99999999999999E+23</formula2>
    </dataValidation>
    <dataValidation type="whole" allowBlank="1" showErrorMessage="1" errorTitle="Ошибка" error="Допускается ввод только неотрицательных целых чисел!" sqref="AF235">
      <formula1>0</formula1>
      <formula2>9.99999999999999E+23</formula2>
    </dataValidation>
    <dataValidation type="decimal" allowBlank="1" showErrorMessage="1" errorTitle="Ошибка" error="Допускается ввод только неотрицательных чисел!" sqref="AE235">
      <formula1>0</formula1>
      <formula2>9.99999999999999E+23</formula2>
    </dataValidation>
    <dataValidation type="decimal" allowBlank="1" showErrorMessage="1" errorTitle="Ошибка" error="Допускается ввод только неотрицательных чисел!" sqref="AC235">
      <formula1>0</formula1>
      <formula2>9.99999999999999E+23</formula2>
    </dataValidation>
    <dataValidation type="textLength" operator="lessThanOrEqual" allowBlank="1" showInputMessage="1" showErrorMessage="1" errorTitle="Ошибка" error="Допускается ввод не более 900 символов!" sqref="K2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5">
      <formula1>"a"</formula1>
    </dataValidation>
    <dataValidation type="whole" allowBlank="1" showErrorMessage="1" errorTitle="Ошибка" error="Допускается ввод только неотрицательных целых чисел!" sqref="AI234">
      <formula1>0</formula1>
      <formula2>9.99999999999999E+23</formula2>
    </dataValidation>
    <dataValidation type="whole" allowBlank="1" showErrorMessage="1" errorTitle="Ошибка" error="Допускается ввод только неотрицательных целых чисел!" sqref="AF234">
      <formula1>0</formula1>
      <formula2>9.99999999999999E+23</formula2>
    </dataValidation>
    <dataValidation type="textLength" operator="lessThanOrEqual" allowBlank="1" showInputMessage="1" showErrorMessage="1" errorTitle="Ошибка" error="Допускается ввод не более 900 символов!" sqref="K2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4">
      <formula1>"a"</formula1>
    </dataValidation>
    <dataValidation type="whole" allowBlank="1" showErrorMessage="1" errorTitle="Ошибка" error="Допускается ввод только неотрицательных целых чисел!" sqref="AI233">
      <formula1>0</formula1>
      <formula2>9.99999999999999E+23</formula2>
    </dataValidation>
    <dataValidation type="whole" allowBlank="1" showErrorMessage="1" errorTitle="Ошибка" error="Допускается ввод только неотрицательных целых чисел!" sqref="AF233">
      <formula1>0</formula1>
      <formula2>9.99999999999999E+23</formula2>
    </dataValidation>
    <dataValidation type="textLength" operator="lessThanOrEqual" allowBlank="1" showInputMessage="1" showErrorMessage="1" errorTitle="Ошибка" error="Допускается ввод не более 900 символов!" sqref="M233">
      <formula1>900</formula1>
    </dataValidation>
    <dataValidation type="textLength" operator="lessThanOrEqual" allowBlank="1" showInputMessage="1" showErrorMessage="1" errorTitle="Ошибка" error="Допускается ввод не более 900 символов!" sqref="K2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3">
      <formula1>"a"</formula1>
    </dataValidation>
    <dataValidation type="whole" allowBlank="1" showErrorMessage="1" errorTitle="Ошибка" error="Допускается ввод только неотрицательных целых чисел!" sqref="AI522">
      <formula1>0</formula1>
      <formula2>9.99999999999999E+23</formula2>
    </dataValidation>
    <dataValidation type="whole" allowBlank="1" showErrorMessage="1" errorTitle="Ошибка" error="Допускается ввод только неотрицательных целых чисел!" sqref="AF522">
      <formula1>0</formula1>
      <formula2>9.99999999999999E+23</formula2>
    </dataValidation>
    <dataValidation type="whole" allowBlank="1" showErrorMessage="1" errorTitle="Ошибка" error="Допускается ввод только неотрицательных целых чисел!" sqref="AI521">
      <formula1>0</formula1>
      <formula2>9.99999999999999E+23</formula2>
    </dataValidation>
    <dataValidation type="whole" allowBlank="1" showErrorMessage="1" errorTitle="Ошибка" error="Допускается ввод только неотрицательных целых чисел!" sqref="AF521">
      <formula1>0</formula1>
      <formula2>9.99999999999999E+23</formula2>
    </dataValidation>
    <dataValidation type="textLength" operator="lessThanOrEqual" allowBlank="1" showInputMessage="1" showErrorMessage="1" errorTitle="Ошибка" error="Допускается ввод не более 900 символов!" sqref="K5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1">
      <formula1>"a"</formula1>
    </dataValidation>
    <dataValidation type="whole" allowBlank="1" showErrorMessage="1" errorTitle="Ошибка" error="Допускается ввод только неотрицательных целых чисел!" sqref="AI520">
      <formula1>0</formula1>
      <formula2>9.99999999999999E+23</formula2>
    </dataValidation>
    <dataValidation type="whole" allowBlank="1" showErrorMessage="1" errorTitle="Ошибка" error="Допускается ввод только неотрицательных целых чисел!" sqref="AF520">
      <formula1>0</formula1>
      <formula2>9.99999999999999E+23</formula2>
    </dataValidation>
    <dataValidation type="decimal" allowBlank="1" showErrorMessage="1" errorTitle="Ошибка" error="Допускается ввод только неотрицательных чисел!" sqref="AE520">
      <formula1>0</formula1>
      <formula2>9.99999999999999E+23</formula2>
    </dataValidation>
    <dataValidation type="decimal" allowBlank="1" showErrorMessage="1" errorTitle="Ошибка" error="Допускается ввод только неотрицательных чисел!" sqref="AC520">
      <formula1>0</formula1>
      <formula2>9.99999999999999E+23</formula2>
    </dataValidation>
    <dataValidation type="textLength" operator="lessThanOrEqual" allowBlank="1" showInputMessage="1" showErrorMessage="1" errorTitle="Ошибка" error="Допускается ввод не более 900 символов!" sqref="K5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0">
      <formula1>"a"</formula1>
    </dataValidation>
    <dataValidation type="whole" allowBlank="1" showErrorMessage="1" errorTitle="Ошибка" error="Допускается ввод только неотрицательных целых чисел!" sqref="AI519">
      <formula1>0</formula1>
      <formula2>9.99999999999999E+23</formula2>
    </dataValidation>
    <dataValidation type="whole" allowBlank="1" showErrorMessage="1" errorTitle="Ошибка" error="Допускается ввод только неотрицательных целых чисел!" sqref="AF519">
      <formula1>0</formula1>
      <formula2>9.99999999999999E+23</formula2>
    </dataValidation>
    <dataValidation type="textLength" operator="lessThanOrEqual" allowBlank="1" showInputMessage="1" showErrorMessage="1" errorTitle="Ошибка" error="Допускается ввод не более 900 символов!" sqref="K5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9">
      <formula1>"a"</formula1>
    </dataValidation>
    <dataValidation type="whole" allowBlank="1" showErrorMessage="1" errorTitle="Ошибка" error="Допускается ввод только неотрицательных целых чисел!" sqref="AI518">
      <formula1>0</formula1>
      <formula2>9.99999999999999E+23</formula2>
    </dataValidation>
    <dataValidation type="whole" allowBlank="1" showErrorMessage="1" errorTitle="Ошибка" error="Допускается ввод только неотрицательных целых чисел!" sqref="AF518">
      <formula1>0</formula1>
      <formula2>9.99999999999999E+23</formula2>
    </dataValidation>
    <dataValidation type="textLength" operator="lessThanOrEqual" allowBlank="1" showInputMessage="1" showErrorMessage="1" errorTitle="Ошибка" error="Допускается ввод не более 900 символов!" sqref="M518">
      <formula1>900</formula1>
    </dataValidation>
    <dataValidation type="textLength" operator="lessThanOrEqual" allowBlank="1" showInputMessage="1" showErrorMessage="1" errorTitle="Ошибка" error="Допускается ввод не более 900 символов!" sqref="K5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8">
      <formula1>"a"</formula1>
    </dataValidation>
    <dataValidation type="whole" allowBlank="1" showErrorMessage="1" errorTitle="Ошибка" error="Допускается ввод только неотрицательных целых чисел!" sqref="AI399">
      <formula1>0</formula1>
      <formula2>9.99999999999999E+23</formula2>
    </dataValidation>
    <dataValidation type="whole" allowBlank="1" showErrorMessage="1" errorTitle="Ошибка" error="Допускается ввод только неотрицательных целых чисел!" sqref="AF399">
      <formula1>0</formula1>
      <formula2>9.99999999999999E+23</formula2>
    </dataValidation>
    <dataValidation type="whole" allowBlank="1" showErrorMessage="1" errorTitle="Ошибка" error="Допускается ввод только неотрицательных целых чисел!" sqref="AI398">
      <formula1>0</formula1>
      <formula2>9.99999999999999E+23</formula2>
    </dataValidation>
    <dataValidation type="whole" allowBlank="1" showErrorMessage="1" errorTitle="Ошибка" error="Допускается ввод только неотрицательных целых чисел!" sqref="AF398">
      <formula1>0</formula1>
      <formula2>9.99999999999999E+23</formula2>
    </dataValidation>
    <dataValidation type="textLength" operator="lessThanOrEqual" allowBlank="1" showInputMessage="1" showErrorMessage="1" errorTitle="Ошибка" error="Допускается ввод не более 900 символов!" sqref="K3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8">
      <formula1>"a"</formula1>
    </dataValidation>
    <dataValidation type="whole" allowBlank="1" showErrorMessage="1" errorTitle="Ошибка" error="Допускается ввод только неотрицательных целых чисел!" sqref="AI397">
      <formula1>0</formula1>
      <formula2>9.99999999999999E+23</formula2>
    </dataValidation>
    <dataValidation type="whole" allowBlank="1" showErrorMessage="1" errorTitle="Ошибка" error="Допускается ввод только неотрицательных целых чисел!" sqref="AF397">
      <formula1>0</formula1>
      <formula2>9.99999999999999E+23</formula2>
    </dataValidation>
    <dataValidation type="decimal" allowBlank="1" showErrorMessage="1" errorTitle="Ошибка" error="Допускается ввод только неотрицательных чисел!" sqref="AE397">
      <formula1>0</formula1>
      <formula2>9.99999999999999E+23</formula2>
    </dataValidation>
    <dataValidation type="decimal" allowBlank="1" showErrorMessage="1" errorTitle="Ошибка" error="Допускается ввод только неотрицательных чисел!" sqref="AC397">
      <formula1>0</formula1>
      <formula2>9.99999999999999E+23</formula2>
    </dataValidation>
    <dataValidation type="textLength" operator="lessThanOrEqual" allowBlank="1" showInputMessage="1" showErrorMessage="1" errorTitle="Ошибка" error="Допускается ввод не более 900 символов!" sqref="K3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7">
      <formula1>"a"</formula1>
    </dataValidation>
    <dataValidation type="whole" allowBlank="1" showErrorMessage="1" errorTitle="Ошибка" error="Допускается ввод только неотрицательных целых чисел!" sqref="AI396">
      <formula1>0</formula1>
      <formula2>9.99999999999999E+23</formula2>
    </dataValidation>
    <dataValidation type="whole" allowBlank="1" showErrorMessage="1" errorTitle="Ошибка" error="Допускается ввод только неотрицательных целых чисел!" sqref="AF396">
      <formula1>0</formula1>
      <formula2>9.99999999999999E+23</formula2>
    </dataValidation>
    <dataValidation type="textLength" operator="lessThanOrEqual" allowBlank="1" showInputMessage="1" showErrorMessage="1" errorTitle="Ошибка" error="Допускается ввод не более 900 символов!" sqref="K3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6">
      <formula1>"a"</formula1>
    </dataValidation>
    <dataValidation type="whole" allowBlank="1" showErrorMessage="1" errorTitle="Ошибка" error="Допускается ввод только неотрицательных целых чисел!" sqref="AI395">
      <formula1>0</formula1>
      <formula2>9.99999999999999E+23</formula2>
    </dataValidation>
    <dataValidation type="whole" allowBlank="1" showErrorMessage="1" errorTitle="Ошибка" error="Допускается ввод только неотрицательных целых чисел!" sqref="AF395">
      <formula1>0</formula1>
      <formula2>9.99999999999999E+23</formula2>
    </dataValidation>
    <dataValidation type="textLength" operator="lessThanOrEqual" allowBlank="1" showInputMessage="1" showErrorMessage="1" errorTitle="Ошибка" error="Допускается ввод не более 900 символов!" sqref="M395">
      <formula1>900</formula1>
    </dataValidation>
    <dataValidation type="textLength" operator="lessThanOrEqual" allowBlank="1" showInputMessage="1" showErrorMessage="1" errorTitle="Ошибка" error="Допускается ввод не более 900 символов!" sqref="K3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5">
      <formula1>"a"</formula1>
    </dataValidation>
    <dataValidation type="whole" allowBlank="1" showErrorMessage="1" errorTitle="Ошибка" error="Допускается ввод только неотрицательных целых чисел!" sqref="AI232">
      <formula1>0</formula1>
      <formula2>9.99999999999999E+23</formula2>
    </dataValidation>
    <dataValidation type="whole" allowBlank="1" showErrorMessage="1" errorTitle="Ошибка" error="Допускается ввод только неотрицательных целых чисел!" sqref="AF232">
      <formula1>0</formula1>
      <formula2>9.99999999999999E+23</formula2>
    </dataValidation>
    <dataValidation type="whole" allowBlank="1" showErrorMessage="1" errorTitle="Ошибка" error="Допускается ввод только неотрицательных целых чисел!" sqref="AI231">
      <formula1>0</formula1>
      <formula2>9.99999999999999E+23</formula2>
    </dataValidation>
    <dataValidation type="whole" allowBlank="1" showErrorMessage="1" errorTitle="Ошибка" error="Допускается ввод только неотрицательных целых чисел!" sqref="AF231">
      <formula1>0</formula1>
      <formula2>9.99999999999999E+23</formula2>
    </dataValidation>
    <dataValidation type="textLength" operator="lessThanOrEqual" allowBlank="1" showInputMessage="1" showErrorMessage="1" errorTitle="Ошибка" error="Допускается ввод не более 900 символов!" sqref="K2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1">
      <formula1>"a"</formula1>
    </dataValidation>
    <dataValidation type="whole" allowBlank="1" showErrorMessage="1" errorTitle="Ошибка" error="Допускается ввод только неотрицательных целых чисел!" sqref="AI230">
      <formula1>0</formula1>
      <formula2>9.99999999999999E+23</formula2>
    </dataValidation>
    <dataValidation type="whole" allowBlank="1" showErrorMessage="1" errorTitle="Ошибка" error="Допускается ввод только неотрицательных целых чисел!" sqref="AF230">
      <formula1>0</formula1>
      <formula2>9.99999999999999E+23</formula2>
    </dataValidation>
    <dataValidation type="decimal" allowBlank="1" showErrorMessage="1" errorTitle="Ошибка" error="Допускается ввод только неотрицательных чисел!" sqref="AE230">
      <formula1>0</formula1>
      <formula2>9.99999999999999E+23</formula2>
    </dataValidation>
    <dataValidation type="decimal" allowBlank="1" showErrorMessage="1" errorTitle="Ошибка" error="Допускается ввод только неотрицательных чисел!" sqref="AC230">
      <formula1>0</formula1>
      <formula2>9.99999999999999E+23</formula2>
    </dataValidation>
    <dataValidation type="textLength" operator="lessThanOrEqual" allowBlank="1" showInputMessage="1" showErrorMessage="1" errorTitle="Ошибка" error="Допускается ввод не более 900 символов!" sqref="K2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0">
      <formula1>"a"</formula1>
    </dataValidation>
    <dataValidation type="whole" allowBlank="1" showErrorMessage="1" errorTitle="Ошибка" error="Допускается ввод только неотрицательных целых чисел!" sqref="AI229">
      <formula1>0</formula1>
      <formula2>9.99999999999999E+23</formula2>
    </dataValidation>
    <dataValidation type="whole" allowBlank="1" showErrorMessage="1" errorTitle="Ошибка" error="Допускается ввод только неотрицательных целых чисел!" sqref="AF229">
      <formula1>0</formula1>
      <formula2>9.99999999999999E+23</formula2>
    </dataValidation>
    <dataValidation type="textLength" operator="lessThanOrEqual" allowBlank="1" showInputMessage="1" showErrorMessage="1" errorTitle="Ошибка" error="Допускается ввод не более 900 символов!" sqref="K2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9">
      <formula1>"a"</formula1>
    </dataValidation>
    <dataValidation type="whole" allowBlank="1" showErrorMessage="1" errorTitle="Ошибка" error="Допускается ввод только неотрицательных целых чисел!" sqref="AI228">
      <formula1>0</formula1>
      <formula2>9.99999999999999E+23</formula2>
    </dataValidation>
    <dataValidation type="whole" allowBlank="1" showErrorMessage="1" errorTitle="Ошибка" error="Допускается ввод только неотрицательных целых чисел!" sqref="AF228">
      <formula1>0</formula1>
      <formula2>9.99999999999999E+23</formula2>
    </dataValidation>
    <dataValidation type="textLength" operator="lessThanOrEqual" allowBlank="1" showInputMessage="1" showErrorMessage="1" errorTitle="Ошибка" error="Допускается ввод не более 900 символов!" sqref="M228">
      <formula1>900</formula1>
    </dataValidation>
    <dataValidation type="textLength" operator="lessThanOrEqual" allowBlank="1" showInputMessage="1" showErrorMessage="1" errorTitle="Ошибка" error="Допускается ввод не более 900 символов!" sqref="K2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8">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M57">
      <formula1>900</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decimal" allowBlank="1" showErrorMessage="1" errorTitle="Ошибка" error="Допускается ввод только неотрицательных чисел!" sqref="AE33">
      <formula1>0</formula1>
      <formula2>9.99999999999999E+23</formula2>
    </dataValidation>
    <dataValidation type="decimal" allowBlank="1" showErrorMessage="1" errorTitle="Ошибка" error="Допускается ввод только неотрицательных чисел!" sqref="AC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textLength" operator="lessThanOrEqual" allowBlank="1" showInputMessage="1" showErrorMessage="1" errorTitle="Ошибка" error="Допускается ввод не более 900 символов!" sqref="M31">
      <formula1>900</formula1>
    </dataValidation>
    <dataValidation type="textLength" operator="lessThanOrEqual" allowBlank="1" showInputMessage="1" showErrorMessage="1" errorTitle="Ошибка" error="Допускается ввод не более 900 символов!" sqref="K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whole" allowBlank="1" showErrorMessage="1" errorTitle="Ошибка" error="Допускается ввод только неотрицательных целых чисел!" sqref="AI517">
      <formula1>0</formula1>
      <formula2>9.99999999999999E+23</formula2>
    </dataValidation>
    <dataValidation type="whole" allowBlank="1" showErrorMessage="1" errorTitle="Ошибка" error="Допускается ввод только неотрицательных целых чисел!" sqref="AF517">
      <formula1>0</formula1>
      <formula2>9.99999999999999E+23</formula2>
    </dataValidation>
    <dataValidation type="whole" allowBlank="1" showErrorMessage="1" errorTitle="Ошибка" error="Допускается ввод только неотрицательных целых чисел!" sqref="AI516">
      <formula1>0</formula1>
      <formula2>9.99999999999999E+23</formula2>
    </dataValidation>
    <dataValidation type="whole" allowBlank="1" showErrorMessage="1" errorTitle="Ошибка" error="Допускается ввод только неотрицательных целых чисел!" sqref="AF516">
      <formula1>0</formula1>
      <formula2>9.99999999999999E+23</formula2>
    </dataValidation>
    <dataValidation type="textLength" operator="lessThanOrEqual" allowBlank="1" showInputMessage="1" showErrorMessage="1" errorTitle="Ошибка" error="Допускается ввод не более 900 символов!" sqref="K5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6">
      <formula1>"a"</formula1>
    </dataValidation>
    <dataValidation type="whole" allowBlank="1" showErrorMessage="1" errorTitle="Ошибка" error="Допускается ввод только неотрицательных целых чисел!" sqref="AI515">
      <formula1>0</formula1>
      <formula2>9.99999999999999E+23</formula2>
    </dataValidation>
    <dataValidation type="whole" allowBlank="1" showErrorMessage="1" errorTitle="Ошибка" error="Допускается ввод только неотрицательных целых чисел!" sqref="AF515">
      <formula1>0</formula1>
      <formula2>9.99999999999999E+23</formula2>
    </dataValidation>
    <dataValidation type="decimal" allowBlank="1" showErrorMessage="1" errorTitle="Ошибка" error="Допускается ввод только неотрицательных чисел!" sqref="AE515">
      <formula1>0</formula1>
      <formula2>9.99999999999999E+23</formula2>
    </dataValidation>
    <dataValidation type="decimal" allowBlank="1" showErrorMessage="1" errorTitle="Ошибка" error="Допускается ввод только неотрицательных чисел!" sqref="AC515">
      <formula1>0</formula1>
      <formula2>9.99999999999999E+23</formula2>
    </dataValidation>
    <dataValidation type="textLength" operator="lessThanOrEqual" allowBlank="1" showInputMessage="1" showErrorMessage="1" errorTitle="Ошибка" error="Допускается ввод не более 900 символов!" sqref="K5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5">
      <formula1>"a"</formula1>
    </dataValidation>
    <dataValidation type="whole" allowBlank="1" showErrorMessage="1" errorTitle="Ошибка" error="Допускается ввод только неотрицательных целых чисел!" sqref="AI514">
      <formula1>0</formula1>
      <formula2>9.99999999999999E+23</formula2>
    </dataValidation>
    <dataValidation type="whole" allowBlank="1" showErrorMessage="1" errorTitle="Ошибка" error="Допускается ввод только неотрицательных целых чисел!" sqref="AF514">
      <formula1>0</formula1>
      <formula2>9.99999999999999E+23</formula2>
    </dataValidation>
    <dataValidation type="textLength" operator="lessThanOrEqual" allowBlank="1" showInputMessage="1" showErrorMessage="1" errorTitle="Ошибка" error="Допускается ввод не более 900 символов!" sqref="K5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4">
      <formula1>"a"</formula1>
    </dataValidation>
    <dataValidation type="whole" allowBlank="1" showErrorMessage="1" errorTitle="Ошибка" error="Допускается ввод только неотрицательных целых чисел!" sqref="AI513">
      <formula1>0</formula1>
      <formula2>9.99999999999999E+23</formula2>
    </dataValidation>
    <dataValidation type="whole" allowBlank="1" showErrorMessage="1" errorTitle="Ошибка" error="Допускается ввод только неотрицательных целых чисел!" sqref="AF513">
      <formula1>0</formula1>
      <formula2>9.99999999999999E+23</formula2>
    </dataValidation>
    <dataValidation type="textLength" operator="lessThanOrEqual" allowBlank="1" showInputMessage="1" showErrorMessage="1" errorTitle="Ошибка" error="Допускается ввод не более 900 символов!" sqref="M513">
      <formula1>900</formula1>
    </dataValidation>
    <dataValidation type="textLength" operator="lessThanOrEqual" allowBlank="1" showInputMessage="1" showErrorMessage="1" errorTitle="Ошибка" error="Допускается ввод не более 900 символов!" sqref="K5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3">
      <formula1>"a"</formula1>
    </dataValidation>
    <dataValidation type="whole" allowBlank="1" showErrorMessage="1" errorTitle="Ошибка" error="Допускается ввод только неотрицательных целых чисел!" sqref="AI394">
      <formula1>0</formula1>
      <formula2>9.99999999999999E+23</formula2>
    </dataValidation>
    <dataValidation type="whole" allowBlank="1" showErrorMessage="1" errorTitle="Ошибка" error="Допускается ввод только неотрицательных целых чисел!" sqref="AF394">
      <formula1>0</formula1>
      <formula2>9.99999999999999E+23</formula2>
    </dataValidation>
    <dataValidation type="whole" allowBlank="1" showErrorMessage="1" errorTitle="Ошибка" error="Допускается ввод только неотрицательных целых чисел!" sqref="AI393">
      <formula1>0</formula1>
      <formula2>9.99999999999999E+23</formula2>
    </dataValidation>
    <dataValidation type="whole" allowBlank="1" showErrorMessage="1" errorTitle="Ошибка" error="Допускается ввод только неотрицательных целых чисел!" sqref="AF393">
      <formula1>0</formula1>
      <formula2>9.99999999999999E+23</formula2>
    </dataValidation>
    <dataValidation type="textLength" operator="lessThanOrEqual" allowBlank="1" showInputMessage="1" showErrorMessage="1" errorTitle="Ошибка" error="Допускается ввод не более 900 символов!" sqref="K3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3">
      <formula1>"a"</formula1>
    </dataValidation>
    <dataValidation type="whole" allowBlank="1" showErrorMessage="1" errorTitle="Ошибка" error="Допускается ввод только неотрицательных целых чисел!" sqref="AI392">
      <formula1>0</formula1>
      <formula2>9.99999999999999E+23</formula2>
    </dataValidation>
    <dataValidation type="whole" allowBlank="1" showErrorMessage="1" errorTitle="Ошибка" error="Допускается ввод только неотрицательных целых чисел!" sqref="AF392">
      <formula1>0</formula1>
      <formula2>9.99999999999999E+23</formula2>
    </dataValidation>
    <dataValidation type="decimal" allowBlank="1" showErrorMessage="1" errorTitle="Ошибка" error="Допускается ввод только неотрицательных чисел!" sqref="AE392">
      <formula1>0</formula1>
      <formula2>9.99999999999999E+23</formula2>
    </dataValidation>
    <dataValidation type="decimal" allowBlank="1" showErrorMessage="1" errorTitle="Ошибка" error="Допускается ввод только неотрицательных чисел!" sqref="AC392">
      <formula1>0</formula1>
      <formula2>9.99999999999999E+23</formula2>
    </dataValidation>
    <dataValidation type="textLength" operator="lessThanOrEqual" allowBlank="1" showInputMessage="1" showErrorMessage="1" errorTitle="Ошибка" error="Допускается ввод не более 900 символов!" sqref="K3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2">
      <formula1>"a"</formula1>
    </dataValidation>
    <dataValidation type="whole" allowBlank="1" showErrorMessage="1" errorTitle="Ошибка" error="Допускается ввод только неотрицательных целых чисел!" sqref="AI391">
      <formula1>0</formula1>
      <formula2>9.99999999999999E+23</formula2>
    </dataValidation>
    <dataValidation type="whole" allowBlank="1" showErrorMessage="1" errorTitle="Ошибка" error="Допускается ввод только неотрицательных целых чисел!" sqref="AF391">
      <formula1>0</formula1>
      <formula2>9.99999999999999E+23</formula2>
    </dataValidation>
    <dataValidation type="textLength" operator="lessThanOrEqual" allowBlank="1" showInputMessage="1" showErrorMessage="1" errorTitle="Ошибка" error="Допускается ввод не более 900 символов!" sqref="K3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1">
      <formula1>"a"</formula1>
    </dataValidation>
    <dataValidation type="whole" allowBlank="1" showErrorMessage="1" errorTitle="Ошибка" error="Допускается ввод только неотрицательных целых чисел!" sqref="AI390">
      <formula1>0</formula1>
      <formula2>9.99999999999999E+23</formula2>
    </dataValidation>
    <dataValidation type="whole" allowBlank="1" showErrorMessage="1" errorTitle="Ошибка" error="Допускается ввод только неотрицательных целых чисел!" sqref="AF390">
      <formula1>0</formula1>
      <formula2>9.99999999999999E+23</formula2>
    </dataValidation>
    <dataValidation type="textLength" operator="lessThanOrEqual" allowBlank="1" showInputMessage="1" showErrorMessage="1" errorTitle="Ошибка" error="Допускается ввод не более 900 символов!" sqref="M390">
      <formula1>900</formula1>
    </dataValidation>
    <dataValidation type="textLength" operator="lessThanOrEqual" allowBlank="1" showInputMessage="1" showErrorMessage="1" errorTitle="Ошибка" error="Допускается ввод не более 900 символов!" sqref="K3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0">
      <formula1>"a"</formula1>
    </dataValidation>
    <dataValidation type="whole" allowBlank="1" showErrorMessage="1" errorTitle="Ошибка" error="Допускается ввод только неотрицательных целых чисел!" sqref="AI227">
      <formula1>0</formula1>
      <formula2>9.99999999999999E+23</formula2>
    </dataValidation>
    <dataValidation type="whole" allowBlank="1" showErrorMessage="1" errorTitle="Ошибка" error="Допускается ввод только неотрицательных целых чисел!" sqref="AF227">
      <formula1>0</formula1>
      <formula2>9.99999999999999E+23</formula2>
    </dataValidation>
    <dataValidation type="whole" allowBlank="1" showErrorMessage="1" errorTitle="Ошибка" error="Допускается ввод только неотрицательных целых чисел!" sqref="AI226">
      <formula1>0</formula1>
      <formula2>9.99999999999999E+23</formula2>
    </dataValidation>
    <dataValidation type="whole" allowBlank="1" showErrorMessage="1" errorTitle="Ошибка" error="Допускается ввод только неотрицательных целых чисел!" sqref="AF226">
      <formula1>0</formula1>
      <formula2>9.99999999999999E+23</formula2>
    </dataValidation>
    <dataValidation type="textLength" operator="lessThanOrEqual" allowBlank="1" showInputMessage="1" showErrorMessage="1" errorTitle="Ошибка" error="Допускается ввод не более 900 символов!" sqref="K2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6">
      <formula1>"a"</formula1>
    </dataValidation>
    <dataValidation type="whole" allowBlank="1" showErrorMessage="1" errorTitle="Ошибка" error="Допускается ввод только неотрицательных целых чисел!" sqref="AI225">
      <formula1>0</formula1>
      <formula2>9.99999999999999E+23</formula2>
    </dataValidation>
    <dataValidation type="whole" allowBlank="1" showErrorMessage="1" errorTitle="Ошибка" error="Допускается ввод только неотрицательных целых чисел!" sqref="AF225">
      <formula1>0</formula1>
      <formula2>9.99999999999999E+23</formula2>
    </dataValidation>
    <dataValidation type="decimal" allowBlank="1" showErrorMessage="1" errorTitle="Ошибка" error="Допускается ввод только неотрицательных чисел!" sqref="AE225">
      <formula1>0</formula1>
      <formula2>9.99999999999999E+23</formula2>
    </dataValidation>
    <dataValidation type="decimal" allowBlank="1" showErrorMessage="1" errorTitle="Ошибка" error="Допускается ввод только неотрицательных чисел!" sqref="AC225">
      <formula1>0</formula1>
      <formula2>9.99999999999999E+23</formula2>
    </dataValidation>
    <dataValidation type="textLength" operator="lessThanOrEqual" allowBlank="1" showInputMessage="1" showErrorMessage="1" errorTitle="Ошибка" error="Допускается ввод не более 900 символов!" sqref="K2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5">
      <formula1>"a"</formula1>
    </dataValidation>
    <dataValidation type="whole" allowBlank="1" showErrorMessage="1" errorTitle="Ошибка" error="Допускается ввод только неотрицательных целых чисел!" sqref="AI224">
      <formula1>0</formula1>
      <formula2>9.99999999999999E+23</formula2>
    </dataValidation>
    <dataValidation type="whole" allowBlank="1" showErrorMessage="1" errorTitle="Ошибка" error="Допускается ввод только неотрицательных целых чисел!" sqref="AF224">
      <formula1>0</formula1>
      <formula2>9.99999999999999E+23</formula2>
    </dataValidation>
    <dataValidation type="textLength" operator="lessThanOrEqual" allowBlank="1" showInputMessage="1" showErrorMessage="1" errorTitle="Ошибка" error="Допускается ввод не более 900 символов!" sqref="K2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4">
      <formula1>"a"</formula1>
    </dataValidation>
    <dataValidation type="whole" allowBlank="1" showErrorMessage="1" errorTitle="Ошибка" error="Допускается ввод только неотрицательных целых чисел!" sqref="AI223">
      <formula1>0</formula1>
      <formula2>9.99999999999999E+23</formula2>
    </dataValidation>
    <dataValidation type="whole" allowBlank="1" showErrorMessage="1" errorTitle="Ошибка" error="Допускается ввод только неотрицательных целых чисел!" sqref="AF223">
      <formula1>0</formula1>
      <formula2>9.99999999999999E+23</formula2>
    </dataValidation>
    <dataValidation type="textLength" operator="lessThanOrEqual" allowBlank="1" showInputMessage="1" showErrorMessage="1" errorTitle="Ошибка" error="Допускается ввод не более 900 символов!" sqref="M223">
      <formula1>900</formula1>
    </dataValidation>
    <dataValidation type="textLength" operator="lessThanOrEqual" allowBlank="1" showInputMessage="1" showErrorMessage="1" errorTitle="Ошибка" error="Допускается ввод не более 900 символов!" sqref="K2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3">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decimal" allowBlank="1" showErrorMessage="1" errorTitle="Ошибка" error="Допускается ввод только неотрицательных чисел!" sqref="AE54">
      <formula1>0</formula1>
      <formula2>9.99999999999999E+23</formula2>
    </dataValidation>
    <dataValidation type="decimal" allowBlank="1" showErrorMessage="1" errorTitle="Ошибка" error="Допускается ввод только неотрицательных чисел!" sqref="AC54">
      <formula1>0</formula1>
      <formula2>9.99999999999999E+23</formula2>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textLength" operator="lessThanOrEqual" allowBlank="1" showInputMessage="1" showErrorMessage="1" errorTitle="Ошибка" error="Допускается ввод не более 900 символов!" sqref="M52">
      <formula1>900</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M26">
      <formula1>900</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textLength" operator="lessThanOrEqual" allowBlank="1" showInputMessage="1" showErrorMessage="1" errorTitle="Ошибка" error="Допускается ввод не более 900 символов!" sqref="K67">
      <formula1>900</formula1>
    </dataValidation>
    <dataValidation type="textLength" operator="lessThanOrEqual" allowBlank="1" showInputMessage="1" showErrorMessage="1" errorTitle="Ошибка" error="Допускается ввод не более 900 символов!" sqref="M67">
      <formula1>900</formula1>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textLength" operator="lessThanOrEqual" allowBlank="1" showInputMessage="1" showErrorMessage="1" errorTitle="Ошибка" error="Допускается ввод не более 900 символов!" sqref="K68">
      <formula1>900</formula1>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3">
      <formula1>"a"</formula1>
    </dataValidation>
    <dataValidation type="textLength" operator="lessThanOrEqual" allowBlank="1" showInputMessage="1" showErrorMessage="1" errorTitle="Ошибка" error="Допускается ввод не более 900 символов!" sqref="K243">
      <formula1>900</formula1>
    </dataValidation>
    <dataValidation type="textLength" operator="lessThanOrEqual" allowBlank="1" showInputMessage="1" showErrorMessage="1" errorTitle="Ошибка" error="Допускается ввод не более 900 символов!" sqref="M243">
      <formula1>900</formula1>
    </dataValidation>
    <dataValidation type="whole" allowBlank="1" showErrorMessage="1" errorTitle="Ошибка" error="Допускается ввод только неотрицательных целых чисел!" sqref="AF243">
      <formula1>0</formula1>
      <formula2>9.99999999999999E+23</formula2>
    </dataValidation>
    <dataValidation type="whole" allowBlank="1" showErrorMessage="1" errorTitle="Ошибка" error="Допускается ввод только неотрицательных целых чисел!" sqref="AI2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4">
      <formula1>"a"</formula1>
    </dataValidation>
    <dataValidation type="textLength" operator="lessThanOrEqual" allowBlank="1" showInputMessage="1" showErrorMessage="1" errorTitle="Ошибка" error="Допускается ввод не более 900 символов!" sqref="K244">
      <formula1>900</formula1>
    </dataValidation>
    <dataValidation type="whole" allowBlank="1" showErrorMessage="1" errorTitle="Ошибка" error="Допускается ввод только неотрицательных целых чисел!" sqref="AF244">
      <formula1>0</formula1>
      <formula2>9.99999999999999E+23</formula2>
    </dataValidation>
    <dataValidation type="whole" allowBlank="1" showErrorMessage="1" errorTitle="Ошибка" error="Допускается ввод только неотрицательных целых чисел!" sqref="AI2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5">
      <formula1>"a"</formula1>
    </dataValidation>
    <dataValidation type="textLength" operator="lessThanOrEqual" allowBlank="1" showInputMessage="1" showErrorMessage="1" errorTitle="Ошибка" error="Допускается ввод не более 900 символов!" sqref="K245">
      <formula1>900</formula1>
    </dataValidation>
    <dataValidation type="decimal" allowBlank="1" showErrorMessage="1" errorTitle="Ошибка" error="Допускается ввод только неотрицательных чисел!" sqref="AC245">
      <formula1>0</formula1>
      <formula2>9.99999999999999E+23</formula2>
    </dataValidation>
    <dataValidation type="decimal" allowBlank="1" showErrorMessage="1" errorTitle="Ошибка" error="Допускается ввод только неотрицательных чисел!" sqref="AE245">
      <formula1>0</formula1>
      <formula2>9.99999999999999E+23</formula2>
    </dataValidation>
    <dataValidation type="whole" allowBlank="1" showErrorMessage="1" errorTitle="Ошибка" error="Допускается ввод только неотрицательных целых чисел!" sqref="AF245">
      <formula1>0</formula1>
      <formula2>9.99999999999999E+23</formula2>
    </dataValidation>
    <dataValidation type="whole" allowBlank="1" showErrorMessage="1" errorTitle="Ошибка" error="Допускается ввод только неотрицательных целых чисел!" sqref="AI2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6">
      <formula1>"a"</formula1>
    </dataValidation>
    <dataValidation type="textLength" operator="lessThanOrEqual" allowBlank="1" showInputMessage="1" showErrorMessage="1" errorTitle="Ошибка" error="Допускается ввод не более 900 символов!" sqref="K246">
      <formula1>900</formula1>
    </dataValidation>
    <dataValidation type="whole" allowBlank="1" showErrorMessage="1" errorTitle="Ошибка" error="Допускается ввод только неотрицательных целых чисел!" sqref="AF246">
      <formula1>0</formula1>
      <formula2>9.99999999999999E+23</formula2>
    </dataValidation>
    <dataValidation type="whole" allowBlank="1" showErrorMessage="1" errorTitle="Ошибка" error="Допускается ввод только неотрицательных целых чисел!" sqref="AI246">
      <formula1>0</formula1>
      <formula2>9.99999999999999E+23</formula2>
    </dataValidation>
    <dataValidation type="whole" allowBlank="1" showErrorMessage="1" errorTitle="Ошибка" error="Допускается ввод только неотрицательных целых чисел!" sqref="AF247">
      <formula1>0</formula1>
      <formula2>9.99999999999999E+23</formula2>
    </dataValidation>
    <dataValidation type="whole" allowBlank="1" showErrorMessage="1" errorTitle="Ошибка" error="Допускается ввод только неотрицательных целых чисел!" sqref="AI2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textLength" operator="lessThanOrEqual" allowBlank="1" showInputMessage="1" showErrorMessage="1" errorTitle="Ошибка" error="Допускается ввод не более 900 символов!" sqref="M72">
      <formula1>900</formula1>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textLength" operator="lessThanOrEqual" allowBlank="1" showInputMessage="1" showErrorMessage="1" errorTitle="Ошибка" error="Допускается ввод не более 900 символов!" sqref="K73">
      <formula1>900</formula1>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textLength" operator="lessThanOrEqual" allowBlank="1" showInputMessage="1" showErrorMessage="1" errorTitle="Ошибка" error="Допускается ввод не более 900 символов!" sqref="K74">
      <formula1>900</formula1>
    </dataValidation>
    <dataValidation type="decimal" allowBlank="1" showErrorMessage="1" errorTitle="Ошибка" error="Допускается ввод только неотрицательных чисел!" sqref="AC74">
      <formula1>0</formula1>
      <formula2>9.99999999999999E+23</formula2>
    </dataValidation>
    <dataValidation type="decimal" allowBlank="1" showErrorMessage="1" errorTitle="Ошибка" error="Допускается ввод только неотрицательных чисел!" sqref="AE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textLength" operator="lessThanOrEqual" allowBlank="1" showInputMessage="1" showErrorMessage="1" errorTitle="Ошибка" error="Допускается ввод не более 900 символов!" sqref="M77">
      <formula1>900</formula1>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textLength" operator="lessThanOrEqual" allowBlank="1" showInputMessage="1" showErrorMessage="1" errorTitle="Ошибка" error="Допускается ввод не более 900 символов!" sqref="K78">
      <formula1>900</formula1>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decimal" allowBlank="1" showErrorMessage="1" errorTitle="Ошибка" error="Допускается ввод только неотрицательных чисел!" sqref="AC79">
      <formula1>0</formula1>
      <formula2>9.99999999999999E+23</formula2>
    </dataValidation>
    <dataValidation type="decimal" allowBlank="1" showErrorMessage="1" errorTitle="Ошибка" error="Допускается ввод только неотрицательных чисел!" sqref="AE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textLength" operator="lessThanOrEqual" allowBlank="1" showInputMessage="1" showErrorMessage="1" errorTitle="Ошибка" error="Допускается ввод не более 900 символов!" sqref="K80">
      <formula1>900</formula1>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8">
      <formula1>"a"</formula1>
    </dataValidation>
    <dataValidation type="textLength" operator="lessThanOrEqual" allowBlank="1" showInputMessage="1" showErrorMessage="1" errorTitle="Ошибка" error="Допускается ввод не более 900 символов!" sqref="K248">
      <formula1>900</formula1>
    </dataValidation>
    <dataValidation type="textLength" operator="lessThanOrEqual" allowBlank="1" showInputMessage="1" showErrorMessage="1" errorTitle="Ошибка" error="Допускается ввод не более 900 символов!" sqref="M248">
      <formula1>900</formula1>
    </dataValidation>
    <dataValidation type="whole" allowBlank="1" showErrorMessage="1" errorTitle="Ошибка" error="Допускается ввод только неотрицательных целых чисел!" sqref="AF248">
      <formula1>0</formula1>
      <formula2>9.99999999999999E+23</formula2>
    </dataValidation>
    <dataValidation type="whole" allowBlank="1" showErrorMessage="1" errorTitle="Ошибка" error="Допускается ввод только неотрицательных целых чисел!" sqref="AI2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9">
      <formula1>"a"</formula1>
    </dataValidation>
    <dataValidation type="textLength" operator="lessThanOrEqual" allowBlank="1" showInputMessage="1" showErrorMessage="1" errorTitle="Ошибка" error="Допускается ввод не более 900 символов!" sqref="K249">
      <formula1>900</formula1>
    </dataValidation>
    <dataValidation type="whole" allowBlank="1" showErrorMessage="1" errorTitle="Ошибка" error="Допускается ввод только неотрицательных целых чисел!" sqref="AF249">
      <formula1>0</formula1>
      <formula2>9.99999999999999E+23</formula2>
    </dataValidation>
    <dataValidation type="whole" allowBlank="1" showErrorMessage="1" errorTitle="Ошибка" error="Допускается ввод только неотрицательных целых чисел!" sqref="AI2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0">
      <formula1>"a"</formula1>
    </dataValidation>
    <dataValidation type="textLength" operator="lessThanOrEqual" allowBlank="1" showInputMessage="1" showErrorMessage="1" errorTitle="Ошибка" error="Допускается ввод не более 900 символов!" sqref="K250">
      <formula1>900</formula1>
    </dataValidation>
    <dataValidation type="decimal" allowBlank="1" showErrorMessage="1" errorTitle="Ошибка" error="Допускается ввод только неотрицательных чисел!" sqref="AC250">
      <formula1>0</formula1>
      <formula2>9.99999999999999E+23</formula2>
    </dataValidation>
    <dataValidation type="decimal" allowBlank="1" showErrorMessage="1" errorTitle="Ошибка" error="Допускается ввод только неотрицательных чисел!" sqref="AE250">
      <formula1>0</formula1>
      <formula2>9.99999999999999E+23</formula2>
    </dataValidation>
    <dataValidation type="whole" allowBlank="1" showErrorMessage="1" errorTitle="Ошибка" error="Допускается ввод только неотрицательных целых чисел!" sqref="AF250">
      <formula1>0</formula1>
      <formula2>9.99999999999999E+23</formula2>
    </dataValidation>
    <dataValidation type="whole" allowBlank="1" showErrorMessage="1" errorTitle="Ошибка" error="Допускается ввод только неотрицательных целых чисел!" sqref="AI25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1">
      <formula1>"a"</formula1>
    </dataValidation>
    <dataValidation type="textLength" operator="lessThanOrEqual" allowBlank="1" showInputMessage="1" showErrorMessage="1" errorTitle="Ошибка" error="Допускается ввод не более 900 символов!" sqref="K251">
      <formula1>900</formula1>
    </dataValidation>
    <dataValidation type="whole" allowBlank="1" showErrorMessage="1" errorTitle="Ошибка" error="Допускается ввод только неотрицательных целых чисел!" sqref="AF251">
      <formula1>0</formula1>
      <formula2>9.99999999999999E+23</formula2>
    </dataValidation>
    <dataValidation type="whole" allowBlank="1" showErrorMessage="1" errorTitle="Ошибка" error="Допускается ввод только неотрицательных целых чисел!" sqref="AI251">
      <formula1>0</formula1>
      <formula2>9.99999999999999E+23</formula2>
    </dataValidation>
    <dataValidation type="whole" allowBlank="1" showErrorMessage="1" errorTitle="Ошибка" error="Допускается ввод только неотрицательных целых чисел!" sqref="AF252">
      <formula1>0</formula1>
      <formula2>9.99999999999999E+23</formula2>
    </dataValidation>
    <dataValidation type="whole" allowBlank="1" showErrorMessage="1" errorTitle="Ошибка" error="Допускается ввод только неотрицательных целых чисел!" sqref="AI2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textLength" operator="lessThanOrEqual" allowBlank="1" showInputMessage="1" showErrorMessage="1" errorTitle="Ошибка" error="Допускается ввод не более 900 символов!" sqref="K82">
      <formula1>900</formula1>
    </dataValidation>
    <dataValidation type="textLength" operator="lessThanOrEqual" allowBlank="1" showInputMessage="1" showErrorMessage="1" errorTitle="Ошибка" error="Допускается ввод не более 900 символов!" sqref="M82">
      <formula1>900</formula1>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textLength" operator="lessThanOrEqual" allowBlank="1" showInputMessage="1" showErrorMessage="1" errorTitle="Ошибка" error="Допускается ввод не более 900 символов!" sqref="K83">
      <formula1>900</formula1>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4">
      <formula1>"a"</formula1>
    </dataValidation>
    <dataValidation type="textLength" operator="lessThanOrEqual" allowBlank="1" showInputMessage="1" showErrorMessage="1" errorTitle="Ошибка" error="Допускается ввод не более 900 символов!" sqref="K84">
      <formula1>900</formula1>
    </dataValidation>
    <dataValidation type="decimal" allowBlank="1" showErrorMessage="1" errorTitle="Ошибка" error="Допускается ввод только неотрицательных чисел!" sqref="AC84">
      <formula1>0</formula1>
      <formula2>9.99999999999999E+23</formula2>
    </dataValidation>
    <dataValidation type="decimal" allowBlank="1" showErrorMessage="1" errorTitle="Ошибка" error="Допускается ввод только неотрицательных чисел!" sqref="AE84">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textLength" operator="lessThanOrEqual" allowBlank="1" showInputMessage="1" showErrorMessage="1" errorTitle="Ошибка" error="Допускается ввод не более 900 символов!" sqref="K85">
      <formula1>900</formula1>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textLength" operator="lessThanOrEqual" allowBlank="1" showInputMessage="1" showErrorMessage="1" errorTitle="Ошибка" error="Допускается ввод не более 900 символов!" sqref="K87">
      <formula1>900</formula1>
    </dataValidation>
    <dataValidation type="textLength" operator="lessThanOrEqual" allowBlank="1" showInputMessage="1" showErrorMessage="1" errorTitle="Ошибка" error="Допускается ввод не более 900 символов!" sqref="M87">
      <formula1>900</formula1>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textLength" operator="lessThanOrEqual" allowBlank="1" showInputMessage="1" showErrorMessage="1" errorTitle="Ошибка" error="Допускается ввод не более 900 символов!" sqref="K88">
      <formula1>900</formula1>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textLength" operator="lessThanOrEqual" allowBlank="1" showInputMessage="1" showErrorMessage="1" errorTitle="Ошибка" error="Допускается ввод не более 900 символов!" sqref="K89">
      <formula1>900</formula1>
    </dataValidation>
    <dataValidation type="decimal" allowBlank="1" showErrorMessage="1" errorTitle="Ошибка" error="Допускается ввод только неотрицательных чисел!" sqref="AC89">
      <formula1>0</formula1>
      <formula2>9.99999999999999E+23</formula2>
    </dataValidation>
    <dataValidation type="decimal" allowBlank="1" showErrorMessage="1" errorTitle="Ошибка" error="Допускается ввод только неотрицательных чисел!" sqref="AE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textLength" operator="lessThanOrEqual" allowBlank="1" showInputMessage="1" showErrorMessage="1" errorTitle="Ошибка" error="Допускается ввод не более 900 символов!" sqref="K90">
      <formula1>900</formula1>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3">
      <formula1>"a"</formula1>
    </dataValidation>
    <dataValidation type="textLength" operator="lessThanOrEqual" allowBlank="1" showInputMessage="1" showErrorMessage="1" errorTitle="Ошибка" error="Допускается ввод не более 900 символов!" sqref="K253">
      <formula1>900</formula1>
    </dataValidation>
    <dataValidation type="textLength" operator="lessThanOrEqual" allowBlank="1" showInputMessage="1" showErrorMessage="1" errorTitle="Ошибка" error="Допускается ввод не более 900 символов!" sqref="M253">
      <formula1>900</formula1>
    </dataValidation>
    <dataValidation type="whole" allowBlank="1" showErrorMessage="1" errorTitle="Ошибка" error="Допускается ввод только неотрицательных целых чисел!" sqref="AF253">
      <formula1>0</formula1>
      <formula2>9.99999999999999E+23</formula2>
    </dataValidation>
    <dataValidation type="whole" allowBlank="1" showErrorMessage="1" errorTitle="Ошибка" error="Допускается ввод только неотрицательных целых чисел!" sqref="AI2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4">
      <formula1>"a"</formula1>
    </dataValidation>
    <dataValidation type="textLength" operator="lessThanOrEqual" allowBlank="1" showInputMessage="1" showErrorMessage="1" errorTitle="Ошибка" error="Допускается ввод не более 900 символов!" sqref="K254">
      <formula1>900</formula1>
    </dataValidation>
    <dataValidation type="whole" allowBlank="1" showErrorMessage="1" errorTitle="Ошибка" error="Допускается ввод только неотрицательных целых чисел!" sqref="AF254">
      <formula1>0</formula1>
      <formula2>9.99999999999999E+23</formula2>
    </dataValidation>
    <dataValidation type="whole" allowBlank="1" showErrorMessage="1" errorTitle="Ошибка" error="Допускается ввод только неотрицательных целых чисел!" sqref="AI25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5">
      <formula1>"a"</formula1>
    </dataValidation>
    <dataValidation type="textLength" operator="lessThanOrEqual" allowBlank="1" showInputMessage="1" showErrorMessage="1" errorTitle="Ошибка" error="Допускается ввод не более 900 символов!" sqref="K255">
      <formula1>900</formula1>
    </dataValidation>
    <dataValidation type="decimal" allowBlank="1" showErrorMessage="1" errorTitle="Ошибка" error="Допускается ввод только неотрицательных чисел!" sqref="AC255">
      <formula1>0</formula1>
      <formula2>9.99999999999999E+23</formula2>
    </dataValidation>
    <dataValidation type="decimal" allowBlank="1" showErrorMessage="1" errorTitle="Ошибка" error="Допускается ввод только неотрицательных чисел!" sqref="AE255">
      <formula1>0</formula1>
      <formula2>9.99999999999999E+23</formula2>
    </dataValidation>
    <dataValidation type="whole" allowBlank="1" showErrorMessage="1" errorTitle="Ошибка" error="Допускается ввод только неотрицательных целых чисел!" sqref="AF255">
      <formula1>0</formula1>
      <formula2>9.99999999999999E+23</formula2>
    </dataValidation>
    <dataValidation type="whole" allowBlank="1" showErrorMessage="1" errorTitle="Ошибка" error="Допускается ввод только неотрицательных целых чисел!" sqref="AI2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6">
      <formula1>"a"</formula1>
    </dataValidation>
    <dataValidation type="textLength" operator="lessThanOrEqual" allowBlank="1" showInputMessage="1" showErrorMessage="1" errorTitle="Ошибка" error="Допускается ввод не более 900 символов!" sqref="K256">
      <formula1>900</formula1>
    </dataValidation>
    <dataValidation type="whole" allowBlank="1" showErrorMessage="1" errorTitle="Ошибка" error="Допускается ввод только неотрицательных целых чисел!" sqref="AF256">
      <formula1>0</formula1>
      <formula2>9.99999999999999E+23</formula2>
    </dataValidation>
    <dataValidation type="whole" allowBlank="1" showErrorMessage="1" errorTitle="Ошибка" error="Допускается ввод только неотрицательных целых чисел!" sqref="AI256">
      <formula1>0</formula1>
      <formula2>9.99999999999999E+23</formula2>
    </dataValidation>
    <dataValidation type="whole" allowBlank="1" showErrorMessage="1" errorTitle="Ошибка" error="Допускается ввод только неотрицательных целых чисел!" sqref="AF257">
      <formula1>0</formula1>
      <formula2>9.99999999999999E+23</formula2>
    </dataValidation>
    <dataValidation type="whole" allowBlank="1" showErrorMessage="1" errorTitle="Ошибка" error="Допускается ввод только неотрицательных целых чисел!" sqref="AI2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textLength" operator="lessThanOrEqual" allowBlank="1" showInputMessage="1" showErrorMessage="1" errorTitle="Ошибка" error="Допускается ввод не более 900 символов!" sqref="M92">
      <formula1>900</formula1>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textLength" operator="lessThanOrEqual" allowBlank="1" showInputMessage="1" showErrorMessage="1" errorTitle="Ошибка" error="Допускается ввод не более 900 символов!" sqref="K93">
      <formula1>900</formula1>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textLength" operator="lessThanOrEqual" allowBlank="1" showInputMessage="1" showErrorMessage="1" errorTitle="Ошибка" error="Допускается ввод не более 900 символов!" sqref="K94">
      <formula1>900</formula1>
    </dataValidation>
    <dataValidation type="decimal" allowBlank="1" showErrorMessage="1" errorTitle="Ошибка" error="Допускается ввод только неотрицательных чисел!" sqref="AC94">
      <formula1>0</formula1>
      <formula2>9.99999999999999E+23</formula2>
    </dataValidation>
    <dataValidation type="decimal" allowBlank="1" showErrorMessage="1" errorTitle="Ошибка" error="Допускается ввод только неотрицательных чисел!" sqref="AE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textLength" operator="lessThanOrEqual" allowBlank="1" showInputMessage="1" showErrorMessage="1" errorTitle="Ошибка" error="Допускается ввод не более 900 символов!" sqref="K95">
      <formula1>900</formula1>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0">
      <formula1>"a"</formula1>
    </dataValidation>
    <dataValidation type="textLength" operator="lessThanOrEqual" allowBlank="1" showInputMessage="1" showErrorMessage="1" errorTitle="Ошибка" error="Допускается ввод не более 900 символов!" sqref="K400">
      <formula1>900</formula1>
    </dataValidation>
    <dataValidation type="textLength" operator="lessThanOrEqual" allowBlank="1" showInputMessage="1" showErrorMessage="1" errorTitle="Ошибка" error="Допускается ввод не более 900 символов!" sqref="M400">
      <formula1>900</formula1>
    </dataValidation>
    <dataValidation type="whole" allowBlank="1" showErrorMessage="1" errorTitle="Ошибка" error="Допускается ввод только неотрицательных целых чисел!" sqref="AF400">
      <formula1>0</formula1>
      <formula2>9.99999999999999E+23</formula2>
    </dataValidation>
    <dataValidation type="whole" allowBlank="1" showErrorMessage="1" errorTitle="Ошибка" error="Допускается ввод только неотрицательных целых чисел!" sqref="AI40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1">
      <formula1>"a"</formula1>
    </dataValidation>
    <dataValidation type="textLength" operator="lessThanOrEqual" allowBlank="1" showInputMessage="1" showErrorMessage="1" errorTitle="Ошибка" error="Допускается ввод не более 900 символов!" sqref="K401">
      <formula1>900</formula1>
    </dataValidation>
    <dataValidation type="whole" allowBlank="1" showErrorMessage="1" errorTitle="Ошибка" error="Допускается ввод только неотрицательных целых чисел!" sqref="AF401">
      <formula1>0</formula1>
      <formula2>9.99999999999999E+23</formula2>
    </dataValidation>
    <dataValidation type="whole" allowBlank="1" showErrorMessage="1" errorTitle="Ошибка" error="Допускается ввод только неотрицательных целых чисел!" sqref="AI40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2">
      <formula1>"a"</formula1>
    </dataValidation>
    <dataValidation type="textLength" operator="lessThanOrEqual" allowBlank="1" showInputMessage="1" showErrorMessage="1" errorTitle="Ошибка" error="Допускается ввод не более 900 символов!" sqref="K402">
      <formula1>900</formula1>
    </dataValidation>
    <dataValidation type="decimal" allowBlank="1" showErrorMessage="1" errorTitle="Ошибка" error="Допускается ввод только неотрицательных чисел!" sqref="AC402">
      <formula1>0</formula1>
      <formula2>9.99999999999999E+23</formula2>
    </dataValidation>
    <dataValidation type="decimal" allowBlank="1" showErrorMessage="1" errorTitle="Ошибка" error="Допускается ввод только неотрицательных чисел!" sqref="AE402">
      <formula1>0</formula1>
      <formula2>9.99999999999999E+23</formula2>
    </dataValidation>
    <dataValidation type="whole" allowBlank="1" showErrorMessage="1" errorTitle="Ошибка" error="Допускается ввод только неотрицательных целых чисел!" sqref="AF402">
      <formula1>0</formula1>
      <formula2>9.99999999999999E+23</formula2>
    </dataValidation>
    <dataValidation type="whole" allowBlank="1" showErrorMessage="1" errorTitle="Ошибка" error="Допускается ввод только неотрицательных целых чисел!" sqref="AI4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3">
      <formula1>"a"</formula1>
    </dataValidation>
    <dataValidation type="textLength" operator="lessThanOrEqual" allowBlank="1" showInputMessage="1" showErrorMessage="1" errorTitle="Ошибка" error="Допускается ввод не более 900 символов!" sqref="K403">
      <formula1>900</formula1>
    </dataValidation>
    <dataValidation type="whole" allowBlank="1" showErrorMessage="1" errorTitle="Ошибка" error="Допускается ввод только неотрицательных целых чисел!" sqref="AF403">
      <formula1>0</formula1>
      <formula2>9.99999999999999E+23</formula2>
    </dataValidation>
    <dataValidation type="whole" allowBlank="1" showErrorMessage="1" errorTitle="Ошибка" error="Допускается ввод только неотрицательных целых чисел!" sqref="AI403">
      <formula1>0</formula1>
      <formula2>9.99999999999999E+23</formula2>
    </dataValidation>
    <dataValidation type="whole" allowBlank="1" showErrorMessage="1" errorTitle="Ошибка" error="Допускается ввод только неотрицательных целых чисел!" sqref="AF404">
      <formula1>0</formula1>
      <formula2>9.99999999999999E+23</formula2>
    </dataValidation>
    <dataValidation type="whole" allowBlank="1" showErrorMessage="1" errorTitle="Ошибка" error="Допускается ввод только неотрицательных целых чисел!" sqref="AI40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8">
      <formula1>"a"</formula1>
    </dataValidation>
    <dataValidation type="textLength" operator="lessThanOrEqual" allowBlank="1" showInputMessage="1" showErrorMessage="1" errorTitle="Ошибка" error="Допускается ввод не более 900 символов!" sqref="K258">
      <formula1>900</formula1>
    </dataValidation>
    <dataValidation type="textLength" operator="lessThanOrEqual" allowBlank="1" showInputMessage="1" showErrorMessage="1" errorTitle="Ошибка" error="Допускается ввод не более 900 символов!" sqref="M258">
      <formula1>900</formula1>
    </dataValidation>
    <dataValidation type="whole" allowBlank="1" showErrorMessage="1" errorTitle="Ошибка" error="Допускается ввод только неотрицательных целых чисел!" sqref="AF258">
      <formula1>0</formula1>
      <formula2>9.99999999999999E+23</formula2>
    </dataValidation>
    <dataValidation type="whole" allowBlank="1" showErrorMessage="1" errorTitle="Ошибка" error="Допускается ввод только неотрицательных целых чисел!" sqref="AI2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9">
      <formula1>"a"</formula1>
    </dataValidation>
    <dataValidation type="textLength" operator="lessThanOrEqual" allowBlank="1" showInputMessage="1" showErrorMessage="1" errorTitle="Ошибка" error="Допускается ввод не более 900 символов!" sqref="K259">
      <formula1>900</formula1>
    </dataValidation>
    <dataValidation type="whole" allowBlank="1" showErrorMessage="1" errorTitle="Ошибка" error="Допускается ввод только неотрицательных целых чисел!" sqref="AF259">
      <formula1>0</formula1>
      <formula2>9.99999999999999E+23</formula2>
    </dataValidation>
    <dataValidation type="whole" allowBlank="1" showErrorMessage="1" errorTitle="Ошибка" error="Допускается ввод только неотрицательных целых чисел!" sqref="AI25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0">
      <formula1>"a"</formula1>
    </dataValidation>
    <dataValidation type="textLength" operator="lessThanOrEqual" allowBlank="1" showInputMessage="1" showErrorMessage="1" errorTitle="Ошибка" error="Допускается ввод не более 900 символов!" sqref="K260">
      <formula1>900</formula1>
    </dataValidation>
    <dataValidation type="decimal" allowBlank="1" showErrorMessage="1" errorTitle="Ошибка" error="Допускается ввод только неотрицательных чисел!" sqref="AC260">
      <formula1>0</formula1>
      <formula2>9.99999999999999E+23</formula2>
    </dataValidation>
    <dataValidation type="decimal" allowBlank="1" showErrorMessage="1" errorTitle="Ошибка" error="Допускается ввод только неотрицательных чисел!" sqref="AE260">
      <formula1>0</formula1>
      <formula2>9.99999999999999E+23</formula2>
    </dataValidation>
    <dataValidation type="whole" allowBlank="1" showErrorMessage="1" errorTitle="Ошибка" error="Допускается ввод только неотрицательных целых чисел!" sqref="AF260">
      <formula1>0</formula1>
      <formula2>9.99999999999999E+23</formula2>
    </dataValidation>
    <dataValidation type="whole" allowBlank="1" showErrorMessage="1" errorTitle="Ошибка" error="Допускается ввод только неотрицательных целых чисел!" sqref="AI26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1">
      <formula1>"a"</formula1>
    </dataValidation>
    <dataValidation type="textLength" operator="lessThanOrEqual" allowBlank="1" showInputMessage="1" showErrorMessage="1" errorTitle="Ошибка" error="Допускается ввод не более 900 символов!" sqref="K261">
      <formula1>900</formula1>
    </dataValidation>
    <dataValidation type="whole" allowBlank="1" showErrorMessage="1" errorTitle="Ошибка" error="Допускается ввод только неотрицательных целых чисел!" sqref="AF261">
      <formula1>0</formula1>
      <formula2>9.99999999999999E+23</formula2>
    </dataValidation>
    <dataValidation type="whole" allowBlank="1" showErrorMessage="1" errorTitle="Ошибка" error="Допускается ввод только неотрицательных целых чисел!" sqref="AI261">
      <formula1>0</formula1>
      <formula2>9.99999999999999E+23</formula2>
    </dataValidation>
    <dataValidation type="whole" allowBlank="1" showErrorMessage="1" errorTitle="Ошибка" error="Допускается ввод только неотрицательных целых чисел!" sqref="AF262">
      <formula1>0</formula1>
      <formula2>9.99999999999999E+23</formula2>
    </dataValidation>
    <dataValidation type="whole" allowBlank="1" showErrorMessage="1" errorTitle="Ошибка" error="Допускается ввод только неотрицательных целых чисел!" sqref="AI26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3">
      <formula1>"a"</formula1>
    </dataValidation>
    <dataValidation type="textLength" operator="lessThanOrEqual" allowBlank="1" showInputMessage="1" showErrorMessage="1" errorTitle="Ошибка" error="Допускается ввод не более 900 символов!" sqref="K263">
      <formula1>900</formula1>
    </dataValidation>
    <dataValidation type="textLength" operator="lessThanOrEqual" allowBlank="1" showInputMessage="1" showErrorMessage="1" errorTitle="Ошибка" error="Допускается ввод не более 900 символов!" sqref="M263">
      <formula1>900</formula1>
    </dataValidation>
    <dataValidation type="whole" allowBlank="1" showErrorMessage="1" errorTitle="Ошибка" error="Допускается ввод только неотрицательных целых чисел!" sqref="AF263">
      <formula1>0</formula1>
      <formula2>9.99999999999999E+23</formula2>
    </dataValidation>
    <dataValidation type="whole" allowBlank="1" showErrorMessage="1" errorTitle="Ошибка" error="Допускается ввод только неотрицательных целых чисел!" sqref="AI2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4">
      <formula1>"a"</formula1>
    </dataValidation>
    <dataValidation type="textLength" operator="lessThanOrEqual" allowBlank="1" showInputMessage="1" showErrorMessage="1" errorTitle="Ошибка" error="Допускается ввод не более 900 символов!" sqref="K264">
      <formula1>900</formula1>
    </dataValidation>
    <dataValidation type="whole" allowBlank="1" showErrorMessage="1" errorTitle="Ошибка" error="Допускается ввод только неотрицательных целых чисел!" sqref="AF264">
      <formula1>0</formula1>
      <formula2>9.99999999999999E+23</formula2>
    </dataValidation>
    <dataValidation type="whole" allowBlank="1" showErrorMessage="1" errorTitle="Ошибка" error="Допускается ввод только неотрицательных целых чисел!" sqref="AI2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5">
      <formula1>"a"</formula1>
    </dataValidation>
    <dataValidation type="textLength" operator="lessThanOrEqual" allowBlank="1" showInputMessage="1" showErrorMessage="1" errorTitle="Ошибка" error="Допускается ввод не более 900 символов!" sqref="K265">
      <formula1>900</formula1>
    </dataValidation>
    <dataValidation type="decimal" allowBlank="1" showErrorMessage="1" errorTitle="Ошибка" error="Допускается ввод только неотрицательных чисел!" sqref="AC265">
      <formula1>0</formula1>
      <formula2>9.99999999999999E+23</formula2>
    </dataValidation>
    <dataValidation type="decimal" allowBlank="1" showErrorMessage="1" errorTitle="Ошибка" error="Допускается ввод только неотрицательных чисел!" sqref="AE265">
      <formula1>0</formula1>
      <formula2>9.99999999999999E+23</formula2>
    </dataValidation>
    <dataValidation type="whole" allowBlank="1" showErrorMessage="1" errorTitle="Ошибка" error="Допускается ввод только неотрицательных целых чисел!" sqref="AF265">
      <formula1>0</formula1>
      <formula2>9.99999999999999E+23</formula2>
    </dataValidation>
    <dataValidation type="whole" allowBlank="1" showErrorMessage="1" errorTitle="Ошибка" error="Допускается ввод только неотрицательных целых чисел!" sqref="AI2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6">
      <formula1>"a"</formula1>
    </dataValidation>
    <dataValidation type="textLength" operator="lessThanOrEqual" allowBlank="1" showInputMessage="1" showErrorMessage="1" errorTitle="Ошибка" error="Допускается ввод не более 900 символов!" sqref="K266">
      <formula1>900</formula1>
    </dataValidation>
    <dataValidation type="whole" allowBlank="1" showErrorMessage="1" errorTitle="Ошибка" error="Допускается ввод только неотрицательных целых чисел!" sqref="AF266">
      <formula1>0</formula1>
      <formula2>9.99999999999999E+23</formula2>
    </dataValidation>
    <dataValidation type="whole" allowBlank="1" showErrorMessage="1" errorTitle="Ошибка" error="Допускается ввод только неотрицательных целых чисел!" sqref="AI266">
      <formula1>0</formula1>
      <formula2>9.99999999999999E+23</formula2>
    </dataValidation>
    <dataValidation type="whole" allowBlank="1" showErrorMessage="1" errorTitle="Ошибка" error="Допускается ввод только неотрицательных целых чисел!" sqref="AF267">
      <formula1>0</formula1>
      <formula2>9.99999999999999E+23</formula2>
    </dataValidation>
    <dataValidation type="whole" allowBlank="1" showErrorMessage="1" errorTitle="Ошибка" error="Допускается ввод только неотрицательных целых чисел!" sqref="AI2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textLength" operator="lessThanOrEqual" allowBlank="1" showInputMessage="1" showErrorMessage="1" errorTitle="Ошибка" error="Допускается ввод не более 900 символов!" sqref="M97">
      <formula1>900</formula1>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decimal" allowBlank="1" showErrorMessage="1" errorTitle="Ошибка" error="Допускается ввод только неотрицательных чисел!" sqref="AC99">
      <formula1>0</formula1>
      <formula2>9.99999999999999E+23</formula2>
    </dataValidation>
    <dataValidation type="decimal" allowBlank="1" showErrorMessage="1" errorTitle="Ошибка" error="Допускается ввод только неотрицательных чисел!" sqref="AE99">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textLength" operator="lessThanOrEqual" allowBlank="1" showInputMessage="1" showErrorMessage="1" errorTitle="Ошибка" error="Допускается ввод не более 900 символов!" sqref="K100">
      <formula1>900</formula1>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textLength" operator="lessThanOrEqual" allowBlank="1" showInputMessage="1" showErrorMessage="1" errorTitle="Ошибка" error="Допускается ввод не более 900 символов!" sqref="M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textLength" operator="lessThanOrEqual" allowBlank="1" showInputMessage="1" showErrorMessage="1" errorTitle="Ошибка" error="Допускается ввод не более 900 символов!" sqref="K37">
      <formula1>900</formula1>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decimal" allowBlank="1" showErrorMessage="1" errorTitle="Ошибка" error="Допускается ввод только неотрицательных чисел!" sqref="AC38">
      <formula1>0</formula1>
      <formula2>9.99999999999999E+23</formula2>
    </dataValidation>
    <dataValidation type="decimal" allowBlank="1" showErrorMessage="1" errorTitle="Ошибка" error="Допускается ввод только неотрицательных чисел!" sqref="AE38">
      <formula1>0</formula1>
      <formula2>9.99999999999999E+23</formula2>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8">
      <formula1>"a"</formula1>
    </dataValidation>
    <dataValidation type="textLength" operator="lessThanOrEqual" allowBlank="1" showInputMessage="1" showErrorMessage="1" errorTitle="Ошибка" error="Допускается ввод не более 900 символов!" sqref="K268">
      <formula1>900</formula1>
    </dataValidation>
    <dataValidation type="textLength" operator="lessThanOrEqual" allowBlank="1" showInputMessage="1" showErrorMessage="1" errorTitle="Ошибка" error="Допускается ввод не более 900 символов!" sqref="M268">
      <formula1>900</formula1>
    </dataValidation>
    <dataValidation type="whole" allowBlank="1" showErrorMessage="1" errorTitle="Ошибка" error="Допускается ввод только неотрицательных целых чисел!" sqref="AF268">
      <formula1>0</formula1>
      <formula2>9.99999999999999E+23</formula2>
    </dataValidation>
    <dataValidation type="whole" allowBlank="1" showErrorMessage="1" errorTitle="Ошибка" error="Допускается ввод только неотрицательных целых чисел!" sqref="AI26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9">
      <formula1>"a"</formula1>
    </dataValidation>
    <dataValidation type="textLength" operator="lessThanOrEqual" allowBlank="1" showInputMessage="1" showErrorMessage="1" errorTitle="Ошибка" error="Допускается ввод не более 900 символов!" sqref="K269">
      <formula1>900</formula1>
    </dataValidation>
    <dataValidation type="whole" allowBlank="1" showErrorMessage="1" errorTitle="Ошибка" error="Допускается ввод только неотрицательных целых чисел!" sqref="AF269">
      <formula1>0</formula1>
      <formula2>9.99999999999999E+23</formula2>
    </dataValidation>
    <dataValidation type="whole" allowBlank="1" showErrorMessage="1" errorTitle="Ошибка" error="Допускается ввод только неотрицательных целых чисел!" sqref="AI2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0">
      <formula1>"a"</formula1>
    </dataValidation>
    <dataValidation type="textLength" operator="lessThanOrEqual" allowBlank="1" showInputMessage="1" showErrorMessage="1" errorTitle="Ошибка" error="Допускается ввод не более 900 символов!" sqref="K270">
      <formula1>900</formula1>
    </dataValidation>
    <dataValidation type="decimal" allowBlank="1" showErrorMessage="1" errorTitle="Ошибка" error="Допускается ввод только неотрицательных чисел!" sqref="AC270">
      <formula1>0</formula1>
      <formula2>9.99999999999999E+23</formula2>
    </dataValidation>
    <dataValidation type="decimal" allowBlank="1" showErrorMessage="1" errorTitle="Ошибка" error="Допускается ввод только неотрицательных чисел!" sqref="AE270">
      <formula1>0</formula1>
      <formula2>9.99999999999999E+23</formula2>
    </dataValidation>
    <dataValidation type="whole" allowBlank="1" showErrorMessage="1" errorTitle="Ошибка" error="Допускается ввод только неотрицательных целых чисел!" sqref="AF270">
      <formula1>0</formula1>
      <formula2>9.99999999999999E+23</formula2>
    </dataValidation>
    <dataValidation type="whole" allowBlank="1" showErrorMessage="1" errorTitle="Ошибка" error="Допускается ввод только неотрицательных целых чисел!" sqref="AI2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1">
      <formula1>"a"</formula1>
    </dataValidation>
    <dataValidation type="textLength" operator="lessThanOrEqual" allowBlank="1" showInputMessage="1" showErrorMessage="1" errorTitle="Ошибка" error="Допускается ввод не более 900 символов!" sqref="K271">
      <formula1>900</formula1>
    </dataValidation>
    <dataValidation type="whole" allowBlank="1" showErrorMessage="1" errorTitle="Ошибка" error="Допускается ввод только неотрицательных целых чисел!" sqref="AF271">
      <formula1>0</formula1>
      <formula2>9.99999999999999E+23</formula2>
    </dataValidation>
    <dataValidation type="whole" allowBlank="1" showErrorMessage="1" errorTitle="Ошибка" error="Допускается ввод только неотрицательных целых чисел!" sqref="AI271">
      <formula1>0</formula1>
      <formula2>9.99999999999999E+23</formula2>
    </dataValidation>
    <dataValidation type="whole" allowBlank="1" showErrorMessage="1" errorTitle="Ошибка" error="Допускается ввод только неотрицательных целых чисел!" sqref="AF272">
      <formula1>0</formula1>
      <formula2>9.99999999999999E+23</formula2>
    </dataValidation>
    <dataValidation type="whole" allowBlank="1" showErrorMessage="1" errorTitle="Ошибка" error="Допускается ввод только неотрицательных целых чисел!" sqref="AI2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3">
      <formula1>"a"</formula1>
    </dataValidation>
    <dataValidation type="textLength" operator="lessThanOrEqual" allowBlank="1" showInputMessage="1" showErrorMessage="1" errorTitle="Ошибка" error="Допускается ввод не более 900 символов!" sqref="K273">
      <formula1>900</formula1>
    </dataValidation>
    <dataValidation type="textLength" operator="lessThanOrEqual" allowBlank="1" showInputMessage="1" showErrorMessage="1" errorTitle="Ошибка" error="Допускается ввод не более 900 символов!" sqref="M273">
      <formula1>900</formula1>
    </dataValidation>
    <dataValidation type="whole" allowBlank="1" showErrorMessage="1" errorTitle="Ошибка" error="Допускается ввод только неотрицательных целых чисел!" sqref="AF273">
      <formula1>0</formula1>
      <formula2>9.99999999999999E+23</formula2>
    </dataValidation>
    <dataValidation type="whole" allowBlank="1" showErrorMessage="1" errorTitle="Ошибка" error="Допускается ввод только неотрицательных целых чисел!" sqref="AI2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4">
      <formula1>"a"</formula1>
    </dataValidation>
    <dataValidation type="textLength" operator="lessThanOrEqual" allowBlank="1" showInputMessage="1" showErrorMessage="1" errorTitle="Ошибка" error="Допускается ввод не более 900 символов!" sqref="K274">
      <formula1>900</formula1>
    </dataValidation>
    <dataValidation type="whole" allowBlank="1" showErrorMessage="1" errorTitle="Ошибка" error="Допускается ввод только неотрицательных целых чисел!" sqref="AF274">
      <formula1>0</formula1>
      <formula2>9.99999999999999E+23</formula2>
    </dataValidation>
    <dataValidation type="whole" allowBlank="1" showErrorMessage="1" errorTitle="Ошибка" error="Допускается ввод только неотрицательных целых чисел!" sqref="AI2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5">
      <formula1>"a"</formula1>
    </dataValidation>
    <dataValidation type="textLength" operator="lessThanOrEqual" allowBlank="1" showInputMessage="1" showErrorMessage="1" errorTitle="Ошибка" error="Допускается ввод не более 900 символов!" sqref="K275">
      <formula1>900</formula1>
    </dataValidation>
    <dataValidation type="decimal" allowBlank="1" showErrorMessage="1" errorTitle="Ошибка" error="Допускается ввод только неотрицательных чисел!" sqref="AC275">
      <formula1>0</formula1>
      <formula2>9.99999999999999E+23</formula2>
    </dataValidation>
    <dataValidation type="decimal" allowBlank="1" showErrorMessage="1" errorTitle="Ошибка" error="Допускается ввод только неотрицательных чисел!" sqref="AE275">
      <formula1>0</formula1>
      <formula2>9.99999999999999E+23</formula2>
    </dataValidation>
    <dataValidation type="whole" allowBlank="1" showErrorMessage="1" errorTitle="Ошибка" error="Допускается ввод только неотрицательных целых чисел!" sqref="AF275">
      <formula1>0</formula1>
      <formula2>9.99999999999999E+23</formula2>
    </dataValidation>
    <dataValidation type="whole" allowBlank="1" showErrorMessage="1" errorTitle="Ошибка" error="Допускается ввод только неотрицательных целых чисел!" sqref="AI2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6">
      <formula1>"a"</formula1>
    </dataValidation>
    <dataValidation type="textLength" operator="lessThanOrEqual" allowBlank="1" showInputMessage="1" showErrorMessage="1" errorTitle="Ошибка" error="Допускается ввод не более 900 символов!" sqref="K276">
      <formula1>900</formula1>
    </dataValidation>
    <dataValidation type="whole" allowBlank="1" showErrorMessage="1" errorTitle="Ошибка" error="Допускается ввод только неотрицательных целых чисел!" sqref="AF276">
      <formula1>0</formula1>
      <formula2>9.99999999999999E+23</formula2>
    </dataValidation>
    <dataValidation type="whole" allowBlank="1" showErrorMessage="1" errorTitle="Ошибка" error="Допускается ввод только неотрицательных целых чисел!" sqref="AI276">
      <formula1>0</formula1>
      <formula2>9.99999999999999E+23</formula2>
    </dataValidation>
    <dataValidation type="whole" allowBlank="1" showErrorMessage="1" errorTitle="Ошибка" error="Допускается ввод только неотрицательных целых чисел!" sqref="AF277">
      <formula1>0</formula1>
      <formula2>9.99999999999999E+23</formula2>
    </dataValidation>
    <dataValidation type="whole" allowBlank="1" showErrorMessage="1" errorTitle="Ошибка" error="Допускается ввод только неотрицательных целых чисел!" sqref="AI2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8">
      <formula1>"a"</formula1>
    </dataValidation>
    <dataValidation type="textLength" operator="lessThanOrEqual" allowBlank="1" showInputMessage="1" showErrorMessage="1" errorTitle="Ошибка" error="Допускается ввод не более 900 символов!" sqref="K278">
      <formula1>900</formula1>
    </dataValidation>
    <dataValidation type="textLength" operator="lessThanOrEqual" allowBlank="1" showInputMessage="1" showErrorMessage="1" errorTitle="Ошибка" error="Допускается ввод не более 900 символов!" sqref="M278">
      <formula1>900</formula1>
    </dataValidation>
    <dataValidation type="whole" allowBlank="1" showErrorMessage="1" errorTitle="Ошибка" error="Допускается ввод только неотрицательных целых чисел!" sqref="AF278">
      <formula1>0</formula1>
      <formula2>9.99999999999999E+23</formula2>
    </dataValidation>
    <dataValidation type="whole" allowBlank="1" showErrorMessage="1" errorTitle="Ошибка" error="Допускается ввод только неотрицательных целых чисел!" sqref="AI2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9">
      <formula1>"a"</formula1>
    </dataValidation>
    <dataValidation type="textLength" operator="lessThanOrEqual" allowBlank="1" showInputMessage="1" showErrorMessage="1" errorTitle="Ошибка" error="Допускается ввод не более 900 символов!" sqref="K279">
      <formula1>900</formula1>
    </dataValidation>
    <dataValidation type="whole" allowBlank="1" showErrorMessage="1" errorTitle="Ошибка" error="Допускается ввод только неотрицательных целых чисел!" sqref="AF279">
      <formula1>0</formula1>
      <formula2>9.99999999999999E+23</formula2>
    </dataValidation>
    <dataValidation type="whole" allowBlank="1" showErrorMessage="1" errorTitle="Ошибка" error="Допускается ввод только неотрицательных целых чисел!" sqref="AI2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0">
      <formula1>"a"</formula1>
    </dataValidation>
    <dataValidation type="textLength" operator="lessThanOrEqual" allowBlank="1" showInputMessage="1" showErrorMessage="1" errorTitle="Ошибка" error="Допускается ввод не более 900 символов!" sqref="K280">
      <formula1>900</formula1>
    </dataValidation>
    <dataValidation type="decimal" allowBlank="1" showErrorMessage="1" errorTitle="Ошибка" error="Допускается ввод только неотрицательных чисел!" sqref="AC280">
      <formula1>0</formula1>
      <formula2>9.99999999999999E+23</formula2>
    </dataValidation>
    <dataValidation type="decimal" allowBlank="1" showErrorMessage="1" errorTitle="Ошибка" error="Допускается ввод только неотрицательных чисел!" sqref="AE280">
      <formula1>0</formula1>
      <formula2>9.99999999999999E+23</formula2>
    </dataValidation>
    <dataValidation type="whole" allowBlank="1" showErrorMessage="1" errorTitle="Ошибка" error="Допускается ввод только неотрицательных целых чисел!" sqref="AF280">
      <formula1>0</formula1>
      <formula2>9.99999999999999E+23</formula2>
    </dataValidation>
    <dataValidation type="whole" allowBlank="1" showErrorMessage="1" errorTitle="Ошибка" error="Допускается ввод только неотрицательных целых чисел!" sqref="AI28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1">
      <formula1>"a"</formula1>
    </dataValidation>
    <dataValidation type="textLength" operator="lessThanOrEqual" allowBlank="1" showInputMessage="1" showErrorMessage="1" errorTitle="Ошибка" error="Допускается ввод не более 900 символов!" sqref="K281">
      <formula1>900</formula1>
    </dataValidation>
    <dataValidation type="whole" allowBlank="1" showErrorMessage="1" errorTitle="Ошибка" error="Допускается ввод только неотрицательных целых чисел!" sqref="AF281">
      <formula1>0</formula1>
      <formula2>9.99999999999999E+23</formula2>
    </dataValidation>
    <dataValidation type="whole" allowBlank="1" showErrorMessage="1" errorTitle="Ошибка" error="Допускается ввод только неотрицательных целых чисел!" sqref="AI281">
      <formula1>0</formula1>
      <formula2>9.99999999999999E+23</formula2>
    </dataValidation>
    <dataValidation type="whole" allowBlank="1" showErrorMessage="1" errorTitle="Ошибка" error="Допускается ввод только неотрицательных целых чисел!" sqref="AF282">
      <formula1>0</formula1>
      <formula2>9.99999999999999E+23</formula2>
    </dataValidation>
    <dataValidation type="whole" allowBlank="1" showErrorMessage="1" errorTitle="Ошибка" error="Допускается ввод только неотрицательных целых чисел!" sqref="AI28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3">
      <formula1>"a"</formula1>
    </dataValidation>
    <dataValidation type="textLength" operator="lessThanOrEqual" allowBlank="1" showInputMessage="1" showErrorMessage="1" errorTitle="Ошибка" error="Допускается ввод не более 900 символов!" sqref="K523">
      <formula1>900</formula1>
    </dataValidation>
    <dataValidation type="textLength" operator="lessThanOrEqual" allowBlank="1" showInputMessage="1" showErrorMessage="1" errorTitle="Ошибка" error="Допускается ввод не более 900 символов!" sqref="M523">
      <formula1>900</formula1>
    </dataValidation>
    <dataValidation type="whole" allowBlank="1" showErrorMessage="1" errorTitle="Ошибка" error="Допускается ввод только неотрицательных целых чисел!" sqref="AF523">
      <formula1>0</formula1>
      <formula2>9.99999999999999E+23</formula2>
    </dataValidation>
    <dataValidation type="whole" allowBlank="1" showErrorMessage="1" errorTitle="Ошибка" error="Допускается ввод только неотрицательных целых чисел!" sqref="AI5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4">
      <formula1>"a"</formula1>
    </dataValidation>
    <dataValidation type="textLength" operator="lessThanOrEqual" allowBlank="1" showInputMessage="1" showErrorMessage="1" errorTitle="Ошибка" error="Допускается ввод не более 900 символов!" sqref="K524">
      <formula1>900</formula1>
    </dataValidation>
    <dataValidation type="whole" allowBlank="1" showErrorMessage="1" errorTitle="Ошибка" error="Допускается ввод только неотрицательных целых чисел!" sqref="AF524">
      <formula1>0</formula1>
      <formula2>9.99999999999999E+23</formula2>
    </dataValidation>
    <dataValidation type="whole" allowBlank="1" showErrorMessage="1" errorTitle="Ошибка" error="Допускается ввод только неотрицательных целых чисел!" sqref="AI52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5">
      <formula1>"a"</formula1>
    </dataValidation>
    <dataValidation type="textLength" operator="lessThanOrEqual" allowBlank="1" showInputMessage="1" showErrorMessage="1" errorTitle="Ошибка" error="Допускается ввод не более 900 символов!" sqref="K525">
      <formula1>900</formula1>
    </dataValidation>
    <dataValidation type="decimal" allowBlank="1" showErrorMessage="1" errorTitle="Ошибка" error="Допускается ввод только неотрицательных чисел!" sqref="AC525">
      <formula1>0</formula1>
      <formula2>9.99999999999999E+23</formula2>
    </dataValidation>
    <dataValidation type="decimal" allowBlank="1" showErrorMessage="1" errorTitle="Ошибка" error="Допускается ввод только неотрицательных чисел!" sqref="AE525">
      <formula1>0</formula1>
      <formula2>9.99999999999999E+23</formula2>
    </dataValidation>
    <dataValidation type="whole" allowBlank="1" showErrorMessage="1" errorTitle="Ошибка" error="Допускается ввод только неотрицательных целых чисел!" sqref="AF525">
      <formula1>0</formula1>
      <formula2>9.99999999999999E+23</formula2>
    </dataValidation>
    <dataValidation type="whole" allowBlank="1" showErrorMessage="1" errorTitle="Ошибка" error="Допускается ввод только неотрицательных целых чисел!" sqref="AI5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7">
      <formula1>"a"</formula1>
    </dataValidation>
    <dataValidation type="textLength" operator="lessThanOrEqual" allowBlank="1" showInputMessage="1" showErrorMessage="1" errorTitle="Ошибка" error="Допускается ввод не более 900 символов!" sqref="K527">
      <formula1>900</formula1>
    </dataValidation>
    <dataValidation type="whole" allowBlank="1" showErrorMessage="1" errorTitle="Ошибка" error="Допускается ввод только неотрицательных целых чисел!" sqref="AF527">
      <formula1>0</formula1>
      <formula2>9.99999999999999E+23</formula2>
    </dataValidation>
    <dataValidation type="whole" allowBlank="1" showErrorMessage="1" errorTitle="Ошибка" error="Допускается ввод только неотрицательных целых чисел!" sqref="AI527">
      <formula1>0</formula1>
      <formula2>9.99999999999999E+23</formula2>
    </dataValidation>
    <dataValidation type="whole" allowBlank="1" showErrorMessage="1" errorTitle="Ошибка" error="Допускается ввод только неотрицательных целых чисел!" sqref="AF528">
      <formula1>0</formula1>
      <formula2>9.99999999999999E+23</formula2>
    </dataValidation>
    <dataValidation type="whole" allowBlank="1" showErrorMessage="1" errorTitle="Ошибка" error="Допускается ввод только неотрицательных целых чисел!" sqref="AI5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6">
      <formula1>"a"</formula1>
    </dataValidation>
    <dataValidation type="textLength" operator="lessThanOrEqual" allowBlank="1" showInputMessage="1" showErrorMessage="1" errorTitle="Ошибка" error="Допускается ввод не более 900 символов!" sqref="K526">
      <formula1>900</formula1>
    </dataValidation>
    <dataValidation type="decimal" allowBlank="1" showErrorMessage="1" errorTitle="Ошибка" error="Допускается ввод только неотрицательных чисел!" sqref="AC526">
      <formula1>0</formula1>
      <formula2>9.99999999999999E+23</formula2>
    </dataValidation>
    <dataValidation type="decimal" allowBlank="1" showErrorMessage="1" errorTitle="Ошибка" error="Допускается ввод только неотрицательных чисел!" sqref="AE526">
      <formula1>0</formula1>
      <formula2>9.99999999999999E+23</formula2>
    </dataValidation>
    <dataValidation type="whole" allowBlank="1" showErrorMessage="1" errorTitle="Ошибка" error="Допускается ввод только неотрицательных целых чисел!" sqref="AF526">
      <formula1>0</formula1>
      <formula2>9.99999999999999E+23</formula2>
    </dataValidation>
    <dataValidation type="whole" allowBlank="1" showErrorMessage="1" errorTitle="Ошибка" error="Допускается ввод только неотрицательных целых чисел!" sqref="AI526">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819CD1-B022-4CF8-4268-AB896D101458}" mc:Ignorable="x14ac xr xr2 xr3">
  <sheetPr>
    <tabColor theme="9" tint="-0.25"/>
  </sheetPr>
  <dimension ref="A1:AE59"/>
  <sheetViews>
    <sheetView showGridLines="0" zoomScale="85" workbookViewId="0">
      <pane xSplit="9" ySplit="13" topLeftCell="J14" activePane="bottomRight" state="frozen"/>
      <selection pane="bottomLeft" activeCell="A14" sqref="A14"/>
      <selection pane="topRight" activeCell="J1" sqref="J1"/>
      <selection pane="bottomRight" activeCell="Q1" sqref="Q1:Q59"/>
    </sheetView>
  </sheetViews>
  <sheetFormatPr defaultColWidth="9.140625" customHeight="1" defaultRowHeight="10.5"/>
  <cols>
    <col min="1" max="3" style="1177" width="4.140625" hidden="1" customWidth="1"/>
    <col min="4" max="4" style="1377" width="4.140625" hidden="1" customWidth="1"/>
    <col min="5" max="5" style="1646" width="3.00390625" customWidth="1"/>
    <col min="6" max="6" style="1646" width="6.00390625" customWidth="1"/>
    <col min="7" max="7" style="1646" width="60.00390625" customWidth="1"/>
    <col min="8" max="9" style="1646" width="21.7109375" hidden="1" customWidth="1"/>
    <col min="10" max="10" style="1646" width="0.140625" customWidth="1"/>
    <col min="11" max="17" style="1646" width="21.7109375" hidden="1" customWidth="1"/>
    <col min="18" max="18" style="1646" width="0.140625" customWidth="1"/>
    <col min="19" max="19" style="1646" width="1.00390625" customWidth="1"/>
    <col min="20" max="30" style="1646" width="8.00390625" customWidth="1"/>
    <col min="31" max="31" style="1646" width="9.140625" hidden="1"/>
  </cols>
  <sheetData>
    <row s="1377" customFormat="1" customHeight="1" ht="10.5" hidden="1">
      <c r="A1" s="1177"/>
      <c r="B1" s="1177"/>
      <c r="C1" s="1177"/>
      <c r="E1" s="548"/>
      <c r="K1" s="1377"/>
      <c r="L1" s="1377"/>
      <c r="M1" s="1377"/>
      <c r="N1" s="1377"/>
      <c r="O1" s="1377"/>
      <c r="P1" s="1377"/>
      <c r="Q1" s="1377"/>
      <c r="R1" s="1377"/>
      <c r="AE1" s="1171" t="s">
        <v>14</v>
      </c>
    </row>
    <row customHeight="1" ht="10.5" hidden="1">
      <c r="K2" s="1646"/>
      <c r="L2" s="1646"/>
      <c r="M2" s="1646"/>
      <c r="N2" s="1646"/>
      <c r="O2" s="1646"/>
      <c r="P2" s="1646"/>
      <c r="Q2" s="1646"/>
      <c r="R2" s="1646"/>
      <c r="AE2" s="1166">
        <v>0</v>
      </c>
    </row>
    <row s="1643" customFormat="1" customHeight="1" ht="10.5" hidden="1">
      <c r="A3" s="1177"/>
      <c r="B3" s="1177"/>
      <c r="C3" s="1177"/>
      <c r="D3" s="1171"/>
      <c r="E3" s="373"/>
      <c r="K3" s="1643"/>
      <c r="L3" s="1643"/>
      <c r="M3" s="1643"/>
      <c r="N3" s="1643"/>
      <c r="O3" s="1643"/>
      <c r="P3" s="1643"/>
      <c r="Q3" s="1643"/>
      <c r="R3" s="1643"/>
      <c r="AE3" s="1167">
        <v>0</v>
      </c>
    </row>
    <row customHeight="1" ht="3">
      <c r="K4" s="1646"/>
      <c r="L4" s="1646"/>
      <c r="M4" s="1646"/>
      <c r="N4" s="1646"/>
      <c r="O4" s="1646"/>
      <c r="P4" s="1646"/>
      <c r="Q4" s="1646"/>
      <c r="R4" s="1646"/>
      <c r="AE4" s="1166">
        <v>3</v>
      </c>
    </row>
    <row customHeight="1" ht="27.299999999999997">
      <c r="F5" s="227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78"/>
      <c r="H5" s="2278"/>
      <c r="I5" s="2278"/>
      <c r="J5" s="2278"/>
      <c r="K5" s="2278"/>
      <c r="L5" s="2278"/>
      <c r="M5" s="2278"/>
      <c r="N5" s="2278"/>
      <c r="O5" s="2278"/>
      <c r="P5" s="2278"/>
      <c r="Q5" s="2278"/>
      <c r="R5" s="2278"/>
      <c r="AE5" s="1166">
        <v>26</v>
      </c>
    </row>
    <row customHeight="1" ht="10.5">
      <c r="F6" s="2206" t="str">
        <f>IF(org=0,"Не определено",org)</f>
        <v>ПАО "КГК"</v>
      </c>
      <c r="G6" s="2206"/>
      <c r="H6" s="2206"/>
      <c r="I6" s="2206"/>
      <c r="J6" s="2206"/>
      <c r="K6" s="2279"/>
      <c r="L6" s="2279"/>
      <c r="M6" s="2279"/>
      <c r="N6" s="2279"/>
      <c r="O6" s="2279"/>
      <c r="P6" s="2279"/>
      <c r="Q6" s="2279"/>
      <c r="R6" s="2279"/>
      <c r="AE6" s="1166">
        <v>10</v>
      </c>
    </row>
    <row customHeight="1" ht="11.549999999999999">
      <c r="E7" s="1181"/>
      <c r="F7" s="1238"/>
      <c r="G7" s="1238"/>
      <c r="H7" s="1238"/>
      <c r="I7" s="1238"/>
      <c r="J7" s="1238"/>
      <c r="K7" s="1238" t="s">
        <v>22</v>
      </c>
      <c r="L7" s="1238"/>
      <c r="M7" s="1238" t="s">
        <v>22</v>
      </c>
      <c r="N7" s="1238" t="s">
        <v>22</v>
      </c>
      <c r="O7" s="1238" t="s">
        <v>22</v>
      </c>
      <c r="P7" s="1238" t="s">
        <v>22</v>
      </c>
      <c r="Q7" s="1238" t="s">
        <v>22</v>
      </c>
      <c r="R7" s="1238"/>
      <c r="S7" s="1168"/>
      <c r="T7" s="1168"/>
      <c r="U7" s="1168"/>
      <c r="V7" s="1168"/>
      <c r="W7" s="1168"/>
      <c r="X7" s="1168"/>
      <c r="Y7" s="1168"/>
      <c r="Z7" s="1168"/>
      <c r="AA7" s="1168"/>
      <c r="AB7" s="1168"/>
      <c r="AC7" s="1168"/>
      <c r="AD7" s="1168"/>
      <c r="AE7" s="1166">
        <v>11</v>
      </c>
    </row>
    <row s="1653" customFormat="1" customHeight="1" ht="4.2">
      <c r="A8" s="1178"/>
      <c r="B8" s="1178"/>
      <c r="C8" s="1178"/>
      <c r="E8" s="1239"/>
      <c r="F8" s="1240"/>
      <c r="G8" s="1240"/>
      <c r="H8" s="1240"/>
      <c r="I8" s="1240"/>
      <c r="J8" s="1240"/>
      <c r="K8" s="1240" t="s">
        <v>1088</v>
      </c>
      <c r="L8" s="1240"/>
      <c r="M8" s="1240"/>
      <c r="N8" s="1240"/>
      <c r="O8" s="1240"/>
      <c r="P8" s="1240"/>
      <c r="Q8" s="1240"/>
      <c r="R8" s="1240"/>
      <c r="S8" s="1239"/>
      <c r="T8" s="1239"/>
      <c r="U8" s="1239"/>
      <c r="V8" s="1239"/>
      <c r="W8" s="1239"/>
      <c r="X8" s="1239"/>
      <c r="Y8" s="1239"/>
      <c r="Z8" s="1239"/>
      <c r="AA8" s="1239"/>
      <c r="AB8" s="1239"/>
      <c r="AC8" s="1239"/>
      <c r="AD8" s="1239"/>
      <c r="AE8" s="522">
        <v>4</v>
      </c>
    </row>
    <row customHeight="1" ht="10.5">
      <c r="E9" s="1181"/>
      <c r="F9" s="2449" t="s">
        <v>314</v>
      </c>
      <c r="G9" s="2450"/>
      <c r="H9" s="2450"/>
      <c r="I9" s="2450"/>
      <c r="J9" s="2450"/>
      <c r="K9" s="2450"/>
      <c r="L9" s="2450"/>
      <c r="M9" s="2450"/>
      <c r="N9" s="2450"/>
      <c r="O9" s="2450"/>
      <c r="P9" s="2450"/>
      <c r="Q9" s="2450"/>
      <c r="R9" s="2450"/>
      <c r="S9" s="1251"/>
      <c r="T9" s="1168"/>
      <c r="U9" s="1168"/>
      <c r="V9" s="1168"/>
      <c r="W9" s="1168"/>
      <c r="X9" s="1168"/>
      <c r="Y9" s="1168"/>
      <c r="Z9" s="1168"/>
      <c r="AA9" s="1168"/>
      <c r="AB9" s="1168"/>
      <c r="AC9" s="1168"/>
      <c r="AD9" s="1168"/>
      <c r="AE9" s="1166">
        <v>10</v>
      </c>
    </row>
    <row customHeight="1" ht="25.2">
      <c r="E10" s="1168"/>
      <c r="F10" s="2453" t="s">
        <v>89</v>
      </c>
      <c r="G10" s="2458" t="s">
        <v>1278</v>
      </c>
      <c r="H10" s="2456" t="s">
        <v>1279</v>
      </c>
      <c r="I10" s="2456"/>
      <c r="J10" s="2456"/>
      <c r="K10" s="2456" t="s">
        <v>1279</v>
      </c>
      <c r="L10" s="2456"/>
      <c r="M10" s="2456"/>
      <c r="N10" s="2456"/>
      <c r="O10" s="2456"/>
      <c r="P10" s="2456"/>
      <c r="Q10" s="2456"/>
      <c r="R10" s="2456"/>
      <c r="S10" s="1244"/>
      <c r="T10" s="1168"/>
      <c r="U10" s="1168"/>
      <c r="V10" s="1168"/>
      <c r="W10" s="1168"/>
      <c r="X10" s="1168"/>
      <c r="Y10" s="1168"/>
      <c r="Z10" s="1168"/>
      <c r="AA10" s="1168"/>
      <c r="AB10" s="1168"/>
      <c r="AC10" s="1168"/>
      <c r="AD10" s="1168"/>
      <c r="AE10" s="1166">
        <v>24</v>
      </c>
    </row>
    <row customHeight="1" ht="25.5">
      <c r="E11" s="1168"/>
      <c r="F11" s="2454"/>
      <c r="G11" s="2458"/>
      <c r="H11" s="2457">
        <f>INDEX(IP_MAIN_LIST_NAME_IP,MATCH(H8,IP_MAIN_LIST_IP_ID,0))&amp;" ("&amp;INDEX(IP_MAIN_START_DATE,MATCH(H8,IP_MAIN_LIST_IP_ID,0))&amp;"-"&amp;INDEX(IP_MAIN_END_DATE,MATCH(H8,IP_MAIN_LIST_IP_ID,0))&amp;")"</f>
      </c>
      <c r="I11" s="2457"/>
      <c r="J11" s="2457"/>
      <c r="K11" s="2457" t="str">
        <f>INDEX(IP_MAIN_LIST_NAME_IP,MATCH(K8,IP_MAIN_LIST_IP_ID,0))&amp;" ("&amp;INDEX(IP_MAIN_START_DATE,MATCH(K8,IP_MAIN_LIST_IP_ID,0))&amp;"-"&amp;INDEX(IP_MAIN_END_DATE,MATCH(K8,IP_MAIN_LIST_IP_ID,0))&amp;")"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L11" s="2457"/>
      <c r="M11" s="2457"/>
      <c r="N11" s="2457"/>
      <c r="O11" s="2457"/>
      <c r="P11" s="2457"/>
      <c r="Q11" s="2457"/>
      <c r="R11" s="2457"/>
      <c r="S11" s="1244"/>
      <c r="T11" s="1168"/>
      <c r="U11" s="1168"/>
      <c r="V11" s="1168"/>
      <c r="W11" s="1168"/>
      <c r="X11" s="1168"/>
      <c r="Y11" s="1168"/>
      <c r="Z11" s="1168"/>
      <c r="AA11" s="1168"/>
      <c r="AB11" s="1168"/>
      <c r="AC11" s="1168"/>
      <c r="AD11" s="1168"/>
      <c r="AE11" s="1166">
        <v>24</v>
      </c>
    </row>
    <row customHeight="1" ht="10.5">
      <c r="F12" s="2455"/>
      <c r="G12" s="2458"/>
      <c r="H12" s="1237" t="s">
        <v>1280</v>
      </c>
      <c r="I12" s="1243"/>
      <c r="J12" s="1237"/>
      <c r="K12" s="2458" t="s">
        <v>1280</v>
      </c>
      <c r="L12" s="1243">
        <v>2023</v>
      </c>
      <c r="M12" s="1243">
        <v>2024</v>
      </c>
      <c r="N12" s="1243">
        <v>2025</v>
      </c>
      <c r="O12" s="1243">
        <v>2026</v>
      </c>
      <c r="P12" s="1243">
        <v>2027</v>
      </c>
      <c r="Q12" s="1243">
        <v>2028</v>
      </c>
      <c r="R12" s="2458"/>
      <c r="S12" s="1245"/>
      <c r="AE12" s="1166">
        <v>10</v>
      </c>
    </row>
    <row customHeight="1" ht="10.5" hidden="1">
      <c r="F13" s="1237">
        <v>1</v>
      </c>
      <c r="G13" s="1237">
        <v>2</v>
      </c>
      <c r="H13" s="1237">
        <v>3</v>
      </c>
      <c r="I13" s="1237">
        <v>4</v>
      </c>
      <c r="J13" s="1237">
        <v>5</v>
      </c>
      <c r="K13" s="2458">
        <v>3</v>
      </c>
      <c r="L13" s="2458">
        <v>4</v>
      </c>
      <c r="M13" s="2458">
        <v>4</v>
      </c>
      <c r="N13" s="2458">
        <v>4</v>
      </c>
      <c r="O13" s="2458">
        <v>4</v>
      </c>
      <c r="P13" s="2458">
        <v>4</v>
      </c>
      <c r="Q13" s="2458">
        <v>4</v>
      </c>
      <c r="R13" s="2458">
        <v>5</v>
      </c>
      <c r="S13" s="1245"/>
      <c r="AE13" s="1166">
        <v>0</v>
      </c>
    </row>
    <row customHeight="1" ht="11.549999999999999">
      <c r="F14" s="1236" t="s">
        <v>1281</v>
      </c>
      <c r="G14" s="2451" t="s">
        <v>1282</v>
      </c>
      <c r="H14" s="2451"/>
      <c r="I14" s="2451"/>
      <c r="J14" s="2451"/>
      <c r="K14" s="2451"/>
      <c r="L14" s="2451"/>
      <c r="M14" s="2451"/>
      <c r="N14" s="2451"/>
      <c r="O14" s="2451"/>
      <c r="P14" s="2451"/>
      <c r="Q14" s="2451"/>
      <c r="R14" s="2451"/>
      <c r="S14" s="1245"/>
      <c r="AE14" s="1166">
        <v>11</v>
      </c>
    </row>
    <row customHeight="1" ht="11.549999999999999">
      <c r="F15" s="1241">
        <v>1</v>
      </c>
      <c r="G15" s="701" t="s">
        <v>1283</v>
      </c>
      <c r="H15" s="1247">
        <f>SUM(I15:J15)</f>
        <v>0</v>
      </c>
      <c r="I15" s="1247">
        <f>SUM(I16:I27)</f>
        <v>0</v>
      </c>
      <c r="J15" s="1236"/>
      <c r="K15" s="1247">
        <f>SUM(L15:R15)</f>
        <v>0</v>
      </c>
      <c r="L15" s="1247">
        <f>SUM(L16:L27)</f>
        <v>0</v>
      </c>
      <c r="M15" s="1247">
        <f>SUM(M16:M27)</f>
        <v>0</v>
      </c>
      <c r="N15" s="1247">
        <f>SUM(N16:N27)</f>
        <v>0</v>
      </c>
      <c r="O15" s="1247">
        <f>SUM(O16:O27)</f>
        <v>0</v>
      </c>
      <c r="P15" s="1247">
        <f>SUM(P16:P27)</f>
        <v>0</v>
      </c>
      <c r="Q15" s="1247">
        <f>SUM(Q16:Q27)</f>
        <v>0</v>
      </c>
      <c r="R15" s="2456"/>
      <c r="S15" s="1245"/>
      <c r="AE15" s="1166">
        <v>11</v>
      </c>
    </row>
    <row customHeight="1" ht="24">
      <c r="F16" s="1241" t="s">
        <v>675</v>
      </c>
      <c r="G16" s="1248" t="s">
        <v>1284</v>
      </c>
      <c r="H16" s="1247">
        <f>SUM(I16:J16)</f>
        <v>0</v>
      </c>
      <c r="I16" s="1246"/>
      <c r="J16" s="1236"/>
      <c r="K16" s="1247">
        <f>SUM(L16:R16)</f>
        <v>0</v>
      </c>
      <c r="L16" s="1246"/>
      <c r="M16" s="1246"/>
      <c r="N16" s="1246"/>
      <c r="O16" s="1246"/>
      <c r="P16" s="1246"/>
      <c r="Q16" s="1246"/>
      <c r="R16" s="2456"/>
      <c r="S16" s="1245"/>
      <c r="AE16" s="1166">
        <v>23</v>
      </c>
    </row>
    <row customHeight="1" ht="24">
      <c r="F17" s="1241" t="s">
        <v>1285</v>
      </c>
      <c r="G17" s="1248" t="s">
        <v>1286</v>
      </c>
      <c r="H17" s="1247">
        <f>SUM(I17:J17)</f>
        <v>0</v>
      </c>
      <c r="I17" s="1246"/>
      <c r="J17" s="1236"/>
      <c r="K17" s="1247">
        <f>SUM(L17:R17)</f>
        <v>0</v>
      </c>
      <c r="L17" s="1246"/>
      <c r="M17" s="1246"/>
      <c r="N17" s="1246"/>
      <c r="O17" s="1246"/>
      <c r="P17" s="1246"/>
      <c r="Q17" s="1246"/>
      <c r="R17" s="2456"/>
      <c r="S17" s="1245"/>
      <c r="AE17" s="1166">
        <v>23</v>
      </c>
    </row>
    <row customHeight="1" ht="35.699999999999996">
      <c r="F18" s="1241" t="s">
        <v>1287</v>
      </c>
      <c r="G18" s="1248" t="s">
        <v>1288</v>
      </c>
      <c r="H18" s="1247">
        <f>SUM(I18:J18)</f>
        <v>0</v>
      </c>
      <c r="I18" s="1246"/>
      <c r="J18" s="1236"/>
      <c r="K18" s="1247">
        <f>SUM(L18:R18)</f>
        <v>0</v>
      </c>
      <c r="L18" s="1246"/>
      <c r="M18" s="1246"/>
      <c r="N18" s="1246"/>
      <c r="O18" s="1246"/>
      <c r="P18" s="1246"/>
      <c r="Q18" s="1246"/>
      <c r="R18" s="2456"/>
      <c r="S18" s="1245"/>
      <c r="AE18" s="1166">
        <v>34</v>
      </c>
    </row>
    <row customHeight="1" ht="35.699999999999996">
      <c r="F19" s="1241" t="s">
        <v>1289</v>
      </c>
      <c r="G19" s="1248" t="s">
        <v>1290</v>
      </c>
      <c r="H19" s="1247">
        <f>SUM(I19:J19)</f>
        <v>0</v>
      </c>
      <c r="I19" s="1246"/>
      <c r="J19" s="1236"/>
      <c r="K19" s="1247">
        <f>SUM(L19:R19)</f>
        <v>0</v>
      </c>
      <c r="L19" s="1246"/>
      <c r="M19" s="1246"/>
      <c r="N19" s="1246"/>
      <c r="O19" s="1246"/>
      <c r="P19" s="1246"/>
      <c r="Q19" s="1246"/>
      <c r="R19" s="2456"/>
      <c r="S19" s="1245"/>
      <c r="AE19" s="1166">
        <v>34</v>
      </c>
    </row>
    <row customHeight="1" ht="48.29999999999999">
      <c r="F20" s="1241" t="s">
        <v>1291</v>
      </c>
      <c r="G20" s="1248" t="s">
        <v>1292</v>
      </c>
      <c r="H20" s="1247">
        <f>SUM(I20:J20)</f>
        <v>0</v>
      </c>
      <c r="I20" s="1246"/>
      <c r="J20" s="1236"/>
      <c r="K20" s="1247">
        <f>SUM(L20:R20)</f>
        <v>0</v>
      </c>
      <c r="L20" s="1246"/>
      <c r="M20" s="1246"/>
      <c r="N20" s="1246"/>
      <c r="O20" s="1246"/>
      <c r="P20" s="1246"/>
      <c r="Q20" s="1246"/>
      <c r="R20" s="2456"/>
      <c r="S20" s="1245"/>
      <c r="AE20" s="1166">
        <v>46</v>
      </c>
    </row>
    <row customHeight="1" ht="35.699999999999996">
      <c r="F21" s="1241" t="s">
        <v>1293</v>
      </c>
      <c r="G21" s="1248" t="s">
        <v>1294</v>
      </c>
      <c r="H21" s="1247">
        <f>SUM(I21:J21)</f>
        <v>0</v>
      </c>
      <c r="I21" s="1246"/>
      <c r="J21" s="1236"/>
      <c r="K21" s="1247">
        <f>SUM(L21:R21)</f>
        <v>0</v>
      </c>
      <c r="L21" s="1246"/>
      <c r="M21" s="1246"/>
      <c r="N21" s="1246"/>
      <c r="O21" s="1246"/>
      <c r="P21" s="1246"/>
      <c r="Q21" s="1246"/>
      <c r="R21" s="2456"/>
      <c r="S21" s="1245"/>
      <c r="AE21" s="1166">
        <v>34</v>
      </c>
    </row>
    <row customHeight="1" ht="35.699999999999996">
      <c r="F22" s="1241" t="s">
        <v>1295</v>
      </c>
      <c r="G22" s="1248" t="s">
        <v>1296</v>
      </c>
      <c r="H22" s="1247">
        <f>SUM(I22:J22)</f>
        <v>0</v>
      </c>
      <c r="I22" s="1246"/>
      <c r="J22" s="1236"/>
      <c r="K22" s="1247">
        <f>SUM(L22:R22)</f>
        <v>0</v>
      </c>
      <c r="L22" s="1246"/>
      <c r="M22" s="1246"/>
      <c r="N22" s="1246"/>
      <c r="O22" s="1246"/>
      <c r="P22" s="1246"/>
      <c r="Q22" s="1246"/>
      <c r="R22" s="2456"/>
      <c r="S22" s="1245"/>
      <c r="AE22" s="1166">
        <v>34</v>
      </c>
    </row>
    <row customHeight="1" ht="24">
      <c r="F23" s="1241" t="s">
        <v>1297</v>
      </c>
      <c r="G23" s="1248" t="s">
        <v>1298</v>
      </c>
      <c r="H23" s="1247">
        <f>SUM(I23:J23)</f>
        <v>0</v>
      </c>
      <c r="I23" s="1246"/>
      <c r="J23" s="1236"/>
      <c r="K23" s="1247">
        <f>SUM(L23:R23)</f>
        <v>0</v>
      </c>
      <c r="L23" s="1246"/>
      <c r="M23" s="1246"/>
      <c r="N23" s="1246"/>
      <c r="O23" s="1246"/>
      <c r="P23" s="1246"/>
      <c r="Q23" s="1246"/>
      <c r="R23" s="2456"/>
      <c r="S23" s="1245"/>
      <c r="AE23" s="1166">
        <v>23</v>
      </c>
    </row>
    <row customHeight="1" ht="24">
      <c r="F24" s="1241" t="s">
        <v>1299</v>
      </c>
      <c r="G24" s="1248" t="s">
        <v>1300</v>
      </c>
      <c r="H24" s="1247">
        <f>SUM(I24:J24)</f>
        <v>0</v>
      </c>
      <c r="I24" s="1246"/>
      <c r="J24" s="1236"/>
      <c r="K24" s="1247">
        <f>SUM(L24:R24)</f>
        <v>0</v>
      </c>
      <c r="L24" s="1246"/>
      <c r="M24" s="1246"/>
      <c r="N24" s="1246"/>
      <c r="O24" s="1246"/>
      <c r="P24" s="1246"/>
      <c r="Q24" s="1246"/>
      <c r="R24" s="2456"/>
      <c r="S24" s="1245"/>
      <c r="AE24" s="1166">
        <v>23</v>
      </c>
    </row>
    <row customHeight="1" ht="35.699999999999996">
      <c r="F25" s="1241" t="s">
        <v>1301</v>
      </c>
      <c r="G25" s="1248" t="s">
        <v>1302</v>
      </c>
      <c r="H25" s="1247">
        <f>SUM(I25:J25)</f>
        <v>0</v>
      </c>
      <c r="I25" s="1246"/>
      <c r="J25" s="1236"/>
      <c r="K25" s="1247">
        <f>SUM(L25:R25)</f>
        <v>0</v>
      </c>
      <c r="L25" s="1246"/>
      <c r="M25" s="1246"/>
      <c r="N25" s="1246"/>
      <c r="O25" s="1246"/>
      <c r="P25" s="1246"/>
      <c r="Q25" s="1246"/>
      <c r="R25" s="2456"/>
      <c r="S25" s="1245"/>
      <c r="AE25" s="1166">
        <v>34</v>
      </c>
    </row>
    <row customHeight="1" ht="35.699999999999996">
      <c r="F26" s="1241" t="s">
        <v>1303</v>
      </c>
      <c r="G26" s="1248" t="s">
        <v>1304</v>
      </c>
      <c r="H26" s="1247">
        <f>SUM(I26:J26)</f>
        <v>0</v>
      </c>
      <c r="I26" s="1246"/>
      <c r="J26" s="1236"/>
      <c r="K26" s="1247">
        <f>SUM(L26:R26)</f>
        <v>0</v>
      </c>
      <c r="L26" s="1246"/>
      <c r="M26" s="1246"/>
      <c r="N26" s="1246"/>
      <c r="O26" s="1246"/>
      <c r="P26" s="1246"/>
      <c r="Q26" s="1246"/>
      <c r="R26" s="2456"/>
      <c r="S26" s="1245"/>
      <c r="AE26" s="1166">
        <v>34</v>
      </c>
    </row>
    <row customHeight="1" ht="11.549999999999999">
      <c r="F27" s="1241" t="s">
        <v>1305</v>
      </c>
      <c r="G27" s="1248" t="s">
        <v>1306</v>
      </c>
      <c r="H27" s="1247">
        <f>SUM(I27:J27)</f>
        <v>0</v>
      </c>
      <c r="I27" s="1246"/>
      <c r="J27" s="1236"/>
      <c r="K27" s="1247">
        <f>SUM(L27:R27)</f>
        <v>0</v>
      </c>
      <c r="L27" s="1246"/>
      <c r="M27" s="1246"/>
      <c r="N27" s="1246"/>
      <c r="O27" s="1246"/>
      <c r="P27" s="1246"/>
      <c r="Q27" s="1246"/>
      <c r="R27" s="2456"/>
      <c r="S27" s="1245"/>
      <c r="AE27" s="1166">
        <v>11</v>
      </c>
    </row>
    <row customHeight="1" ht="11.549999999999999">
      <c r="F28" s="1241">
        <v>2</v>
      </c>
      <c r="G28" s="701" t="s">
        <v>1307</v>
      </c>
      <c r="H28" s="1247">
        <f>SUM(I28:J28)</f>
        <v>0</v>
      </c>
      <c r="I28" s="1247">
        <f>SUM(I29:I31)</f>
        <v>0</v>
      </c>
      <c r="J28" s="1236"/>
      <c r="K28" s="1247">
        <f>SUM(L28:R28)</f>
        <v>0</v>
      </c>
      <c r="L28" s="1247">
        <f>SUM(L29:L31)</f>
        <v>0</v>
      </c>
      <c r="M28" s="1247">
        <f>SUM(M29:M31)</f>
        <v>0</v>
      </c>
      <c r="N28" s="1247">
        <f>SUM(N29:N31)</f>
        <v>0</v>
      </c>
      <c r="O28" s="1247">
        <f>SUM(O29:O31)</f>
        <v>0</v>
      </c>
      <c r="P28" s="1247">
        <f>SUM(P29:P31)</f>
        <v>0</v>
      </c>
      <c r="Q28" s="1247">
        <f>SUM(Q29:Q31)</f>
        <v>0</v>
      </c>
      <c r="R28" s="2456"/>
      <c r="S28" s="1245"/>
      <c r="AE28" s="1166">
        <v>11</v>
      </c>
    </row>
    <row customHeight="1" ht="11.549999999999999">
      <c r="F29" s="1241" t="s">
        <v>783</v>
      </c>
      <c r="G29" s="1248" t="s">
        <v>1308</v>
      </c>
      <c r="H29" s="1247">
        <f>SUM(I29:J29)</f>
        <v>0</v>
      </c>
      <c r="I29" s="1246"/>
      <c r="J29" s="1236"/>
      <c r="K29" s="1247">
        <f>SUM(L29:R29)</f>
        <v>0</v>
      </c>
      <c r="L29" s="1246"/>
      <c r="M29" s="1246"/>
      <c r="N29" s="1246"/>
      <c r="O29" s="1246"/>
      <c r="P29" s="1246"/>
      <c r="Q29" s="1246"/>
      <c r="R29" s="2456"/>
      <c r="S29" s="1245"/>
      <c r="AE29" s="1166">
        <v>11</v>
      </c>
    </row>
    <row customHeight="1" ht="11.549999999999999">
      <c r="F30" s="1241" t="s">
        <v>321</v>
      </c>
      <c r="G30" s="1248" t="s">
        <v>1309</v>
      </c>
      <c r="H30" s="1247">
        <f>SUM(I30:J30)</f>
        <v>0</v>
      </c>
      <c r="I30" s="1246"/>
      <c r="J30" s="1236"/>
      <c r="K30" s="1247">
        <f>SUM(L30:R30)</f>
        <v>0</v>
      </c>
      <c r="L30" s="1246"/>
      <c r="M30" s="1246"/>
      <c r="N30" s="1246"/>
      <c r="O30" s="1246"/>
      <c r="P30" s="1246"/>
      <c r="Q30" s="1246"/>
      <c r="R30" s="2456"/>
      <c r="S30" s="1245"/>
      <c r="AE30" s="1166">
        <v>11</v>
      </c>
    </row>
    <row customHeight="1" ht="11.549999999999999">
      <c r="F31" s="1241" t="s">
        <v>324</v>
      </c>
      <c r="G31" s="1248" t="s">
        <v>1310</v>
      </c>
      <c r="H31" s="1247">
        <f>SUM(I31:J31)</f>
        <v>0</v>
      </c>
      <c r="I31" s="1246"/>
      <c r="J31" s="1236"/>
      <c r="K31" s="1247">
        <f>SUM(L31:R31)</f>
        <v>0</v>
      </c>
      <c r="L31" s="1246"/>
      <c r="M31" s="1246"/>
      <c r="N31" s="1246"/>
      <c r="O31" s="1246"/>
      <c r="P31" s="1246"/>
      <c r="Q31" s="1246"/>
      <c r="R31" s="2456"/>
      <c r="S31" s="1245"/>
      <c r="AE31" s="1166">
        <v>11</v>
      </c>
    </row>
    <row customHeight="1" ht="11.549999999999999">
      <c r="F32" s="1241">
        <v>3</v>
      </c>
      <c r="G32" s="701" t="s">
        <v>1311</v>
      </c>
      <c r="H32" s="1247">
        <f>SUM(I32:J32)</f>
        <v>0</v>
      </c>
      <c r="I32" s="1247">
        <f>SUM(I33:I34)</f>
        <v>0</v>
      </c>
      <c r="J32" s="1236"/>
      <c r="K32" s="1247">
        <f>SUM(L32:R32)</f>
        <v>0</v>
      </c>
      <c r="L32" s="1247">
        <f>SUM(L33:L34)</f>
        <v>0</v>
      </c>
      <c r="M32" s="1247">
        <f>SUM(M33:M34)</f>
        <v>0</v>
      </c>
      <c r="N32" s="1247">
        <f>SUM(N33:N34)</f>
        <v>0</v>
      </c>
      <c r="O32" s="1247">
        <f>SUM(O33:O34)</f>
        <v>0</v>
      </c>
      <c r="P32" s="1247">
        <f>SUM(P33:P34)</f>
        <v>0</v>
      </c>
      <c r="Q32" s="1247">
        <f>SUM(Q33:Q34)</f>
        <v>0</v>
      </c>
      <c r="R32" s="2456"/>
      <c r="S32" s="1245"/>
      <c r="AE32" s="1166">
        <v>11</v>
      </c>
    </row>
    <row customHeight="1" ht="48.29999999999999">
      <c r="F33" s="1241" t="s">
        <v>338</v>
      </c>
      <c r="G33" s="1248" t="s">
        <v>1312</v>
      </c>
      <c r="H33" s="1247">
        <f>SUM(I33:J33)</f>
        <v>0</v>
      </c>
      <c r="I33" s="1246"/>
      <c r="J33" s="1236"/>
      <c r="K33" s="1247">
        <f>SUM(L33:R33)</f>
        <v>0</v>
      </c>
      <c r="L33" s="1246"/>
      <c r="M33" s="1246"/>
      <c r="N33" s="1246"/>
      <c r="O33" s="1246"/>
      <c r="P33" s="1246"/>
      <c r="Q33" s="1246"/>
      <c r="R33" s="2456"/>
      <c r="S33" s="1245"/>
      <c r="AE33" s="1166">
        <v>46</v>
      </c>
    </row>
    <row customHeight="1" ht="11.549999999999999">
      <c r="F34" s="1241" t="s">
        <v>346</v>
      </c>
      <c r="G34" s="1248" t="s">
        <v>1313</v>
      </c>
      <c r="H34" s="1247">
        <f>SUM(I34:J34)</f>
        <v>0</v>
      </c>
      <c r="I34" s="1246"/>
      <c r="J34" s="1236"/>
      <c r="K34" s="1247">
        <f>SUM(L34:R34)</f>
        <v>0</v>
      </c>
      <c r="L34" s="1246"/>
      <c r="M34" s="1246"/>
      <c r="N34" s="1246"/>
      <c r="O34" s="1246"/>
      <c r="P34" s="1246"/>
      <c r="Q34" s="1246"/>
      <c r="R34" s="2456"/>
      <c r="S34" s="1245"/>
      <c r="AE34" s="1166">
        <v>11</v>
      </c>
    </row>
    <row customHeight="1" ht="11.549999999999999">
      <c r="F35" s="1241">
        <v>4</v>
      </c>
      <c r="G35" s="701" t="s">
        <v>1314</v>
      </c>
      <c r="H35" s="1247">
        <f>SUM(I35:J35)</f>
        <v>0</v>
      </c>
      <c r="I35" s="1246"/>
      <c r="J35" s="1236"/>
      <c r="K35" s="1247">
        <f>SUM(L35:R35)</f>
        <v>0</v>
      </c>
      <c r="L35" s="1246"/>
      <c r="M35" s="1246"/>
      <c r="N35" s="1246"/>
      <c r="O35" s="1246"/>
      <c r="P35" s="1246"/>
      <c r="Q35" s="1246"/>
      <c r="R35" s="2456"/>
      <c r="S35" s="1245"/>
      <c r="AE35" s="1166">
        <v>11</v>
      </c>
    </row>
    <row customHeight="1" ht="11.549999999999999">
      <c r="F36" s="1241"/>
      <c r="G36" s="704" t="s">
        <v>1315</v>
      </c>
      <c r="H36" s="1247">
        <f>SUM(I36:J36)</f>
        <v>0</v>
      </c>
      <c r="I36" s="1247">
        <f>SUM(I15,I28,I32,I35)</f>
        <v>0</v>
      </c>
      <c r="J36" s="1236"/>
      <c r="K36" s="1247">
        <f>SUM(L36:R36)</f>
        <v>0</v>
      </c>
      <c r="L36" s="1247">
        <f>SUM(L15,L28,L32,L35)</f>
        <v>0</v>
      </c>
      <c r="M36" s="1247">
        <f>SUM(M15,M28,M32,M35)</f>
        <v>0</v>
      </c>
      <c r="N36" s="1247">
        <f>SUM(N15,N28,N32,N35)</f>
        <v>0</v>
      </c>
      <c r="O36" s="1247">
        <f>SUM(O15,O28,O32,O35)</f>
        <v>0</v>
      </c>
      <c r="P36" s="1247">
        <f>SUM(P15,P28,P32,P35)</f>
        <v>0</v>
      </c>
      <c r="Q36" s="1247">
        <f>SUM(Q15,Q28,Q32,Q35)</f>
        <v>0</v>
      </c>
      <c r="R36" s="2456"/>
      <c r="S36" s="1245"/>
      <c r="AE36" s="1166">
        <v>11</v>
      </c>
    </row>
    <row customHeight="1" ht="29.25">
      <c r="F37" s="1242" t="s">
        <v>1316</v>
      </c>
      <c r="G37" s="2452" t="s">
        <v>1317</v>
      </c>
      <c r="H37" s="2452"/>
      <c r="I37" s="2452"/>
      <c r="J37" s="2452"/>
      <c r="K37" s="2452"/>
      <c r="L37" s="2452"/>
      <c r="M37" s="2452"/>
      <c r="N37" s="2452"/>
      <c r="O37" s="2452"/>
      <c r="P37" s="2452"/>
      <c r="Q37" s="2452"/>
      <c r="R37" s="2452"/>
      <c r="S37" s="1245"/>
      <c r="AE37" s="1166">
        <v>28</v>
      </c>
    </row>
    <row customHeight="1" ht="24">
      <c r="F38" s="1241" t="s">
        <v>120</v>
      </c>
      <c r="G38" s="701" t="s">
        <v>1318</v>
      </c>
      <c r="H38" s="1247">
        <f>SUM(I38:J38)</f>
        <v>0</v>
      </c>
      <c r="I38" s="1247">
        <f>SUM(I39,I44,I47)</f>
        <v>0</v>
      </c>
      <c r="J38" s="1236"/>
      <c r="K38" s="1247">
        <f>SUM(L38:R38)</f>
        <v>0</v>
      </c>
      <c r="L38" s="1247">
        <f>SUM(L39,L44,L47)</f>
        <v>0</v>
      </c>
      <c r="M38" s="1247">
        <f>SUM(M39,M44,M47)</f>
        <v>0</v>
      </c>
      <c r="N38" s="1247">
        <f>SUM(N39,N44,N47)</f>
        <v>0</v>
      </c>
      <c r="O38" s="1247">
        <f>SUM(O39,O44,O47)</f>
        <v>0</v>
      </c>
      <c r="P38" s="1247">
        <f>SUM(P39,P44,P47)</f>
        <v>0</v>
      </c>
      <c r="Q38" s="1247">
        <f>SUM(Q39,Q44,Q47)</f>
        <v>0</v>
      </c>
      <c r="R38" s="2456"/>
      <c r="S38" s="1245"/>
      <c r="AE38" s="1166">
        <v>23</v>
      </c>
    </row>
    <row customHeight="1" ht="11.549999999999999">
      <c r="F39" s="1241" t="s">
        <v>675</v>
      </c>
      <c r="G39" s="1248" t="s">
        <v>1283</v>
      </c>
      <c r="H39" s="1247">
        <f>SUM(I39:J39)</f>
        <v>0</v>
      </c>
      <c r="I39" s="1247">
        <f>SUM(I40:I43)</f>
        <v>0</v>
      </c>
      <c r="J39" s="1236"/>
      <c r="K39" s="1247">
        <f>SUM(L39:R39)</f>
        <v>0</v>
      </c>
      <c r="L39" s="1247">
        <f>SUM(L40:L43)</f>
        <v>0</v>
      </c>
      <c r="M39" s="1247">
        <f>SUM(M40:M43)</f>
        <v>0</v>
      </c>
      <c r="N39" s="1247">
        <f>SUM(N40:N43)</f>
        <v>0</v>
      </c>
      <c r="O39" s="1247">
        <f>SUM(O40:O43)</f>
        <v>0</v>
      </c>
      <c r="P39" s="1247">
        <f>SUM(P40:P43)</f>
        <v>0</v>
      </c>
      <c r="Q39" s="1247">
        <f>SUM(Q40:Q43)</f>
        <v>0</v>
      </c>
      <c r="R39" s="2456"/>
      <c r="S39" s="1245"/>
      <c r="AE39" s="1166">
        <v>11</v>
      </c>
    </row>
    <row customHeight="1" ht="24">
      <c r="F40" s="1241" t="s">
        <v>1319</v>
      </c>
      <c r="G40" s="1249" t="s">
        <v>1320</v>
      </c>
      <c r="H40" s="1247">
        <f>SUM(I40:J40)</f>
        <v>0</v>
      </c>
      <c r="I40" s="1246"/>
      <c r="J40" s="1236"/>
      <c r="K40" s="1247">
        <f>SUM(L40:R40)</f>
        <v>0</v>
      </c>
      <c r="L40" s="1246"/>
      <c r="M40" s="1246"/>
      <c r="N40" s="1246"/>
      <c r="O40" s="1246"/>
      <c r="P40" s="1246"/>
      <c r="Q40" s="1246"/>
      <c r="R40" s="2456"/>
      <c r="S40" s="1245"/>
      <c r="AE40" s="1166">
        <v>23</v>
      </c>
    </row>
    <row customHeight="1" ht="11.549999999999999">
      <c r="F41" s="1241" t="s">
        <v>1321</v>
      </c>
      <c r="G41" s="1249" t="s">
        <v>1322</v>
      </c>
      <c r="H41" s="1247">
        <f>SUM(I41:J41)</f>
        <v>0</v>
      </c>
      <c r="I41" s="1246"/>
      <c r="J41" s="1236"/>
      <c r="K41" s="1247">
        <f>SUM(L41:R41)</f>
        <v>0</v>
      </c>
      <c r="L41" s="1246"/>
      <c r="M41" s="1246"/>
      <c r="N41" s="1246"/>
      <c r="O41" s="1246"/>
      <c r="P41" s="1246"/>
      <c r="Q41" s="1246"/>
      <c r="R41" s="2456"/>
      <c r="S41" s="1245"/>
      <c r="AE41" s="1166">
        <v>11</v>
      </c>
    </row>
    <row customHeight="1" ht="11.549999999999999">
      <c r="F42" s="1241" t="s">
        <v>1323</v>
      </c>
      <c r="G42" s="1249" t="s">
        <v>1324</v>
      </c>
      <c r="H42" s="1247">
        <f>SUM(I42:J42)</f>
        <v>0</v>
      </c>
      <c r="I42" s="1246"/>
      <c r="J42" s="1236"/>
      <c r="K42" s="1247">
        <f>SUM(L42:R42)</f>
        <v>0</v>
      </c>
      <c r="L42" s="1246"/>
      <c r="M42" s="1246"/>
      <c r="N42" s="1246"/>
      <c r="O42" s="1246"/>
      <c r="P42" s="1246"/>
      <c r="Q42" s="1246"/>
      <c r="R42" s="2456"/>
      <c r="S42" s="1245"/>
      <c r="AE42" s="1166">
        <v>11</v>
      </c>
    </row>
    <row customHeight="1" ht="35.699999999999996">
      <c r="F43" s="1241" t="s">
        <v>1325</v>
      </c>
      <c r="G43" s="1249" t="s">
        <v>1326</v>
      </c>
      <c r="H43" s="1247">
        <f>SUM(I43:J43)</f>
        <v>0</v>
      </c>
      <c r="I43" s="1246"/>
      <c r="J43" s="1236"/>
      <c r="K43" s="1247">
        <f>SUM(L43:R43)</f>
        <v>0</v>
      </c>
      <c r="L43" s="1246"/>
      <c r="M43" s="1246"/>
      <c r="N43" s="1246"/>
      <c r="O43" s="1246"/>
      <c r="P43" s="1246"/>
      <c r="Q43" s="1246"/>
      <c r="R43" s="2456"/>
      <c r="S43" s="1245"/>
      <c r="AE43" s="1166">
        <v>34</v>
      </c>
    </row>
    <row customHeight="1" ht="11.549999999999999">
      <c r="F44" s="1241" t="s">
        <v>1285</v>
      </c>
      <c r="G44" s="1248" t="s">
        <v>1311</v>
      </c>
      <c r="H44" s="1247">
        <f>SUM(I44:J44)</f>
        <v>0</v>
      </c>
      <c r="I44" s="1247">
        <f>SUM(I45:I46)</f>
        <v>0</v>
      </c>
      <c r="J44" s="1236"/>
      <c r="K44" s="1247">
        <f>SUM(L44:R44)</f>
        <v>0</v>
      </c>
      <c r="L44" s="1247">
        <f>SUM(L45:L46)</f>
        <v>0</v>
      </c>
      <c r="M44" s="1247">
        <f>SUM(M45:M46)</f>
        <v>0</v>
      </c>
      <c r="N44" s="1247">
        <f>SUM(N45:N46)</f>
        <v>0</v>
      </c>
      <c r="O44" s="1247">
        <f>SUM(O45:O46)</f>
        <v>0</v>
      </c>
      <c r="P44" s="1247">
        <f>SUM(P45:P46)</f>
        <v>0</v>
      </c>
      <c r="Q44" s="1247">
        <f>SUM(Q45:Q46)</f>
        <v>0</v>
      </c>
      <c r="R44" s="2456"/>
      <c r="S44" s="1245"/>
      <c r="AE44" s="1166">
        <v>11</v>
      </c>
    </row>
    <row customHeight="1" ht="48.29999999999999">
      <c r="F45" s="1241" t="s">
        <v>1327</v>
      </c>
      <c r="G45" s="1249" t="s">
        <v>1312</v>
      </c>
      <c r="H45" s="1247">
        <f>SUM(I45:J45)</f>
        <v>0</v>
      </c>
      <c r="I45" s="1246"/>
      <c r="J45" s="1236"/>
      <c r="K45" s="1247">
        <f>SUM(L45:R45)</f>
        <v>0</v>
      </c>
      <c r="L45" s="1246"/>
      <c r="M45" s="1246"/>
      <c r="N45" s="1246"/>
      <c r="O45" s="1246"/>
      <c r="P45" s="1246"/>
      <c r="Q45" s="1246"/>
      <c r="R45" s="2456"/>
      <c r="S45" s="1245"/>
      <c r="AE45" s="1166">
        <v>46</v>
      </c>
    </row>
    <row customHeight="1" ht="11.549999999999999">
      <c r="F46" s="1241" t="s">
        <v>1328</v>
      </c>
      <c r="G46" s="1249" t="s">
        <v>1313</v>
      </c>
      <c r="H46" s="1247">
        <f>SUM(I46:J46)</f>
        <v>0</v>
      </c>
      <c r="I46" s="1246"/>
      <c r="J46" s="1236"/>
      <c r="K46" s="1247">
        <f>SUM(L46:R46)</f>
        <v>0</v>
      </c>
      <c r="L46" s="1246"/>
      <c r="M46" s="1246"/>
      <c r="N46" s="1246"/>
      <c r="O46" s="1246"/>
      <c r="P46" s="1246"/>
      <c r="Q46" s="1246"/>
      <c r="R46" s="2456"/>
      <c r="S46" s="1245"/>
      <c r="AE46" s="1166">
        <v>11</v>
      </c>
    </row>
    <row customHeight="1" ht="11.549999999999999">
      <c r="F47" s="1241" t="s">
        <v>1287</v>
      </c>
      <c r="G47" s="1248" t="s">
        <v>1329</v>
      </c>
      <c r="H47" s="1247">
        <f>SUM(I47:J47)</f>
        <v>0</v>
      </c>
      <c r="I47" s="1246"/>
      <c r="J47" s="1236"/>
      <c r="K47" s="1247">
        <f>SUM(L47:R47)</f>
        <v>0</v>
      </c>
      <c r="L47" s="1246"/>
      <c r="M47" s="1246"/>
      <c r="N47" s="1246"/>
      <c r="O47" s="1246"/>
      <c r="P47" s="1246"/>
      <c r="Q47" s="1246"/>
      <c r="R47" s="2456"/>
      <c r="S47" s="1245"/>
      <c r="AE47" s="1166">
        <v>11</v>
      </c>
    </row>
    <row customHeight="1" ht="24">
      <c r="F48" s="1241" t="s">
        <v>104</v>
      </c>
      <c r="G48" s="701" t="s">
        <v>1330</v>
      </c>
      <c r="H48" s="1247">
        <f>SUM(I48:J48)</f>
        <v>0</v>
      </c>
      <c r="I48" s="1247">
        <f>SUM(I49,I54,I57)</f>
        <v>0</v>
      </c>
      <c r="J48" s="1236"/>
      <c r="K48" s="1247">
        <f>SUM(L48:R48)</f>
        <v>0</v>
      </c>
      <c r="L48" s="1247">
        <f>SUM(L49,L54,L57)</f>
        <v>0</v>
      </c>
      <c r="M48" s="1247">
        <f>SUM(M49,M54,M57)</f>
        <v>0</v>
      </c>
      <c r="N48" s="1247">
        <f>SUM(N49,N54,N57)</f>
        <v>0</v>
      </c>
      <c r="O48" s="1247">
        <f>SUM(O49,O54,O57)</f>
        <v>0</v>
      </c>
      <c r="P48" s="1247">
        <f>SUM(P49,P54,P57)</f>
        <v>0</v>
      </c>
      <c r="Q48" s="1247">
        <f>SUM(Q49,Q54,Q57)</f>
        <v>0</v>
      </c>
      <c r="R48" s="2456"/>
      <c r="S48" s="1245"/>
      <c r="AE48" s="1166">
        <v>23</v>
      </c>
    </row>
    <row customHeight="1" ht="11.549999999999999">
      <c r="F49" s="1241" t="s">
        <v>783</v>
      </c>
      <c r="G49" s="1248" t="s">
        <v>1283</v>
      </c>
      <c r="H49" s="1247">
        <f>SUM(I49:J49)</f>
        <v>0</v>
      </c>
      <c r="I49" s="1247">
        <f>SUM(I50:I53)</f>
        <v>0</v>
      </c>
      <c r="J49" s="1236"/>
      <c r="K49" s="1247">
        <f>SUM(L49:R49)</f>
        <v>0</v>
      </c>
      <c r="L49" s="1247">
        <f>SUM(L50:L53)</f>
        <v>0</v>
      </c>
      <c r="M49" s="1247">
        <f>SUM(M50:M53)</f>
        <v>0</v>
      </c>
      <c r="N49" s="1247">
        <f>SUM(N50:N53)</f>
        <v>0</v>
      </c>
      <c r="O49" s="1247">
        <f>SUM(O50:O53)</f>
        <v>0</v>
      </c>
      <c r="P49" s="1247">
        <f>SUM(P50:P53)</f>
        <v>0</v>
      </c>
      <c r="Q49" s="1247">
        <f>SUM(Q50:Q53)</f>
        <v>0</v>
      </c>
      <c r="R49" s="2456"/>
      <c r="S49" s="1245"/>
      <c r="AE49" s="1166">
        <v>11</v>
      </c>
    </row>
    <row customHeight="1" ht="24">
      <c r="F50" s="1241" t="s">
        <v>786</v>
      </c>
      <c r="G50" s="1249" t="s">
        <v>1320</v>
      </c>
      <c r="H50" s="1247">
        <f>SUM(I50:J50)</f>
        <v>0</v>
      </c>
      <c r="I50" s="1246"/>
      <c r="J50" s="1236"/>
      <c r="K50" s="1247">
        <f>SUM(L50:R50)</f>
        <v>0</v>
      </c>
      <c r="L50" s="1246"/>
      <c r="M50" s="1246"/>
      <c r="N50" s="1246"/>
      <c r="O50" s="1246"/>
      <c r="P50" s="1246"/>
      <c r="Q50" s="1246"/>
      <c r="R50" s="2456"/>
      <c r="S50" s="1245"/>
      <c r="AE50" s="1166">
        <v>23</v>
      </c>
    </row>
    <row customHeight="1" ht="11.549999999999999">
      <c r="F51" s="1241" t="s">
        <v>789</v>
      </c>
      <c r="G51" s="1249" t="s">
        <v>1322</v>
      </c>
      <c r="H51" s="1247">
        <f>SUM(I51:J51)</f>
        <v>0</v>
      </c>
      <c r="I51" s="1246"/>
      <c r="J51" s="1236"/>
      <c r="K51" s="1247">
        <f>SUM(L51:R51)</f>
        <v>0</v>
      </c>
      <c r="L51" s="1246"/>
      <c r="M51" s="1246"/>
      <c r="N51" s="1246"/>
      <c r="O51" s="1246"/>
      <c r="P51" s="1246"/>
      <c r="Q51" s="1246"/>
      <c r="R51" s="2456"/>
      <c r="S51" s="1245"/>
      <c r="AE51" s="1166">
        <v>11</v>
      </c>
    </row>
    <row customHeight="1" ht="11.549999999999999">
      <c r="F52" s="1241" t="s">
        <v>1331</v>
      </c>
      <c r="G52" s="1249" t="s">
        <v>1324</v>
      </c>
      <c r="H52" s="1247">
        <f>SUM(I52:J52)</f>
        <v>0</v>
      </c>
      <c r="I52" s="1246"/>
      <c r="J52" s="1236"/>
      <c r="K52" s="1247">
        <f>SUM(L52:R52)</f>
        <v>0</v>
      </c>
      <c r="L52" s="1246"/>
      <c r="M52" s="1246"/>
      <c r="N52" s="1246"/>
      <c r="O52" s="1246"/>
      <c r="P52" s="1246"/>
      <c r="Q52" s="1246"/>
      <c r="R52" s="2456"/>
      <c r="S52" s="1245"/>
      <c r="AE52" s="1166">
        <v>11</v>
      </c>
    </row>
    <row customHeight="1" ht="35.699999999999996">
      <c r="F53" s="1241" t="s">
        <v>1332</v>
      </c>
      <c r="G53" s="1249" t="s">
        <v>1326</v>
      </c>
      <c r="H53" s="1247">
        <f>SUM(I53:J53)</f>
        <v>0</v>
      </c>
      <c r="I53" s="1246"/>
      <c r="J53" s="1236"/>
      <c r="K53" s="1247">
        <f>SUM(L53:R53)</f>
        <v>0</v>
      </c>
      <c r="L53" s="1246"/>
      <c r="M53" s="1246"/>
      <c r="N53" s="1246"/>
      <c r="O53" s="1246"/>
      <c r="P53" s="1246"/>
      <c r="Q53" s="1246"/>
      <c r="R53" s="2456"/>
      <c r="S53" s="1245"/>
      <c r="AE53" s="1166">
        <v>34</v>
      </c>
    </row>
    <row customHeight="1" ht="11.549999999999999">
      <c r="F54" s="1241" t="s">
        <v>321</v>
      </c>
      <c r="G54" s="1248" t="s">
        <v>1311</v>
      </c>
      <c r="H54" s="1247">
        <f>SUM(I54:J54)</f>
        <v>0</v>
      </c>
      <c r="I54" s="1247">
        <f>SUM(I55:I56)</f>
        <v>0</v>
      </c>
      <c r="J54" s="1236"/>
      <c r="K54" s="1247">
        <f>SUM(L54:R54)</f>
        <v>0</v>
      </c>
      <c r="L54" s="1247">
        <f>SUM(L55:L56)</f>
        <v>0</v>
      </c>
      <c r="M54" s="1247">
        <f>SUM(M55:M56)</f>
        <v>0</v>
      </c>
      <c r="N54" s="1247">
        <f>SUM(N55:N56)</f>
        <v>0</v>
      </c>
      <c r="O54" s="1247">
        <f>SUM(O55:O56)</f>
        <v>0</v>
      </c>
      <c r="P54" s="1247">
        <f>SUM(P55:P56)</f>
        <v>0</v>
      </c>
      <c r="Q54" s="1247">
        <f>SUM(Q55:Q56)</f>
        <v>0</v>
      </c>
      <c r="R54" s="2456"/>
      <c r="S54" s="1245"/>
      <c r="AE54" s="1166">
        <v>11</v>
      </c>
    </row>
    <row customHeight="1" ht="48.29999999999999">
      <c r="F55" s="1241" t="s">
        <v>793</v>
      </c>
      <c r="G55" s="1249" t="s">
        <v>1312</v>
      </c>
      <c r="H55" s="1247">
        <f>SUM(I55:J55)</f>
        <v>0</v>
      </c>
      <c r="I55" s="1246"/>
      <c r="J55" s="1236"/>
      <c r="K55" s="1247">
        <f>SUM(L55:R55)</f>
        <v>0</v>
      </c>
      <c r="L55" s="1246"/>
      <c r="M55" s="1246"/>
      <c r="N55" s="1246"/>
      <c r="O55" s="1246"/>
      <c r="P55" s="1246"/>
      <c r="Q55" s="1246"/>
      <c r="R55" s="2456"/>
      <c r="S55" s="1245"/>
      <c r="AE55" s="1166">
        <v>46</v>
      </c>
    </row>
    <row customHeight="1" ht="11.549999999999999">
      <c r="F56" s="1241" t="s">
        <v>795</v>
      </c>
      <c r="G56" s="1249" t="s">
        <v>1313</v>
      </c>
      <c r="H56" s="1247">
        <f>SUM(I56:J56)</f>
        <v>0</v>
      </c>
      <c r="I56" s="1246"/>
      <c r="J56" s="1236"/>
      <c r="K56" s="1247">
        <f>SUM(L56:R56)</f>
        <v>0</v>
      </c>
      <c r="L56" s="1246"/>
      <c r="M56" s="1246"/>
      <c r="N56" s="1246"/>
      <c r="O56" s="1246"/>
      <c r="P56" s="1246"/>
      <c r="Q56" s="1246"/>
      <c r="R56" s="2456"/>
      <c r="S56" s="1245"/>
      <c r="AE56" s="1166">
        <v>11</v>
      </c>
    </row>
    <row customHeight="1" ht="11.549999999999999">
      <c r="F57" s="1241" t="s">
        <v>324</v>
      </c>
      <c r="G57" s="1248" t="s">
        <v>1329</v>
      </c>
      <c r="H57" s="1247">
        <f>SUM(I57:J57)</f>
        <v>0</v>
      </c>
      <c r="I57" s="1246"/>
      <c r="J57" s="1236"/>
      <c r="K57" s="1247">
        <f>SUM(L57:R57)</f>
        <v>0</v>
      </c>
      <c r="L57" s="1246"/>
      <c r="M57" s="1246"/>
      <c r="N57" s="1246"/>
      <c r="O57" s="1246"/>
      <c r="P57" s="1246"/>
      <c r="Q57" s="1246"/>
      <c r="R57" s="2456"/>
      <c r="S57" s="1245"/>
      <c r="AE57" s="1166">
        <v>11</v>
      </c>
    </row>
    <row customHeight="1" ht="11.549999999999999">
      <c r="F58" s="1241"/>
      <c r="G58" s="1250" t="s">
        <v>1315</v>
      </c>
      <c r="H58" s="1247">
        <f>SUM(I58:J58)</f>
        <v>0</v>
      </c>
      <c r="I58" s="1247">
        <f>SUM(I38,I48)</f>
        <v>0</v>
      </c>
      <c r="J58" s="1236"/>
      <c r="K58" s="1247">
        <f>SUM(L58:R58)</f>
        <v>0</v>
      </c>
      <c r="L58" s="1247">
        <f>SUM(L38,L48)</f>
        <v>0</v>
      </c>
      <c r="M58" s="1247">
        <f>SUM(M38,M48)</f>
        <v>0</v>
      </c>
      <c r="N58" s="1247">
        <f>SUM(N38,N48)</f>
        <v>0</v>
      </c>
      <c r="O58" s="1247">
        <f>SUM(O38,O48)</f>
        <v>0</v>
      </c>
      <c r="P58" s="1247">
        <f>SUM(P38,P48)</f>
        <v>0</v>
      </c>
      <c r="Q58" s="1247">
        <f>SUM(Q38,Q48)</f>
        <v>0</v>
      </c>
      <c r="R58" s="2456"/>
      <c r="S58" s="1245"/>
      <c r="AE58" s="1166">
        <v>11</v>
      </c>
    </row>
    <row customHeight="1" ht="10.5" hidden="1">
      <c r="A59" s="1177" t="s">
        <v>83</v>
      </c>
      <c r="B59" s="1177">
        <v>0</v>
      </c>
      <c r="C59" s="1177">
        <v>0</v>
      </c>
      <c r="D59" s="1171">
        <v>0</v>
      </c>
      <c r="E59" s="520">
        <v>3</v>
      </c>
      <c r="F59" s="1166">
        <v>6</v>
      </c>
      <c r="G59" s="1166">
        <v>60</v>
      </c>
      <c r="H59" s="1166">
        <v>0</v>
      </c>
      <c r="I59" s="1166">
        <v>0</v>
      </c>
      <c r="J59" s="1166">
        <v>0</v>
      </c>
      <c r="K59" s="1646">
        <v>0</v>
      </c>
      <c r="L59" s="1646">
        <v>0</v>
      </c>
      <c r="M59" s="1646">
        <v>0</v>
      </c>
      <c r="N59" s="1646">
        <v>0</v>
      </c>
      <c r="O59" s="1646">
        <v>0</v>
      </c>
      <c r="P59" s="1646">
        <v>0</v>
      </c>
      <c r="Q59" s="1646">
        <v>0</v>
      </c>
      <c r="R59" s="1646">
        <v>0</v>
      </c>
      <c r="S59" s="1166">
        <v>1</v>
      </c>
      <c r="T59" s="1166">
        <v>8</v>
      </c>
      <c r="U59" s="1166">
        <v>8</v>
      </c>
      <c r="V59" s="1166">
        <v>8</v>
      </c>
      <c r="W59" s="1166">
        <v>8</v>
      </c>
      <c r="X59" s="1166">
        <v>8</v>
      </c>
      <c r="Y59" s="1166">
        <v>8</v>
      </c>
      <c r="Z59" s="1166">
        <v>8</v>
      </c>
      <c r="AA59" s="1166">
        <v>8</v>
      </c>
      <c r="AB59" s="1166">
        <v>8</v>
      </c>
      <c r="AC59" s="1166">
        <v>8</v>
      </c>
      <c r="AD59" s="1166">
        <v>8</v>
      </c>
      <c r="AE59" s="1166">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R10"/>
    <mergeCell ref="K11:R11"/>
  </mergeCells>
  <dataValidations count="1">
    <dataValidation type="decimal" allowBlank="1" showErrorMessage="1" errorTitle="Ошибка" error="Допускается ввод только неотрицательных чисел!" sqref="I29:I31 I33:I35 I40:I43 I45:I47 I50:I53 I55:I57 I16:I27 L16:Q16 L17:Q17 L18:Q18 L19:Q19 L20:Q20 L21:Q21 L22:Q22 L23:Q23 L24:Q24 L25:Q25 L26:Q26 L27:Q27 L29:Q29 L30:Q30 L31:Q31 L33:Q33 L34:Q34 L35:Q35 L40:Q40 L41:Q41 L42:Q42 L43:Q43 L45:Q45 L46:Q46 L47:Q47 L50:Q50 L51:Q51 L52:Q52 L53:Q53 L55:Q55 L56:Q56 L57:Q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E75D3-37F9-B93E-5048-3114377E9CB8}" mc:Ignorable="x14ac xr xr2 xr3">
  <sheetPr>
    <tabColor theme="9" tint="-0.25"/>
  </sheetPr>
  <dimension ref="A1:GC65"/>
  <sheetViews>
    <sheetView showGridLines="0" zoomScale="90" workbookViewId="0">
      <pane xSplit="14" ySplit="17" topLeftCell="O49" activePane="bottomRight" state="frozen"/>
      <selection pane="bottomLeft" activeCell="A18" sqref="A18"/>
      <selection pane="topRight" activeCell="O1" sqref="O1"/>
      <selection pane="bottomRight" activeCell="S59" sqref="S59"/>
    </sheetView>
  </sheetViews>
  <sheetFormatPr defaultColWidth="9.140625" customHeight="1" defaultRowHeight="12"/>
  <cols>
    <col min="1" max="1" style="1074" width="4.7109375" hidden="1" customWidth="1"/>
    <col min="2" max="2" style="947" width="4.7109375" hidden="1" customWidth="1"/>
    <col min="3" max="4" style="1074" width="4.7109375" hidden="1" customWidth="1"/>
    <col min="5" max="5" style="1074" width="3.00390625" customWidth="1"/>
    <col min="6" max="6" style="1074" width="6.00390625" customWidth="1"/>
    <col min="7" max="7" style="1074" width="18.00390625" customWidth="1"/>
    <col min="8" max="8" style="1074" width="27.00390625" customWidth="1"/>
    <col min="9" max="9" style="1074" width="18.00390625" customWidth="1"/>
    <col min="10" max="14" style="1074" width="0.8515625" hidden="1" customWidth="1"/>
    <col min="15" max="28" style="1074" width="21.7109375" customWidth="1"/>
    <col min="29" max="71" style="1074" width="0.8515625" customWidth="1"/>
    <col min="72" max="79" style="1074" width="21.7109375" hidden="1" customWidth="1"/>
    <col min="80" max="81" style="1074" width="29.140625" hidden="1" customWidth="1"/>
    <col min="82" max="89" style="1074" width="21.7109375" hidden="1" customWidth="1"/>
    <col min="90" max="102" style="1074" width="0.7109375" hidden="1" customWidth="1"/>
    <col min="103" max="114" style="1074" width="21.7109375" hidden="1" customWidth="1"/>
    <col min="115" max="178" style="1074" width="0.7109375" hidden="1" customWidth="1"/>
    <col min="179" max="179" style="1074" width="0.140625" customWidth="1"/>
    <col min="180" max="184" style="1074" width="8.00390625" customWidth="1"/>
    <col min="185" max="185" style="1074" width="9.140625" hidden="1"/>
  </cols>
  <sheetData>
    <row s="936" customFormat="1" customHeight="1" ht="12" hidden="1">
      <c r="B1" s="934"/>
      <c r="C1" s="935"/>
      <c r="D1" s="935"/>
      <c r="GC1" s="933" t="s">
        <v>14</v>
      </c>
    </row>
    <row s="936" customFormat="1" customHeight="1" ht="12" hidden="1">
      <c r="B2" s="934"/>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6"/>
      <c r="AC2" s="935"/>
      <c r="AD2" s="935"/>
      <c r="AE2" s="935"/>
      <c r="AF2" s="935"/>
      <c r="AG2" s="935"/>
      <c r="AH2" s="935"/>
      <c r="AI2" s="935"/>
      <c r="AJ2" s="935"/>
      <c r="AK2" s="935"/>
      <c r="AL2" s="935"/>
      <c r="AM2" s="935"/>
      <c r="AN2" s="935"/>
      <c r="AO2" s="935"/>
      <c r="AP2" s="935"/>
      <c r="AQ2" s="935"/>
      <c r="AR2" s="935"/>
      <c r="AS2" s="935"/>
      <c r="AT2" s="935"/>
      <c r="AU2" s="935"/>
      <c r="AV2" s="935"/>
      <c r="AW2" s="935"/>
      <c r="AX2" s="935"/>
      <c r="AY2" s="935"/>
      <c r="AZ2" s="935"/>
      <c r="BA2" s="935"/>
      <c r="BB2" s="935"/>
      <c r="BC2" s="935"/>
      <c r="BD2" s="935"/>
      <c r="BE2" s="935"/>
      <c r="BF2" s="935"/>
      <c r="BG2" s="935"/>
      <c r="BH2" s="935"/>
      <c r="BI2" s="935"/>
      <c r="BJ2" s="935"/>
      <c r="BK2" s="935"/>
      <c r="BL2" s="935"/>
      <c r="BM2" s="935"/>
      <c r="BN2" s="935"/>
      <c r="BO2" s="935"/>
      <c r="BP2" s="935"/>
      <c r="BQ2" s="935"/>
      <c r="BR2" s="935"/>
      <c r="BS2" s="935"/>
      <c r="BT2" s="935"/>
      <c r="BU2" s="935"/>
      <c r="BV2" s="935"/>
      <c r="BW2" s="935"/>
      <c r="BX2" s="935"/>
      <c r="BY2" s="935"/>
      <c r="BZ2" s="935"/>
      <c r="CA2" s="935"/>
      <c r="CB2" s="935"/>
      <c r="CC2" s="935"/>
      <c r="CD2" s="935"/>
      <c r="CE2" s="935"/>
      <c r="CF2" s="935"/>
      <c r="CG2" s="935"/>
      <c r="CH2" s="935"/>
      <c r="CI2" s="935"/>
      <c r="CJ2" s="935"/>
      <c r="CK2" s="935"/>
      <c r="CL2" s="935"/>
      <c r="CM2" s="935"/>
      <c r="CN2" s="935"/>
      <c r="CO2" s="935"/>
      <c r="CP2" s="935"/>
      <c r="CQ2" s="935"/>
      <c r="CR2" s="935"/>
      <c r="CS2" s="935"/>
      <c r="CT2" s="935"/>
      <c r="CU2" s="935"/>
      <c r="CV2" s="935"/>
      <c r="CW2" s="935"/>
      <c r="CX2" s="935"/>
      <c r="CY2" s="935"/>
      <c r="CZ2" s="935"/>
      <c r="DA2" s="935"/>
      <c r="DB2" s="935"/>
      <c r="DC2" s="935"/>
      <c r="DD2" s="935"/>
      <c r="DE2" s="935"/>
      <c r="DF2" s="935"/>
      <c r="DG2" s="935"/>
      <c r="DH2" s="935"/>
      <c r="DI2" s="935"/>
      <c r="DJ2" s="935"/>
      <c r="DK2" s="935"/>
      <c r="DL2" s="935"/>
      <c r="DM2" s="935"/>
      <c r="DN2" s="935"/>
      <c r="DO2" s="935"/>
      <c r="DP2" s="935"/>
      <c r="DQ2" s="935"/>
      <c r="DR2" s="935"/>
      <c r="DS2" s="935"/>
      <c r="DT2" s="935"/>
      <c r="DU2" s="935"/>
      <c r="DV2" s="935"/>
      <c r="DW2" s="935"/>
      <c r="DX2" s="935"/>
      <c r="DY2" s="935"/>
      <c r="DZ2" s="935"/>
      <c r="EA2" s="935"/>
      <c r="EB2" s="935"/>
      <c r="EC2" s="935"/>
      <c r="ED2" s="935"/>
      <c r="EE2" s="935"/>
      <c r="EF2" s="935"/>
      <c r="EG2" s="935"/>
      <c r="EH2" s="935"/>
      <c r="EI2" s="935"/>
      <c r="EJ2" s="935"/>
      <c r="EK2" s="935"/>
      <c r="EL2" s="935"/>
      <c r="EM2" s="935"/>
      <c r="EN2" s="935"/>
      <c r="EO2" s="935"/>
      <c r="EP2" s="935"/>
      <c r="EQ2" s="935"/>
      <c r="ER2" s="935"/>
      <c r="ES2" s="935"/>
      <c r="ET2" s="935"/>
      <c r="EU2" s="935"/>
      <c r="EV2" s="935"/>
      <c r="EW2" s="935"/>
      <c r="EX2" s="935"/>
      <c r="EY2" s="935"/>
      <c r="EZ2" s="935"/>
      <c r="FA2" s="935"/>
      <c r="FB2" s="935"/>
      <c r="FC2" s="935"/>
      <c r="FD2" s="935"/>
      <c r="FE2" s="935"/>
      <c r="FF2" s="935"/>
      <c r="FG2" s="935"/>
      <c r="FH2" s="935"/>
      <c r="FI2" s="935"/>
      <c r="FJ2" s="935"/>
      <c r="FK2" s="935"/>
      <c r="FL2" s="935"/>
      <c r="FM2" s="935"/>
      <c r="FN2" s="935"/>
      <c r="FO2" s="935"/>
      <c r="FP2" s="935"/>
      <c r="FQ2" s="935"/>
      <c r="FR2" s="935"/>
      <c r="FS2" s="935"/>
      <c r="FT2" s="935"/>
      <c r="FU2" s="935"/>
      <c r="FV2" s="935"/>
      <c r="FW2" s="935"/>
      <c r="GC2" s="933">
        <v>0</v>
      </c>
    </row>
    <row s="936" customFormat="1" customHeight="1" ht="12" hidden="1">
      <c r="B3" s="934"/>
      <c r="C3" s="935"/>
      <c r="D3" s="935"/>
      <c r="E3" s="935"/>
      <c r="F3" s="935"/>
      <c r="G3" s="935"/>
      <c r="H3" s="935"/>
      <c r="I3" s="935"/>
      <c r="J3" s="935"/>
      <c r="K3" s="935"/>
      <c r="L3" s="935"/>
      <c r="M3" s="935"/>
      <c r="N3" s="935"/>
      <c r="O3" s="935"/>
      <c r="P3" s="935"/>
      <c r="Q3" s="935"/>
      <c r="R3" s="935"/>
      <c r="S3" s="935"/>
      <c r="T3" s="935"/>
      <c r="U3" s="935"/>
      <c r="V3" s="935"/>
      <c r="W3" s="935"/>
      <c r="X3" s="935"/>
      <c r="Y3" s="935"/>
      <c r="Z3" s="935"/>
      <c r="AA3" s="935"/>
      <c r="AB3" s="936"/>
      <c r="AC3" s="935"/>
      <c r="AD3" s="935"/>
      <c r="AE3" s="935"/>
      <c r="AF3" s="935"/>
      <c r="AG3" s="935"/>
      <c r="AH3" s="935"/>
      <c r="AI3" s="935"/>
      <c r="AJ3" s="935"/>
      <c r="AK3" s="935"/>
      <c r="AL3" s="935"/>
      <c r="AM3" s="935"/>
      <c r="AN3" s="935"/>
      <c r="AO3" s="935"/>
      <c r="AP3" s="935"/>
      <c r="AQ3" s="935"/>
      <c r="AR3" s="935"/>
      <c r="AS3" s="935"/>
      <c r="AT3" s="935"/>
      <c r="AU3" s="935"/>
      <c r="AV3" s="935"/>
      <c r="AW3" s="935"/>
      <c r="AX3" s="935"/>
      <c r="AY3" s="935"/>
      <c r="AZ3" s="935"/>
      <c r="BA3" s="935"/>
      <c r="BB3" s="935"/>
      <c r="BC3" s="935"/>
      <c r="BD3" s="935"/>
      <c r="BE3" s="935"/>
      <c r="BF3" s="935"/>
      <c r="BG3" s="935"/>
      <c r="BH3" s="935"/>
      <c r="BI3" s="935"/>
      <c r="BJ3" s="935"/>
      <c r="BK3" s="935"/>
      <c r="BL3" s="935"/>
      <c r="BM3" s="935"/>
      <c r="BN3" s="935"/>
      <c r="BO3" s="935"/>
      <c r="BP3" s="935"/>
      <c r="BQ3" s="935"/>
      <c r="BR3" s="935"/>
      <c r="BS3" s="935"/>
      <c r="BT3" s="935"/>
      <c r="BU3" s="935"/>
      <c r="BV3" s="935"/>
      <c r="BW3" s="935"/>
      <c r="BX3" s="935"/>
      <c r="BY3" s="935"/>
      <c r="BZ3" s="935"/>
      <c r="CA3" s="935"/>
      <c r="CB3" s="935"/>
      <c r="CC3" s="935"/>
      <c r="CD3" s="935"/>
      <c r="CE3" s="935"/>
      <c r="CF3" s="935"/>
      <c r="CG3" s="935"/>
      <c r="CH3" s="935"/>
      <c r="CI3" s="935"/>
      <c r="CJ3" s="935"/>
      <c r="CK3" s="935"/>
      <c r="CL3" s="935"/>
      <c r="CM3" s="935"/>
      <c r="CN3" s="935"/>
      <c r="CO3" s="935"/>
      <c r="CP3" s="935"/>
      <c r="CQ3" s="935"/>
      <c r="CR3" s="935"/>
      <c r="CS3" s="935"/>
      <c r="CT3" s="935"/>
      <c r="CU3" s="935"/>
      <c r="CV3" s="935"/>
      <c r="CW3" s="935"/>
      <c r="CX3" s="935"/>
      <c r="CY3" s="935"/>
      <c r="CZ3" s="935"/>
      <c r="DA3" s="935"/>
      <c r="DB3" s="935"/>
      <c r="DC3" s="935"/>
      <c r="DD3" s="935"/>
      <c r="DE3" s="935"/>
      <c r="DF3" s="935"/>
      <c r="DG3" s="935"/>
      <c r="DH3" s="935"/>
      <c r="DI3" s="935"/>
      <c r="DJ3" s="935"/>
      <c r="DK3" s="935"/>
      <c r="DL3" s="935"/>
      <c r="DM3" s="935"/>
      <c r="DN3" s="935"/>
      <c r="DO3" s="935"/>
      <c r="DP3" s="935"/>
      <c r="DQ3" s="935"/>
      <c r="DR3" s="935"/>
      <c r="DS3" s="935"/>
      <c r="DT3" s="935"/>
      <c r="DU3" s="935"/>
      <c r="DV3" s="935"/>
      <c r="DW3" s="935"/>
      <c r="DX3" s="935"/>
      <c r="DY3" s="935"/>
      <c r="DZ3" s="935"/>
      <c r="EA3" s="935"/>
      <c r="EB3" s="935"/>
      <c r="EC3" s="935"/>
      <c r="ED3" s="935"/>
      <c r="EE3" s="935"/>
      <c r="EF3" s="935"/>
      <c r="EG3" s="935"/>
      <c r="EH3" s="935"/>
      <c r="EI3" s="935"/>
      <c r="EJ3" s="935"/>
      <c r="EK3" s="935"/>
      <c r="EL3" s="935"/>
      <c r="EM3" s="935"/>
      <c r="EN3" s="935"/>
      <c r="EO3" s="935"/>
      <c r="EP3" s="935"/>
      <c r="EQ3" s="935"/>
      <c r="ER3" s="935"/>
      <c r="ES3" s="935"/>
      <c r="ET3" s="935"/>
      <c r="EU3" s="935"/>
      <c r="EV3" s="935"/>
      <c r="EW3" s="935"/>
      <c r="EX3" s="935"/>
      <c r="EY3" s="935"/>
      <c r="EZ3" s="935"/>
      <c r="FA3" s="935"/>
      <c r="FB3" s="935"/>
      <c r="FC3" s="935"/>
      <c r="FD3" s="935"/>
      <c r="FE3" s="935"/>
      <c r="FF3" s="935"/>
      <c r="FG3" s="935"/>
      <c r="FH3" s="935"/>
      <c r="FI3" s="935"/>
      <c r="FJ3" s="935"/>
      <c r="FK3" s="935"/>
      <c r="FL3" s="935"/>
      <c r="FM3" s="935"/>
      <c r="FN3" s="935"/>
      <c r="FO3" s="935"/>
      <c r="FP3" s="935"/>
      <c r="FQ3" s="935"/>
      <c r="FR3" s="935"/>
      <c r="FS3" s="935"/>
      <c r="FT3" s="935"/>
      <c r="FU3" s="935"/>
      <c r="FV3" s="935"/>
      <c r="FW3" s="935"/>
      <c r="GC3" s="933">
        <v>0</v>
      </c>
    </row>
    <row customHeight="1" ht="10.5">
      <c r="B4" s="938"/>
      <c r="C4" s="939"/>
      <c r="D4" s="939"/>
      <c r="E4" s="939"/>
      <c r="F4" s="939"/>
      <c r="G4" s="939"/>
      <c r="H4" s="940"/>
      <c r="I4" s="940"/>
      <c r="J4" s="940"/>
      <c r="K4" s="940"/>
      <c r="L4" s="940"/>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41"/>
      <c r="BD4" s="941"/>
      <c r="BE4" s="941"/>
      <c r="BF4" s="941"/>
      <c r="BG4" s="941"/>
      <c r="BH4" s="941"/>
      <c r="BI4" s="941"/>
      <c r="BJ4" s="941"/>
      <c r="BK4" s="941"/>
      <c r="BL4" s="941"/>
      <c r="BM4" s="941"/>
      <c r="BN4" s="941"/>
      <c r="BO4" s="941"/>
      <c r="BP4" s="941"/>
      <c r="BQ4" s="941"/>
      <c r="BR4" s="941"/>
      <c r="BS4" s="941"/>
      <c r="BT4" s="941"/>
      <c r="BU4" s="941"/>
      <c r="BV4" s="941"/>
      <c r="BW4" s="941"/>
      <c r="BX4" s="941"/>
      <c r="BY4" s="941"/>
      <c r="BZ4" s="941"/>
      <c r="CA4" s="941"/>
      <c r="CB4" s="941"/>
      <c r="CC4" s="941"/>
      <c r="CD4" s="941"/>
      <c r="CE4" s="941"/>
      <c r="CF4" s="941"/>
      <c r="CG4" s="941"/>
      <c r="CH4" s="941"/>
      <c r="CI4" s="941"/>
      <c r="CJ4" s="941"/>
      <c r="CK4" s="941"/>
      <c r="CL4" s="941"/>
      <c r="CM4" s="941"/>
      <c r="CN4" s="941"/>
      <c r="CO4" s="941"/>
      <c r="CP4" s="941"/>
      <c r="CQ4" s="941"/>
      <c r="CR4" s="941"/>
      <c r="CS4" s="941"/>
      <c r="CT4" s="941"/>
      <c r="CU4" s="941"/>
      <c r="CV4" s="941"/>
      <c r="CW4" s="941"/>
      <c r="CX4" s="941"/>
      <c r="CY4" s="941"/>
      <c r="CZ4" s="941"/>
      <c r="DA4" s="941"/>
      <c r="DB4" s="941"/>
      <c r="DC4" s="941"/>
      <c r="DD4" s="941"/>
      <c r="DE4" s="941"/>
      <c r="DF4" s="941"/>
      <c r="DG4" s="941"/>
      <c r="DH4" s="941"/>
      <c r="DI4" s="941"/>
      <c r="DJ4" s="941"/>
      <c r="DK4" s="941"/>
      <c r="DL4" s="941"/>
      <c r="DM4" s="941"/>
      <c r="DN4" s="941"/>
      <c r="DO4" s="941"/>
      <c r="DP4" s="941"/>
      <c r="DQ4" s="941"/>
      <c r="DR4" s="941"/>
      <c r="DS4" s="941"/>
      <c r="DT4" s="941"/>
      <c r="DU4" s="941"/>
      <c r="DV4" s="941"/>
      <c r="DW4" s="941"/>
      <c r="DX4" s="941"/>
      <c r="DY4" s="941"/>
      <c r="DZ4" s="941"/>
      <c r="EA4" s="941"/>
      <c r="EB4" s="941"/>
      <c r="EC4" s="941"/>
      <c r="ED4" s="941"/>
      <c r="EE4" s="941"/>
      <c r="EF4" s="941"/>
      <c r="EG4" s="941"/>
      <c r="EH4" s="941"/>
      <c r="EI4" s="941"/>
      <c r="EJ4" s="941"/>
      <c r="EK4" s="941"/>
      <c r="EL4" s="941"/>
      <c r="EM4" s="941"/>
      <c r="EN4" s="941"/>
      <c r="EO4" s="941"/>
      <c r="EP4" s="941"/>
      <c r="EQ4" s="941"/>
      <c r="ER4" s="941"/>
      <c r="ES4" s="941"/>
      <c r="ET4" s="941"/>
      <c r="EU4" s="941"/>
      <c r="EV4" s="941"/>
      <c r="EW4" s="941"/>
      <c r="EX4" s="941"/>
      <c r="EY4" s="941"/>
      <c r="EZ4" s="941"/>
      <c r="FA4" s="941"/>
      <c r="FB4" s="941"/>
      <c r="FC4" s="941"/>
      <c r="FD4" s="941"/>
      <c r="FE4" s="941"/>
      <c r="FF4" s="941"/>
      <c r="FG4" s="941"/>
      <c r="FH4" s="941"/>
      <c r="FI4" s="941"/>
      <c r="FJ4" s="941"/>
      <c r="FK4" s="941"/>
      <c r="FL4" s="941"/>
      <c r="FM4" s="941"/>
      <c r="FN4" s="941"/>
      <c r="FO4" s="941"/>
      <c r="FP4" s="941"/>
      <c r="FQ4" s="941"/>
      <c r="FR4" s="941"/>
      <c r="FS4" s="941"/>
      <c r="FT4" s="941"/>
      <c r="FU4" s="941"/>
      <c r="FV4" s="941"/>
      <c r="FW4" s="941"/>
      <c r="GC4" s="937">
        <v>10</v>
      </c>
    </row>
    <row s="1881" customFormat="1" customHeight="1" ht="27.299999999999997">
      <c r="B5" s="1880"/>
      <c r="E5" s="1882"/>
      <c r="F5" s="246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99"/>
      <c r="H5" s="2199"/>
      <c r="I5" s="2199"/>
      <c r="J5" s="2199"/>
      <c r="K5" s="2199"/>
      <c r="L5" s="2199"/>
      <c r="M5" s="2199"/>
      <c r="N5" s="2199"/>
      <c r="O5" s="2199"/>
      <c r="P5" s="2199"/>
      <c r="Q5" s="2199"/>
      <c r="R5" s="2199"/>
      <c r="S5" s="2199"/>
      <c r="T5" s="2199"/>
      <c r="U5" s="2199"/>
      <c r="V5" s="2199"/>
      <c r="W5" s="2199"/>
      <c r="X5" s="2199"/>
      <c r="Y5" s="2199"/>
      <c r="Z5" s="2199"/>
      <c r="AA5" s="2199"/>
      <c r="AB5" s="2199"/>
      <c r="AC5" s="2199"/>
      <c r="AD5" s="2199"/>
      <c r="AE5" s="2199"/>
      <c r="AF5" s="2199"/>
      <c r="AG5" s="2199"/>
      <c r="AH5" s="2199"/>
      <c r="AI5" s="2199"/>
      <c r="AJ5" s="2199"/>
      <c r="AK5" s="2199"/>
      <c r="AL5" s="2199"/>
      <c r="AM5" s="2199"/>
      <c r="AN5" s="2199"/>
      <c r="AO5" s="2199"/>
      <c r="AP5" s="2199"/>
      <c r="AQ5" s="2199"/>
      <c r="AR5" s="2199"/>
      <c r="AS5" s="2199"/>
      <c r="AT5" s="2199"/>
      <c r="AU5" s="2199"/>
      <c r="AV5" s="2199"/>
      <c r="AW5" s="2199"/>
      <c r="AX5" s="2199"/>
      <c r="AY5" s="2199"/>
      <c r="AZ5" s="2199"/>
      <c r="BA5" s="2199"/>
      <c r="BB5" s="2199"/>
      <c r="BC5" s="2199"/>
      <c r="BD5" s="2199"/>
      <c r="BE5" s="2199"/>
      <c r="BF5" s="2199"/>
      <c r="BG5" s="2199"/>
      <c r="BH5" s="2199"/>
      <c r="BI5" s="2199"/>
      <c r="BJ5" s="2199"/>
      <c r="BK5" s="2199"/>
      <c r="BL5" s="2199"/>
      <c r="BM5" s="2199"/>
      <c r="BN5" s="2199"/>
      <c r="BO5" s="2199"/>
      <c r="BP5" s="2199"/>
      <c r="BQ5" s="2199"/>
      <c r="BR5" s="2199"/>
      <c r="BS5" s="2199"/>
      <c r="GC5" s="1881">
        <v>26</v>
      </c>
    </row>
    <row s="2168" customFormat="1" customHeight="1" ht="18.75">
      <c r="B6" s="954"/>
      <c r="E6" s="956"/>
      <c r="F6" s="2244" t="str">
        <f>IF(org=0,"Не определено",org)</f>
        <v>ПАО "КГК"</v>
      </c>
      <c r="G6" s="2245"/>
      <c r="H6" s="2245"/>
      <c r="I6" s="2245"/>
      <c r="J6" s="2245"/>
      <c r="K6" s="2245"/>
      <c r="L6" s="2245"/>
      <c r="M6" s="2245"/>
      <c r="N6" s="2245"/>
      <c r="O6" s="2245"/>
      <c r="P6" s="2245"/>
      <c r="Q6" s="2245"/>
      <c r="R6" s="2245"/>
      <c r="S6" s="2245"/>
      <c r="T6" s="2245"/>
      <c r="U6" s="2245"/>
      <c r="V6" s="2245"/>
      <c r="W6" s="2245"/>
      <c r="X6" s="2245"/>
      <c r="Y6" s="2245"/>
      <c r="Z6" s="2245"/>
      <c r="AA6" s="2245"/>
      <c r="AB6" s="2245"/>
      <c r="AC6" s="2245"/>
      <c r="AD6" s="2245"/>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5"/>
      <c r="BC6" s="2245"/>
      <c r="BD6" s="2245"/>
      <c r="BE6" s="2245"/>
      <c r="BF6" s="2245"/>
      <c r="BG6" s="2245"/>
      <c r="BH6" s="2245"/>
      <c r="BI6" s="2245"/>
      <c r="BJ6" s="2245"/>
      <c r="BK6" s="2245"/>
      <c r="BL6" s="2245"/>
      <c r="BM6" s="2245"/>
      <c r="BN6" s="2245"/>
      <c r="BO6" s="2245"/>
      <c r="BP6" s="2245"/>
      <c r="BQ6" s="2245"/>
      <c r="BR6" s="2245"/>
      <c r="BS6" s="2245"/>
      <c r="GC6" s="955">
        <v>18</v>
      </c>
    </row>
    <row s="944" customFormat="1" customHeight="1" ht="10.5">
      <c r="B7" s="943"/>
      <c r="E7" s="944"/>
      <c r="F7" s="944"/>
      <c r="G7" s="946"/>
      <c r="H7" s="940"/>
      <c r="I7" s="940"/>
      <c r="J7" s="940"/>
      <c r="K7" s="940"/>
      <c r="L7" s="940"/>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GC7" s="942">
        <v>10</v>
      </c>
    </row>
    <row s="944" customFormat="1" customHeight="1" ht="11.25" hidden="1">
      <c r="B8" s="945"/>
      <c r="F8" s="1067"/>
      <c r="G8" s="774"/>
      <c r="H8" s="371"/>
      <c r="I8" s="371"/>
      <c r="J8" s="371"/>
      <c r="K8" s="371"/>
      <c r="L8" s="371"/>
      <c r="M8" s="1067"/>
      <c r="N8" s="1067"/>
      <c r="O8" s="2480" t="s">
        <v>1333</v>
      </c>
      <c r="P8" s="2481"/>
      <c r="Q8" s="2481"/>
      <c r="R8" s="2481"/>
      <c r="S8" s="2481"/>
      <c r="T8" s="2481"/>
      <c r="U8" s="2481"/>
      <c r="V8" s="2481"/>
      <c r="W8" s="2481"/>
      <c r="X8" s="2481"/>
      <c r="Y8" s="2481"/>
      <c r="Z8" s="2481"/>
      <c r="AA8" s="2481"/>
      <c r="AB8" s="2481"/>
      <c r="AC8" s="2481"/>
      <c r="AD8" s="2481"/>
      <c r="AE8" s="2481"/>
      <c r="AF8" s="2481"/>
      <c r="AG8" s="2481"/>
      <c r="AH8" s="2481"/>
      <c r="AI8" s="2481"/>
      <c r="AJ8" s="2481"/>
      <c r="AK8" s="2481"/>
      <c r="AL8" s="2481"/>
      <c r="AM8" s="2481"/>
      <c r="AN8" s="2481"/>
      <c r="AO8" s="2481"/>
      <c r="AP8" s="2481"/>
      <c r="AQ8" s="2481"/>
      <c r="AR8" s="2481"/>
      <c r="AS8" s="2481"/>
      <c r="AT8" s="2481"/>
      <c r="AU8" s="2481"/>
      <c r="AV8" s="2481"/>
      <c r="AW8" s="2481"/>
      <c r="AX8" s="2481"/>
      <c r="AY8" s="2481"/>
      <c r="AZ8" s="2481"/>
      <c r="BA8" s="2481"/>
      <c r="BB8" s="2481"/>
      <c r="BC8" s="2481"/>
      <c r="BD8" s="2481"/>
      <c r="BE8" s="2481"/>
      <c r="BF8" s="2481"/>
      <c r="BG8" s="2481"/>
      <c r="BH8" s="2481"/>
      <c r="BI8" s="2481"/>
      <c r="BJ8" s="2481"/>
      <c r="BK8" s="2481"/>
      <c r="BL8" s="2481"/>
      <c r="BM8" s="2481"/>
      <c r="BN8" s="2481"/>
      <c r="BO8" s="2481"/>
      <c r="BP8" s="2481"/>
      <c r="BQ8" s="2481"/>
      <c r="BR8" s="2481"/>
      <c r="BS8" s="2482"/>
      <c r="BT8" s="2469"/>
      <c r="BU8" s="2470"/>
      <c r="BV8" s="2470"/>
      <c r="BW8" s="2470"/>
      <c r="BX8" s="2470"/>
      <c r="BY8" s="2470"/>
      <c r="BZ8" s="2470"/>
      <c r="CA8" s="2470"/>
      <c r="CB8" s="2470"/>
      <c r="CC8" s="2470"/>
      <c r="CD8" s="2470"/>
      <c r="CE8" s="2470"/>
      <c r="CF8" s="2470"/>
      <c r="CG8" s="2470"/>
      <c r="CH8" s="2470"/>
      <c r="CI8" s="2470"/>
      <c r="CJ8" s="2470"/>
      <c r="CK8" s="2470"/>
      <c r="CL8" s="2470"/>
      <c r="CM8" s="2470"/>
      <c r="CN8" s="2470"/>
      <c r="CO8" s="2470"/>
      <c r="CP8" s="2470"/>
      <c r="CQ8" s="2470"/>
      <c r="CR8" s="2470"/>
      <c r="CS8" s="2470"/>
      <c r="CT8" s="2470"/>
      <c r="CU8" s="2470"/>
      <c r="CV8" s="2470"/>
      <c r="CW8" s="2470"/>
      <c r="CX8" s="2471"/>
      <c r="CY8" s="2472"/>
      <c r="CZ8" s="2473"/>
      <c r="DA8" s="2473"/>
      <c r="DB8" s="2473"/>
      <c r="DC8" s="2473"/>
      <c r="DD8" s="2473"/>
      <c r="DE8" s="2473"/>
      <c r="DF8" s="2473"/>
      <c r="DG8" s="2473"/>
      <c r="DH8" s="2473"/>
      <c r="DI8" s="2473"/>
      <c r="DJ8" s="2473"/>
      <c r="DK8" s="2473"/>
      <c r="DL8" s="2473"/>
      <c r="DM8" s="2473"/>
      <c r="DN8" s="2473"/>
      <c r="DO8" s="2473"/>
      <c r="DP8" s="2473"/>
      <c r="DQ8" s="2473"/>
      <c r="DR8" s="2473"/>
      <c r="DS8" s="2473"/>
      <c r="DT8" s="2473"/>
      <c r="DU8" s="2473"/>
      <c r="DV8" s="2473"/>
      <c r="DW8" s="2473"/>
      <c r="DX8" s="2474"/>
      <c r="DY8" s="2475" t="s">
        <v>1334</v>
      </c>
      <c r="DZ8" s="2476"/>
      <c r="EA8" s="2476"/>
      <c r="EB8" s="2476"/>
      <c r="EC8" s="2476"/>
      <c r="ED8" s="2476"/>
      <c r="EE8" s="2476"/>
      <c r="EF8" s="2476"/>
      <c r="EG8" s="2476"/>
      <c r="EH8" s="2476"/>
      <c r="EI8" s="2476"/>
      <c r="EJ8" s="2476"/>
      <c r="EK8" s="2476"/>
      <c r="EL8" s="2476"/>
      <c r="EM8" s="2476"/>
      <c r="EN8" s="2476"/>
      <c r="EO8" s="2476"/>
      <c r="EP8" s="2476"/>
      <c r="EQ8" s="2476"/>
      <c r="ER8" s="2476"/>
      <c r="ES8" s="2476"/>
      <c r="ET8" s="2476"/>
      <c r="EU8" s="2476"/>
      <c r="EV8" s="2476"/>
      <c r="EW8" s="2476"/>
      <c r="EX8" s="2476"/>
      <c r="EY8" s="2476"/>
      <c r="EZ8" s="2476"/>
      <c r="FA8" s="2476"/>
      <c r="FB8" s="2476"/>
      <c r="FC8" s="2476"/>
      <c r="FD8" s="2476"/>
      <c r="FE8" s="2476"/>
      <c r="FF8" s="2476"/>
      <c r="FG8" s="2476"/>
      <c r="FH8" s="2476"/>
      <c r="FI8" s="2476"/>
      <c r="FJ8" s="2476"/>
      <c r="FK8" s="2476"/>
      <c r="FL8" s="2476"/>
      <c r="FM8" s="2476"/>
      <c r="FN8" s="2476"/>
      <c r="FO8" s="2476"/>
      <c r="FP8" s="2476"/>
      <c r="FQ8" s="2476"/>
      <c r="FR8" s="2476"/>
      <c r="FS8" s="2476"/>
      <c r="FT8" s="2476"/>
      <c r="FU8" s="2476"/>
      <c r="FV8" s="2476"/>
      <c r="FW8" s="2477"/>
      <c r="FX8" s="1067"/>
      <c r="GC8" s="944">
        <v>0</v>
      </c>
    </row>
    <row s="944" customFormat="1" customHeight="1" ht="11.25" hidden="1">
      <c r="B9" s="945"/>
      <c r="F9" s="1067"/>
      <c r="G9" s="774"/>
      <c r="H9" s="371"/>
      <c r="I9" s="371"/>
      <c r="J9" s="371"/>
      <c r="K9" s="371"/>
      <c r="L9" s="371"/>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1067"/>
      <c r="AJ9" s="1067"/>
      <c r="AK9" s="1067"/>
      <c r="AL9" s="1067"/>
      <c r="AM9" s="1067"/>
      <c r="AN9" s="1067"/>
      <c r="AO9" s="1067"/>
      <c r="AP9" s="1067"/>
      <c r="AQ9" s="1067"/>
      <c r="AR9" s="1067"/>
      <c r="AS9" s="1067"/>
      <c r="AT9" s="1067"/>
      <c r="AU9" s="1067"/>
      <c r="AV9" s="1067"/>
      <c r="AW9" s="1067"/>
      <c r="AX9" s="1067"/>
      <c r="AY9" s="1067"/>
      <c r="AZ9" s="1067"/>
      <c r="BA9" s="1067"/>
      <c r="BB9" s="1067"/>
      <c r="BC9" s="1067"/>
      <c r="BD9" s="1067"/>
      <c r="BE9" s="1067"/>
      <c r="BF9" s="1067"/>
      <c r="BG9" s="1067"/>
      <c r="BH9" s="1067"/>
      <c r="BI9" s="1067"/>
      <c r="BJ9" s="1067"/>
      <c r="BK9" s="1067"/>
      <c r="BL9" s="1067"/>
      <c r="BM9" s="1067"/>
      <c r="BN9" s="1067"/>
      <c r="BO9" s="1067"/>
      <c r="BP9" s="1067"/>
      <c r="BQ9" s="1067"/>
      <c r="BR9" s="1067"/>
      <c r="BS9" s="1067"/>
      <c r="BT9" s="1067"/>
      <c r="BU9" s="1067"/>
      <c r="BV9" s="1067"/>
      <c r="BW9" s="1067"/>
      <c r="BX9" s="1067"/>
      <c r="BY9" s="1067"/>
      <c r="BZ9" s="1067"/>
      <c r="CA9" s="1067"/>
      <c r="CB9" s="1067"/>
      <c r="CC9" s="1067"/>
      <c r="CD9" s="1067"/>
      <c r="CE9" s="1067"/>
      <c r="CF9" s="1067"/>
      <c r="CG9" s="1067"/>
      <c r="CH9" s="1067"/>
      <c r="CI9" s="1067"/>
      <c r="CJ9" s="1067"/>
      <c r="CK9" s="1067"/>
      <c r="CL9" s="1067"/>
      <c r="CM9" s="1067"/>
      <c r="CN9" s="1067"/>
      <c r="CO9" s="1067"/>
      <c r="CP9" s="1067"/>
      <c r="CQ9" s="1067"/>
      <c r="CR9" s="1067"/>
      <c r="CS9" s="1067"/>
      <c r="CT9" s="1067"/>
      <c r="CU9" s="1067"/>
      <c r="CV9" s="1067"/>
      <c r="CW9" s="1067"/>
      <c r="CX9" s="1067"/>
      <c r="CY9" s="1067"/>
      <c r="CZ9" s="1067"/>
      <c r="DA9" s="1067"/>
      <c r="DB9" s="1067"/>
      <c r="DC9" s="1067"/>
      <c r="DD9" s="1067"/>
      <c r="DE9" s="1067"/>
      <c r="DF9" s="1067"/>
      <c r="DG9" s="1067"/>
      <c r="DH9" s="1067"/>
      <c r="DI9" s="1067"/>
      <c r="DJ9" s="1067"/>
      <c r="DK9" s="1067"/>
      <c r="DL9" s="1067"/>
      <c r="DM9" s="1067"/>
      <c r="DN9" s="1067"/>
      <c r="DO9" s="1067"/>
      <c r="DP9" s="1067"/>
      <c r="DQ9" s="1067"/>
      <c r="DR9" s="1067"/>
      <c r="DS9" s="1067"/>
      <c r="DT9" s="1067"/>
      <c r="DU9" s="1067"/>
      <c r="DV9" s="1067"/>
      <c r="DW9" s="1067"/>
      <c r="DX9" s="1067"/>
      <c r="DY9" s="1067"/>
      <c r="DZ9" s="1067"/>
      <c r="EA9" s="1067"/>
      <c r="EB9" s="1067"/>
      <c r="EC9" s="1067"/>
      <c r="ED9" s="1067"/>
      <c r="EE9" s="1067"/>
      <c r="EF9" s="1067"/>
      <c r="EG9" s="1067"/>
      <c r="EH9" s="1067"/>
      <c r="EI9" s="1067"/>
      <c r="EJ9" s="1067"/>
      <c r="EK9" s="1067"/>
      <c r="EL9" s="1067"/>
      <c r="EM9" s="1067"/>
      <c r="EN9" s="1067"/>
      <c r="EO9" s="1067"/>
      <c r="EP9" s="1067"/>
      <c r="EQ9" s="1067"/>
      <c r="ER9" s="1067"/>
      <c r="ES9" s="1067"/>
      <c r="ET9" s="1067"/>
      <c r="EU9" s="1067"/>
      <c r="EV9" s="1067"/>
      <c r="EW9" s="1067"/>
      <c r="EX9" s="1067"/>
      <c r="EY9" s="1067"/>
      <c r="EZ9" s="1067"/>
      <c r="FA9" s="1067"/>
      <c r="FB9" s="1067"/>
      <c r="FC9" s="1067"/>
      <c r="FD9" s="1067"/>
      <c r="FE9" s="1067"/>
      <c r="FF9" s="1067"/>
      <c r="FG9" s="1067"/>
      <c r="FH9" s="1067"/>
      <c r="FI9" s="1067"/>
      <c r="FJ9" s="1067"/>
      <c r="FK9" s="1067"/>
      <c r="FL9" s="1067"/>
      <c r="FM9" s="1067"/>
      <c r="FN9" s="1067"/>
      <c r="FO9" s="1067"/>
      <c r="FP9" s="1067"/>
      <c r="FQ9" s="1067"/>
      <c r="FR9" s="1067"/>
      <c r="FS9" s="1067"/>
      <c r="FT9" s="1067"/>
      <c r="FU9" s="1067"/>
      <c r="FV9" s="1067"/>
      <c r="FW9" s="2478"/>
      <c r="FX9" s="1067"/>
      <c r="GC9" s="944">
        <v>0</v>
      </c>
    </row>
    <row s="944" customFormat="1" customHeight="1" ht="11.549999999999999">
      <c r="B10" s="945"/>
      <c r="F10" s="2459" t="s">
        <v>314</v>
      </c>
      <c r="G10" s="2460"/>
      <c r="H10" s="2460"/>
      <c r="I10" s="2460"/>
      <c r="J10" s="2460"/>
      <c r="K10" s="2460"/>
      <c r="L10" s="2460"/>
      <c r="M10" s="2460"/>
      <c r="N10" s="2460"/>
      <c r="O10" s="2460"/>
      <c r="P10" s="2460"/>
      <c r="Q10" s="2460"/>
      <c r="R10" s="2460"/>
      <c r="S10" s="2460"/>
      <c r="T10" s="2460"/>
      <c r="U10" s="2460"/>
      <c r="V10" s="2460"/>
      <c r="W10" s="2460"/>
      <c r="X10" s="2460"/>
      <c r="Y10" s="2460"/>
      <c r="Z10" s="2460"/>
      <c r="AA10" s="2460"/>
      <c r="AB10" s="2460"/>
      <c r="AC10" s="2460"/>
      <c r="AD10" s="2460"/>
      <c r="AE10" s="2460"/>
      <c r="AF10" s="2460"/>
      <c r="AG10" s="2460"/>
      <c r="AH10" s="2460"/>
      <c r="AI10" s="2460"/>
      <c r="AJ10" s="2460"/>
      <c r="AK10" s="2460"/>
      <c r="AL10" s="2460"/>
      <c r="AM10" s="2460"/>
      <c r="AN10" s="2460"/>
      <c r="AO10" s="2460"/>
      <c r="AP10" s="2460"/>
      <c r="AQ10" s="2460"/>
      <c r="AR10" s="2460"/>
      <c r="AS10" s="2460"/>
      <c r="AT10" s="2460"/>
      <c r="AU10" s="2460"/>
      <c r="AV10" s="2460"/>
      <c r="AW10" s="2460"/>
      <c r="AX10" s="2460"/>
      <c r="AY10" s="2460"/>
      <c r="AZ10" s="2460"/>
      <c r="BA10" s="2460"/>
      <c r="BB10" s="2460"/>
      <c r="BC10" s="2460"/>
      <c r="BD10" s="2460"/>
      <c r="BE10" s="2460"/>
      <c r="BF10" s="2460"/>
      <c r="BG10" s="2460"/>
      <c r="BH10" s="2460"/>
      <c r="BI10" s="2460"/>
      <c r="BJ10" s="2460"/>
      <c r="BK10" s="2460"/>
      <c r="BL10" s="2460"/>
      <c r="BM10" s="2460"/>
      <c r="BN10" s="2460"/>
      <c r="BO10" s="2460"/>
      <c r="BP10" s="2460"/>
      <c r="BQ10" s="2460"/>
      <c r="BR10" s="2460"/>
      <c r="BS10" s="2460"/>
      <c r="BT10" s="2460"/>
      <c r="BU10" s="2460"/>
      <c r="BV10" s="2460"/>
      <c r="BW10" s="2460"/>
      <c r="BX10" s="2460"/>
      <c r="BY10" s="2460"/>
      <c r="BZ10" s="2460"/>
      <c r="CA10" s="2460"/>
      <c r="CB10" s="2460"/>
      <c r="CC10" s="2460"/>
      <c r="CD10" s="2460"/>
      <c r="CE10" s="2460"/>
      <c r="CF10" s="2460"/>
      <c r="CG10" s="2460"/>
      <c r="CH10" s="2460"/>
      <c r="CI10" s="2460"/>
      <c r="CJ10" s="2460"/>
      <c r="CK10" s="2460"/>
      <c r="CL10" s="2460"/>
      <c r="CM10" s="2460"/>
      <c r="CN10" s="2460"/>
      <c r="CO10" s="2460"/>
      <c r="CP10" s="2460"/>
      <c r="CQ10" s="2460"/>
      <c r="CR10" s="2460"/>
      <c r="CS10" s="2460"/>
      <c r="CT10" s="2460"/>
      <c r="CU10" s="2460"/>
      <c r="CV10" s="2460"/>
      <c r="CW10" s="2460"/>
      <c r="CX10" s="2460"/>
      <c r="CY10" s="2460"/>
      <c r="CZ10" s="2460"/>
      <c r="DA10" s="2460"/>
      <c r="DB10" s="2460"/>
      <c r="DC10" s="2460"/>
      <c r="DD10" s="2460"/>
      <c r="DE10" s="2460"/>
      <c r="DF10" s="2460"/>
      <c r="DG10" s="2460"/>
      <c r="DH10" s="2460"/>
      <c r="DI10" s="2460"/>
      <c r="DJ10" s="2460"/>
      <c r="DK10" s="2460"/>
      <c r="DL10" s="2460"/>
      <c r="DM10" s="2460"/>
      <c r="DN10" s="2460"/>
      <c r="DO10" s="2460"/>
      <c r="DP10" s="2460"/>
      <c r="DQ10" s="2460"/>
      <c r="DR10" s="2460"/>
      <c r="DS10" s="2460"/>
      <c r="DT10" s="2460"/>
      <c r="DU10" s="2460"/>
      <c r="DV10" s="2460"/>
      <c r="DW10" s="2460"/>
      <c r="DX10" s="2460"/>
      <c r="DY10" s="2460"/>
      <c r="DZ10" s="2460"/>
      <c r="EA10" s="2460"/>
      <c r="EB10" s="2460"/>
      <c r="EC10" s="2460"/>
      <c r="ED10" s="2460"/>
      <c r="EE10" s="2460"/>
      <c r="EF10" s="2460"/>
      <c r="EG10" s="2460"/>
      <c r="EH10" s="2460"/>
      <c r="EI10" s="2460"/>
      <c r="EJ10" s="2460"/>
      <c r="EK10" s="2460"/>
      <c r="EL10" s="2460"/>
      <c r="EM10" s="2460"/>
      <c r="EN10" s="2460"/>
      <c r="EO10" s="2460"/>
      <c r="EP10" s="2460"/>
      <c r="EQ10" s="2460"/>
      <c r="ER10" s="2460"/>
      <c r="ES10" s="2460"/>
      <c r="ET10" s="2460"/>
      <c r="EU10" s="2460"/>
      <c r="EV10" s="2460"/>
      <c r="EW10" s="2460"/>
      <c r="EX10" s="2460"/>
      <c r="EY10" s="2460"/>
      <c r="EZ10" s="2460"/>
      <c r="FA10" s="2460"/>
      <c r="FB10" s="2460"/>
      <c r="FC10" s="2460"/>
      <c r="FD10" s="2460"/>
      <c r="FE10" s="2460"/>
      <c r="FF10" s="2460"/>
      <c r="FG10" s="2460"/>
      <c r="FH10" s="2460"/>
      <c r="FI10" s="2460"/>
      <c r="FJ10" s="2460"/>
      <c r="FK10" s="2460"/>
      <c r="FL10" s="2460"/>
      <c r="FM10" s="2460"/>
      <c r="FN10" s="2460"/>
      <c r="FO10" s="2460"/>
      <c r="FP10" s="2460"/>
      <c r="FQ10" s="2460"/>
      <c r="FR10" s="2460"/>
      <c r="FS10" s="2460"/>
      <c r="FT10" s="2460"/>
      <c r="FU10" s="2460"/>
      <c r="FV10" s="2461"/>
      <c r="FW10" s="2478"/>
      <c r="FX10" s="1067"/>
      <c r="GC10" s="944">
        <v>11</v>
      </c>
    </row>
    <row customHeight="1" ht="12.75">
      <c r="E11" s="948"/>
      <c r="F11" s="2235" t="s">
        <v>89</v>
      </c>
      <c r="G11" s="2235" t="s">
        <v>1335</v>
      </c>
      <c r="H11" s="2467" t="s">
        <v>1336</v>
      </c>
      <c r="I11" s="2467" t="s">
        <v>1337</v>
      </c>
      <c r="J11" s="2468"/>
      <c r="K11" s="2468"/>
      <c r="L11" s="2468"/>
      <c r="M11" s="2468"/>
      <c r="N11" s="2468"/>
      <c r="O11" s="2239" t="s">
        <v>1338</v>
      </c>
      <c r="P11" s="2239"/>
      <c r="Q11" s="2239"/>
      <c r="R11" s="2239"/>
      <c r="S11" s="2239"/>
      <c r="T11" s="2239"/>
      <c r="U11" s="2239"/>
      <c r="V11" s="2239"/>
      <c r="W11" s="2239"/>
      <c r="X11" s="2239"/>
      <c r="Y11" s="2239"/>
      <c r="Z11" s="2239"/>
      <c r="AA11" s="2239"/>
      <c r="AB11" s="2239"/>
      <c r="AC11" s="2464"/>
      <c r="AD11" s="2464"/>
      <c r="AE11" s="2464"/>
      <c r="AF11" s="2464"/>
      <c r="AG11" s="2464"/>
      <c r="AH11" s="2464"/>
      <c r="AI11" s="2464"/>
      <c r="AJ11" s="2464"/>
      <c r="AK11" s="2464"/>
      <c r="AL11" s="2464"/>
      <c r="AM11" s="2464"/>
      <c r="AN11" s="2464"/>
      <c r="AO11" s="2464"/>
      <c r="AP11" s="2464"/>
      <c r="AQ11" s="2464"/>
      <c r="AR11" s="2464"/>
      <c r="AS11" s="2464"/>
      <c r="AT11" s="2464"/>
      <c r="AU11" s="2464"/>
      <c r="AV11" s="2464"/>
      <c r="AW11" s="2464"/>
      <c r="AX11" s="2464"/>
      <c r="AY11" s="2464"/>
      <c r="AZ11" s="2464"/>
      <c r="BA11" s="2464"/>
      <c r="BB11" s="2464"/>
      <c r="BC11" s="2464"/>
      <c r="BD11" s="2464"/>
      <c r="BE11" s="2464"/>
      <c r="BF11" s="2464"/>
      <c r="BG11" s="2464"/>
      <c r="BH11" s="2464"/>
      <c r="BI11" s="2464"/>
      <c r="BJ11" s="2464"/>
      <c r="BK11" s="2464"/>
      <c r="BL11" s="2464"/>
      <c r="BM11" s="2464"/>
      <c r="BN11" s="2464"/>
      <c r="BO11" s="2464"/>
      <c r="BP11" s="2464"/>
      <c r="BQ11" s="2464"/>
      <c r="BR11" s="2464"/>
      <c r="BS11" s="2483"/>
      <c r="BT11" s="2416" t="s">
        <v>1338</v>
      </c>
      <c r="BU11" s="2417"/>
      <c r="BV11" s="2417"/>
      <c r="BW11" s="2417"/>
      <c r="BX11" s="2417"/>
      <c r="BY11" s="2417"/>
      <c r="BZ11" s="2417"/>
      <c r="CA11" s="2417"/>
      <c r="CB11" s="2417"/>
      <c r="CC11" s="2417"/>
      <c r="CD11" s="2417"/>
      <c r="CE11" s="2417"/>
      <c r="CF11" s="2417"/>
      <c r="CG11" s="2417"/>
      <c r="CH11" s="2417"/>
      <c r="CI11" s="2417"/>
      <c r="CJ11" s="2417"/>
      <c r="CK11" s="2463"/>
      <c r="CL11" s="2466"/>
      <c r="CM11" s="2464"/>
      <c r="CN11" s="2464"/>
      <c r="CO11" s="2464"/>
      <c r="CP11" s="2464"/>
      <c r="CQ11" s="2464"/>
      <c r="CR11" s="2464"/>
      <c r="CS11" s="2464"/>
      <c r="CT11" s="2464"/>
      <c r="CU11" s="2464"/>
      <c r="CV11" s="2464"/>
      <c r="CW11" s="2464"/>
      <c r="CX11" s="2483"/>
      <c r="CY11" s="2416" t="s">
        <v>1338</v>
      </c>
      <c r="CZ11" s="2417"/>
      <c r="DA11" s="2417"/>
      <c r="DB11" s="2417"/>
      <c r="DC11" s="2417"/>
      <c r="DD11" s="2417"/>
      <c r="DE11" s="2417"/>
      <c r="DF11" s="2417"/>
      <c r="DG11" s="2417"/>
      <c r="DH11" s="2417"/>
      <c r="DI11" s="2417"/>
      <c r="DJ11" s="2463"/>
      <c r="DK11" s="2466"/>
      <c r="DL11" s="2464"/>
      <c r="DM11" s="2464"/>
      <c r="DN11" s="2464"/>
      <c r="DO11" s="2464"/>
      <c r="DP11" s="2464"/>
      <c r="DQ11" s="2464"/>
      <c r="DR11" s="2464"/>
      <c r="DS11" s="2464"/>
      <c r="DT11" s="2464"/>
      <c r="DU11" s="2464"/>
      <c r="DV11" s="2464"/>
      <c r="DW11" s="2464"/>
      <c r="DX11" s="2464"/>
      <c r="DY11" s="2464"/>
      <c r="DZ11" s="2464"/>
      <c r="EA11" s="2464"/>
      <c r="EB11" s="2464"/>
      <c r="EC11" s="2464"/>
      <c r="ED11" s="2464"/>
      <c r="EE11" s="2464"/>
      <c r="EF11" s="2464"/>
      <c r="EG11" s="2464"/>
      <c r="EH11" s="2464"/>
      <c r="EI11" s="2464"/>
      <c r="EJ11" s="2464"/>
      <c r="EK11" s="2464"/>
      <c r="EL11" s="2464"/>
      <c r="EM11" s="2464"/>
      <c r="EN11" s="2464"/>
      <c r="EO11" s="2464"/>
      <c r="EP11" s="2464"/>
      <c r="EQ11" s="2464"/>
      <c r="ER11" s="2464"/>
      <c r="ES11" s="2464"/>
      <c r="ET11" s="2464"/>
      <c r="EU11" s="2464"/>
      <c r="EV11" s="2464"/>
      <c r="EW11" s="2464"/>
      <c r="EX11" s="2464"/>
      <c r="EY11" s="2464"/>
      <c r="EZ11" s="2464"/>
      <c r="FA11" s="2464"/>
      <c r="FB11" s="2464"/>
      <c r="FC11" s="2464"/>
      <c r="FD11" s="2464"/>
      <c r="FE11" s="2464"/>
      <c r="FF11" s="2464"/>
      <c r="FG11" s="2464"/>
      <c r="FH11" s="2464"/>
      <c r="FI11" s="2464"/>
      <c r="FJ11" s="2464"/>
      <c r="FK11" s="2464"/>
      <c r="FL11" s="2464"/>
      <c r="FM11" s="2464"/>
      <c r="FN11" s="2464"/>
      <c r="FO11" s="2464"/>
      <c r="FP11" s="2464"/>
      <c r="FQ11" s="2464"/>
      <c r="FR11" s="2464"/>
      <c r="FS11" s="2464"/>
      <c r="FT11" s="2464"/>
      <c r="FU11" s="2464"/>
      <c r="FV11" s="2464"/>
      <c r="FW11" s="2478"/>
      <c r="FX11" s="773"/>
      <c r="GC11" s="937">
        <v>12</v>
      </c>
    </row>
    <row customHeight="1" ht="12.75">
      <c r="D12" s="949"/>
      <c r="E12" s="948"/>
      <c r="F12" s="2235"/>
      <c r="G12" s="2235"/>
      <c r="H12" s="2467"/>
      <c r="I12" s="2467"/>
      <c r="J12" s="2468"/>
      <c r="K12" s="2468"/>
      <c r="L12" s="2468"/>
      <c r="M12" s="2468"/>
      <c r="N12" s="2468"/>
      <c r="O12" s="2239" t="s">
        <v>1339</v>
      </c>
      <c r="P12" s="2239"/>
      <c r="Q12" s="2239"/>
      <c r="R12" s="2239"/>
      <c r="S12" s="2239" t="s">
        <v>1340</v>
      </c>
      <c r="T12" s="2239"/>
      <c r="U12" s="2239"/>
      <c r="V12" s="2239"/>
      <c r="W12" s="2239"/>
      <c r="X12" s="2239"/>
      <c r="Y12" s="2239"/>
      <c r="Z12" s="2239"/>
      <c r="AA12" s="2239"/>
      <c r="AB12" s="2239"/>
      <c r="AC12" s="2464"/>
      <c r="AD12" s="2464"/>
      <c r="AE12" s="2464"/>
      <c r="AF12" s="2464"/>
      <c r="AG12" s="2464"/>
      <c r="AH12" s="2464"/>
      <c r="AI12" s="2464"/>
      <c r="AJ12" s="2464"/>
      <c r="AK12" s="2464"/>
      <c r="AL12" s="2464"/>
      <c r="AM12" s="2464"/>
      <c r="AN12" s="2464"/>
      <c r="AO12" s="2464"/>
      <c r="AP12" s="2464"/>
      <c r="AQ12" s="2464"/>
      <c r="AR12" s="2464"/>
      <c r="AS12" s="2464"/>
      <c r="AT12" s="2464"/>
      <c r="AU12" s="2464"/>
      <c r="AV12" s="2464"/>
      <c r="AW12" s="2464"/>
      <c r="AX12" s="2464"/>
      <c r="AY12" s="2464"/>
      <c r="AZ12" s="2464"/>
      <c r="BA12" s="2464"/>
      <c r="BB12" s="2464"/>
      <c r="BC12" s="2464"/>
      <c r="BD12" s="2464"/>
      <c r="BE12" s="2464"/>
      <c r="BF12" s="2464"/>
      <c r="BG12" s="2464"/>
      <c r="BH12" s="2464"/>
      <c r="BI12" s="2464"/>
      <c r="BJ12" s="2464"/>
      <c r="BK12" s="2464"/>
      <c r="BL12" s="2464"/>
      <c r="BM12" s="2464"/>
      <c r="BN12" s="2464"/>
      <c r="BO12" s="2464"/>
      <c r="BP12" s="2464"/>
      <c r="BQ12" s="2464"/>
      <c r="BR12" s="2464"/>
      <c r="BS12" s="2483"/>
      <c r="BT12" s="2416" t="s">
        <v>1341</v>
      </c>
      <c r="BU12" s="2417"/>
      <c r="BV12" s="2417"/>
      <c r="BW12" s="2463"/>
      <c r="BX12" s="2416" t="s">
        <v>1342</v>
      </c>
      <c r="BY12" s="2417"/>
      <c r="BZ12" s="2417"/>
      <c r="CA12" s="2463"/>
      <c r="CB12" s="2416" t="s">
        <v>1343</v>
      </c>
      <c r="CC12" s="2463"/>
      <c r="CD12" s="2416" t="s">
        <v>1344</v>
      </c>
      <c r="CE12" s="2417"/>
      <c r="CF12" s="2417"/>
      <c r="CG12" s="2417"/>
      <c r="CH12" s="2417"/>
      <c r="CI12" s="2417"/>
      <c r="CJ12" s="2417"/>
      <c r="CK12" s="2463"/>
      <c r="CL12" s="2466"/>
      <c r="CM12" s="2464"/>
      <c r="CN12" s="2464"/>
      <c r="CO12" s="2464"/>
      <c r="CP12" s="2464"/>
      <c r="CQ12" s="2464"/>
      <c r="CR12" s="2464"/>
      <c r="CS12" s="2464"/>
      <c r="CT12" s="2464"/>
      <c r="CU12" s="2464"/>
      <c r="CV12" s="2464"/>
      <c r="CW12" s="2464"/>
      <c r="CX12" s="2483"/>
      <c r="CY12" s="2416" t="s">
        <v>1345</v>
      </c>
      <c r="CZ12" s="2417"/>
      <c r="DA12" s="2417"/>
      <c r="DB12" s="2417"/>
      <c r="DC12" s="2417"/>
      <c r="DD12" s="2463"/>
      <c r="DE12" s="2416" t="s">
        <v>1346</v>
      </c>
      <c r="DF12" s="2463"/>
      <c r="DG12" s="2416" t="s">
        <v>1344</v>
      </c>
      <c r="DH12" s="2417"/>
      <c r="DI12" s="2417"/>
      <c r="DJ12" s="2463"/>
      <c r="DK12" s="2466"/>
      <c r="DL12" s="2464"/>
      <c r="DM12" s="2464"/>
      <c r="DN12" s="2464"/>
      <c r="DO12" s="2464"/>
      <c r="DP12" s="2464"/>
      <c r="DQ12" s="2464"/>
      <c r="DR12" s="2464"/>
      <c r="DS12" s="2464"/>
      <c r="DT12" s="2464"/>
      <c r="DU12" s="2464"/>
      <c r="DV12" s="2464"/>
      <c r="DW12" s="2464"/>
      <c r="DX12" s="2464"/>
      <c r="DY12" s="2464"/>
      <c r="DZ12" s="2464"/>
      <c r="EA12" s="2464"/>
      <c r="EB12" s="2464"/>
      <c r="EC12" s="2464"/>
      <c r="ED12" s="2464"/>
      <c r="EE12" s="2464"/>
      <c r="EF12" s="2464"/>
      <c r="EG12" s="2464"/>
      <c r="EH12" s="2464"/>
      <c r="EI12" s="2464"/>
      <c r="EJ12" s="2464"/>
      <c r="EK12" s="2464"/>
      <c r="EL12" s="2464"/>
      <c r="EM12" s="2464"/>
      <c r="EN12" s="2464"/>
      <c r="EO12" s="2464"/>
      <c r="EP12" s="2464"/>
      <c r="EQ12" s="2464"/>
      <c r="ER12" s="2464"/>
      <c r="ES12" s="2464"/>
      <c r="ET12" s="2464"/>
      <c r="EU12" s="2464"/>
      <c r="EV12" s="2464"/>
      <c r="EW12" s="2464"/>
      <c r="EX12" s="2464"/>
      <c r="EY12" s="2464"/>
      <c r="EZ12" s="2464"/>
      <c r="FA12" s="2464"/>
      <c r="FB12" s="2464"/>
      <c r="FC12" s="2464"/>
      <c r="FD12" s="2464"/>
      <c r="FE12" s="2464"/>
      <c r="FF12" s="2464"/>
      <c r="FG12" s="2464"/>
      <c r="FH12" s="2464"/>
      <c r="FI12" s="2464"/>
      <c r="FJ12" s="2464"/>
      <c r="FK12" s="2464"/>
      <c r="FL12" s="2464"/>
      <c r="FM12" s="2464"/>
      <c r="FN12" s="2464"/>
      <c r="FO12" s="2464"/>
      <c r="FP12" s="2464"/>
      <c r="FQ12" s="2464"/>
      <c r="FR12" s="2464"/>
      <c r="FS12" s="2464"/>
      <c r="FT12" s="2464"/>
      <c r="FU12" s="2464"/>
      <c r="FV12" s="2464"/>
      <c r="FW12" s="2478"/>
      <c r="FX12" s="773"/>
      <c r="GC12" s="937">
        <v>12</v>
      </c>
    </row>
    <row customHeight="1" ht="37.8">
      <c r="D13" s="949"/>
      <c r="E13" s="948"/>
      <c r="F13" s="2235"/>
      <c r="G13" s="2235"/>
      <c r="H13" s="2467"/>
      <c r="I13" s="2467"/>
      <c r="J13" s="2468"/>
      <c r="K13" s="2468"/>
      <c r="L13" s="2468"/>
      <c r="M13" s="2468"/>
      <c r="N13" s="2468"/>
      <c r="O13" s="2239" t="s">
        <v>1347</v>
      </c>
      <c r="P13" s="2239"/>
      <c r="Q13" s="2239"/>
      <c r="R13" s="2239"/>
      <c r="S13" s="2366" t="s">
        <v>1348</v>
      </c>
      <c r="T13" s="2418"/>
      <c r="U13" s="2157" t="s">
        <v>1349</v>
      </c>
      <c r="V13" s="2157"/>
      <c r="W13" s="2157"/>
      <c r="X13" s="2157"/>
      <c r="Y13" s="2157" t="s">
        <v>1350</v>
      </c>
      <c r="Z13" s="2157"/>
      <c r="AA13" s="2157"/>
      <c r="AB13" s="2157"/>
      <c r="AC13" s="2464"/>
      <c r="AD13" s="2464"/>
      <c r="AE13" s="2464"/>
      <c r="AF13" s="2464"/>
      <c r="AG13" s="2464"/>
      <c r="AH13" s="2464"/>
      <c r="AI13" s="2464"/>
      <c r="AJ13" s="2464"/>
      <c r="AK13" s="2464"/>
      <c r="AL13" s="2464"/>
      <c r="AM13" s="2464"/>
      <c r="AN13" s="2464"/>
      <c r="AO13" s="2464"/>
      <c r="AP13" s="2464"/>
      <c r="AQ13" s="2464"/>
      <c r="AR13" s="2464"/>
      <c r="AS13" s="2464"/>
      <c r="AT13" s="2464"/>
      <c r="AU13" s="2464"/>
      <c r="AV13" s="2464"/>
      <c r="AW13" s="2464"/>
      <c r="AX13" s="2464"/>
      <c r="AY13" s="2464"/>
      <c r="AZ13" s="2464"/>
      <c r="BA13" s="2464"/>
      <c r="BB13" s="2464"/>
      <c r="BC13" s="2464"/>
      <c r="BD13" s="2464"/>
      <c r="BE13" s="2464"/>
      <c r="BF13" s="2464"/>
      <c r="BG13" s="2464"/>
      <c r="BH13" s="2464"/>
      <c r="BI13" s="2464"/>
      <c r="BJ13" s="2464"/>
      <c r="BK13" s="2464"/>
      <c r="BL13" s="2464"/>
      <c r="BM13" s="2464"/>
      <c r="BN13" s="2464"/>
      <c r="BO13" s="2464"/>
      <c r="BP13" s="2464"/>
      <c r="BQ13" s="2464"/>
      <c r="BR13" s="2464"/>
      <c r="BS13" s="2483"/>
      <c r="BT13" s="2366" t="s">
        <v>1351</v>
      </c>
      <c r="BU13" s="2418"/>
      <c r="BV13" s="2366" t="s">
        <v>1352</v>
      </c>
      <c r="BW13" s="2418"/>
      <c r="BX13" s="2366" t="s">
        <v>1353</v>
      </c>
      <c r="BY13" s="2418"/>
      <c r="BZ13" s="2366" t="s">
        <v>1354</v>
      </c>
      <c r="CA13" s="2418"/>
      <c r="CB13" s="2366" t="s">
        <v>1355</v>
      </c>
      <c r="CC13" s="2418"/>
      <c r="CD13" s="2366" t="s">
        <v>1356</v>
      </c>
      <c r="CE13" s="2418"/>
      <c r="CF13" s="2366" t="s">
        <v>1357</v>
      </c>
      <c r="CG13" s="2418"/>
      <c r="CH13" s="2416" t="s">
        <v>1358</v>
      </c>
      <c r="CI13" s="2417"/>
      <c r="CJ13" s="2417"/>
      <c r="CK13" s="2463"/>
      <c r="CL13" s="2466"/>
      <c r="CM13" s="2464"/>
      <c r="CN13" s="2464"/>
      <c r="CO13" s="2464"/>
      <c r="CP13" s="2464"/>
      <c r="CQ13" s="2464"/>
      <c r="CR13" s="2464"/>
      <c r="CS13" s="2464"/>
      <c r="CT13" s="2464"/>
      <c r="CU13" s="2464"/>
      <c r="CV13" s="2464"/>
      <c r="CW13" s="2464"/>
      <c r="CX13" s="2483"/>
      <c r="CY13" s="2366" t="s">
        <v>1359</v>
      </c>
      <c r="CZ13" s="2418"/>
      <c r="DA13" s="2366" t="s">
        <v>1360</v>
      </c>
      <c r="DB13" s="2418"/>
      <c r="DC13" s="2366" t="s">
        <v>1361</v>
      </c>
      <c r="DD13" s="2418"/>
      <c r="DE13" s="2366" t="s">
        <v>1362</v>
      </c>
      <c r="DF13" s="2418"/>
      <c r="DG13" s="2416" t="s">
        <v>1363</v>
      </c>
      <c r="DH13" s="2417"/>
      <c r="DI13" s="2417"/>
      <c r="DJ13" s="2463"/>
      <c r="DK13" s="2466"/>
      <c r="DL13" s="2464"/>
      <c r="DM13" s="2464"/>
      <c r="DN13" s="2464"/>
      <c r="DO13" s="2464"/>
      <c r="DP13" s="2464"/>
      <c r="DQ13" s="2464"/>
      <c r="DR13" s="2464"/>
      <c r="DS13" s="2464"/>
      <c r="DT13" s="2464"/>
      <c r="DU13" s="2464"/>
      <c r="DV13" s="2464"/>
      <c r="DW13" s="2464"/>
      <c r="DX13" s="2464"/>
      <c r="DY13" s="2464"/>
      <c r="DZ13" s="2464"/>
      <c r="EA13" s="2464"/>
      <c r="EB13" s="2464"/>
      <c r="EC13" s="2464"/>
      <c r="ED13" s="2464"/>
      <c r="EE13" s="2464"/>
      <c r="EF13" s="2464"/>
      <c r="EG13" s="2464"/>
      <c r="EH13" s="2464"/>
      <c r="EI13" s="2464"/>
      <c r="EJ13" s="2464"/>
      <c r="EK13" s="2464"/>
      <c r="EL13" s="2464"/>
      <c r="EM13" s="2464"/>
      <c r="EN13" s="2464"/>
      <c r="EO13" s="2464"/>
      <c r="EP13" s="2464"/>
      <c r="EQ13" s="2464"/>
      <c r="ER13" s="2464"/>
      <c r="ES13" s="2464"/>
      <c r="ET13" s="2464"/>
      <c r="EU13" s="2464"/>
      <c r="EV13" s="2464"/>
      <c r="EW13" s="2464"/>
      <c r="EX13" s="2464"/>
      <c r="EY13" s="2464"/>
      <c r="EZ13" s="2464"/>
      <c r="FA13" s="2464"/>
      <c r="FB13" s="2464"/>
      <c r="FC13" s="2464"/>
      <c r="FD13" s="2464"/>
      <c r="FE13" s="2464"/>
      <c r="FF13" s="2464"/>
      <c r="FG13" s="2464"/>
      <c r="FH13" s="2464"/>
      <c r="FI13" s="2464"/>
      <c r="FJ13" s="2464"/>
      <c r="FK13" s="2464"/>
      <c r="FL13" s="2464"/>
      <c r="FM13" s="2464"/>
      <c r="FN13" s="2464"/>
      <c r="FO13" s="2464"/>
      <c r="FP13" s="2464"/>
      <c r="FQ13" s="2464"/>
      <c r="FR13" s="2464"/>
      <c r="FS13" s="2464"/>
      <c r="FT13" s="2464"/>
      <c r="FU13" s="2464"/>
      <c r="FV13" s="2464"/>
      <c r="FW13" s="2478"/>
      <c r="FX13" s="773"/>
      <c r="GC13" s="937">
        <v>36</v>
      </c>
    </row>
    <row customHeight="1" ht="37.8">
      <c r="D14" s="949"/>
      <c r="E14" s="948"/>
      <c r="F14" s="2235"/>
      <c r="G14" s="2235"/>
      <c r="H14" s="2467"/>
      <c r="I14" s="2467"/>
      <c r="J14" s="2468"/>
      <c r="K14" s="2468"/>
      <c r="L14" s="2468"/>
      <c r="M14" s="2468"/>
      <c r="N14" s="2468"/>
      <c r="O14" s="2366" t="s">
        <v>1364</v>
      </c>
      <c r="P14" s="2418"/>
      <c r="Q14" s="2366" t="s">
        <v>1365</v>
      </c>
      <c r="R14" s="2418"/>
      <c r="S14" s="2367"/>
      <c r="T14" s="2243"/>
      <c r="U14" s="2366" t="s">
        <v>929</v>
      </c>
      <c r="V14" s="2418"/>
      <c r="W14" s="2366" t="s">
        <v>932</v>
      </c>
      <c r="X14" s="2418"/>
      <c r="Y14" s="2366" t="s">
        <v>929</v>
      </c>
      <c r="Z14" s="2418"/>
      <c r="AA14" s="2366" t="s">
        <v>939</v>
      </c>
      <c r="AB14" s="2418"/>
      <c r="AC14" s="2464"/>
      <c r="AD14" s="2464"/>
      <c r="AE14" s="2464"/>
      <c r="AF14" s="2464"/>
      <c r="AG14" s="2464"/>
      <c r="AH14" s="2464"/>
      <c r="AI14" s="2464"/>
      <c r="AJ14" s="2464"/>
      <c r="AK14" s="2464"/>
      <c r="AL14" s="2464"/>
      <c r="AM14" s="2464"/>
      <c r="AN14" s="2464"/>
      <c r="AO14" s="2464"/>
      <c r="AP14" s="2464"/>
      <c r="AQ14" s="2464"/>
      <c r="AR14" s="2464"/>
      <c r="AS14" s="2464"/>
      <c r="AT14" s="2464"/>
      <c r="AU14" s="2464"/>
      <c r="AV14" s="2464"/>
      <c r="AW14" s="2464"/>
      <c r="AX14" s="2464"/>
      <c r="AY14" s="2464"/>
      <c r="AZ14" s="2464"/>
      <c r="BA14" s="2464"/>
      <c r="BB14" s="2464"/>
      <c r="BC14" s="2464"/>
      <c r="BD14" s="2464"/>
      <c r="BE14" s="2464"/>
      <c r="BF14" s="2464"/>
      <c r="BG14" s="2464"/>
      <c r="BH14" s="2464"/>
      <c r="BI14" s="2464"/>
      <c r="BJ14" s="2464"/>
      <c r="BK14" s="2464"/>
      <c r="BL14" s="2464"/>
      <c r="BM14" s="2464"/>
      <c r="BN14" s="2464"/>
      <c r="BO14" s="2464"/>
      <c r="BP14" s="2464"/>
      <c r="BQ14" s="2464"/>
      <c r="BR14" s="2464"/>
      <c r="BS14" s="2483"/>
      <c r="BT14" s="2367"/>
      <c r="BU14" s="2243"/>
      <c r="BV14" s="2367"/>
      <c r="BW14" s="2243"/>
      <c r="BX14" s="2367"/>
      <c r="BY14" s="2243"/>
      <c r="BZ14" s="2367"/>
      <c r="CA14" s="2243"/>
      <c r="CB14" s="2367"/>
      <c r="CC14" s="2243"/>
      <c r="CD14" s="2367"/>
      <c r="CE14" s="2243"/>
      <c r="CF14" s="2367"/>
      <c r="CG14" s="2243"/>
      <c r="CH14" s="2366" t="s">
        <v>1366</v>
      </c>
      <c r="CI14" s="2418"/>
      <c r="CJ14" s="2366" t="s">
        <v>1367</v>
      </c>
      <c r="CK14" s="2418"/>
      <c r="CL14" s="2466"/>
      <c r="CM14" s="2464"/>
      <c r="CN14" s="2464"/>
      <c r="CO14" s="2464"/>
      <c r="CP14" s="2464"/>
      <c r="CQ14" s="2464"/>
      <c r="CR14" s="2464"/>
      <c r="CS14" s="2464"/>
      <c r="CT14" s="2464"/>
      <c r="CU14" s="2464"/>
      <c r="CV14" s="2464"/>
      <c r="CW14" s="2464"/>
      <c r="CX14" s="2483"/>
      <c r="CY14" s="2367"/>
      <c r="CZ14" s="2243"/>
      <c r="DA14" s="2367"/>
      <c r="DB14" s="2243"/>
      <c r="DC14" s="2367"/>
      <c r="DD14" s="2243"/>
      <c r="DE14" s="2367"/>
      <c r="DF14" s="2243"/>
      <c r="DG14" s="2366" t="s">
        <v>1368</v>
      </c>
      <c r="DH14" s="2418"/>
      <c r="DI14" s="2366" t="s">
        <v>1369</v>
      </c>
      <c r="DJ14" s="2418"/>
      <c r="DK14" s="2466"/>
      <c r="DL14" s="2464"/>
      <c r="DM14" s="2464"/>
      <c r="DN14" s="2464"/>
      <c r="DO14" s="2464"/>
      <c r="DP14" s="2464"/>
      <c r="DQ14" s="2464"/>
      <c r="DR14" s="2464"/>
      <c r="DS14" s="2464"/>
      <c r="DT14" s="2464"/>
      <c r="DU14" s="2464"/>
      <c r="DV14" s="2464"/>
      <c r="DW14" s="2464"/>
      <c r="DX14" s="2464"/>
      <c r="DY14" s="2464"/>
      <c r="DZ14" s="2464"/>
      <c r="EA14" s="2464"/>
      <c r="EB14" s="2464"/>
      <c r="EC14" s="2464"/>
      <c r="ED14" s="2464"/>
      <c r="EE14" s="2464"/>
      <c r="EF14" s="2464"/>
      <c r="EG14" s="2464"/>
      <c r="EH14" s="2464"/>
      <c r="EI14" s="2464"/>
      <c r="EJ14" s="2464"/>
      <c r="EK14" s="2464"/>
      <c r="EL14" s="2464"/>
      <c r="EM14" s="2464"/>
      <c r="EN14" s="2464"/>
      <c r="EO14" s="2464"/>
      <c r="EP14" s="2464"/>
      <c r="EQ14" s="2464"/>
      <c r="ER14" s="2464"/>
      <c r="ES14" s="2464"/>
      <c r="ET14" s="2464"/>
      <c r="EU14" s="2464"/>
      <c r="EV14" s="2464"/>
      <c r="EW14" s="2464"/>
      <c r="EX14" s="2464"/>
      <c r="EY14" s="2464"/>
      <c r="EZ14" s="2464"/>
      <c r="FA14" s="2464"/>
      <c r="FB14" s="2464"/>
      <c r="FC14" s="2464"/>
      <c r="FD14" s="2464"/>
      <c r="FE14" s="2464"/>
      <c r="FF14" s="2464"/>
      <c r="FG14" s="2464"/>
      <c r="FH14" s="2464"/>
      <c r="FI14" s="2464"/>
      <c r="FJ14" s="2464"/>
      <c r="FK14" s="2464"/>
      <c r="FL14" s="2464"/>
      <c r="FM14" s="2464"/>
      <c r="FN14" s="2464"/>
      <c r="FO14" s="2464"/>
      <c r="FP14" s="2464"/>
      <c r="FQ14" s="2464"/>
      <c r="FR14" s="2464"/>
      <c r="FS14" s="2464"/>
      <c r="FT14" s="2464"/>
      <c r="FU14" s="2464"/>
      <c r="FV14" s="2464"/>
      <c r="FW14" s="2478"/>
      <c r="FX14" s="773"/>
      <c r="GC14" s="937">
        <v>36</v>
      </c>
    </row>
    <row customHeight="1" ht="37.8">
      <c r="D15" s="949"/>
      <c r="E15" s="948"/>
      <c r="F15" s="2235"/>
      <c r="G15" s="2235"/>
      <c r="H15" s="2467"/>
      <c r="I15" s="2467"/>
      <c r="J15" s="2468"/>
      <c r="K15" s="2468"/>
      <c r="L15" s="2468"/>
      <c r="M15" s="2468"/>
      <c r="N15" s="2468"/>
      <c r="O15" s="2368"/>
      <c r="P15" s="2465"/>
      <c r="Q15" s="2368"/>
      <c r="R15" s="2465"/>
      <c r="S15" s="2368"/>
      <c r="T15" s="2465"/>
      <c r="U15" s="2368"/>
      <c r="V15" s="2465"/>
      <c r="W15" s="2368"/>
      <c r="X15" s="2465"/>
      <c r="Y15" s="2368"/>
      <c r="Z15" s="2465"/>
      <c r="AA15" s="2368"/>
      <c r="AB15" s="2465"/>
      <c r="AC15" s="2464"/>
      <c r="AD15" s="2464"/>
      <c r="AE15" s="2464"/>
      <c r="AF15" s="2464"/>
      <c r="AG15" s="2464"/>
      <c r="AH15" s="2464"/>
      <c r="AI15" s="2464"/>
      <c r="AJ15" s="2464"/>
      <c r="AK15" s="2464"/>
      <c r="AL15" s="2464"/>
      <c r="AM15" s="2464"/>
      <c r="AN15" s="2464"/>
      <c r="AO15" s="2464"/>
      <c r="AP15" s="2464"/>
      <c r="AQ15" s="2464"/>
      <c r="AR15" s="2464"/>
      <c r="AS15" s="2464"/>
      <c r="AT15" s="2464"/>
      <c r="AU15" s="2464"/>
      <c r="AV15" s="2464"/>
      <c r="AW15" s="2464"/>
      <c r="AX15" s="2464"/>
      <c r="AY15" s="2464"/>
      <c r="AZ15" s="2464"/>
      <c r="BA15" s="2464"/>
      <c r="BB15" s="2464"/>
      <c r="BC15" s="2464"/>
      <c r="BD15" s="2464"/>
      <c r="BE15" s="2464"/>
      <c r="BF15" s="2464"/>
      <c r="BG15" s="2464"/>
      <c r="BH15" s="2464"/>
      <c r="BI15" s="2464"/>
      <c r="BJ15" s="2464"/>
      <c r="BK15" s="2464"/>
      <c r="BL15" s="2464"/>
      <c r="BM15" s="2464"/>
      <c r="BN15" s="2464"/>
      <c r="BO15" s="2464"/>
      <c r="BP15" s="2464"/>
      <c r="BQ15" s="2464"/>
      <c r="BR15" s="2464"/>
      <c r="BS15" s="2483"/>
      <c r="BT15" s="2368"/>
      <c r="BU15" s="2465"/>
      <c r="BV15" s="2368"/>
      <c r="BW15" s="2465"/>
      <c r="BX15" s="2368"/>
      <c r="BY15" s="2465"/>
      <c r="BZ15" s="2368"/>
      <c r="CA15" s="2465"/>
      <c r="CB15" s="2368"/>
      <c r="CC15" s="2465"/>
      <c r="CD15" s="2368"/>
      <c r="CE15" s="2465"/>
      <c r="CF15" s="2368"/>
      <c r="CG15" s="2465"/>
      <c r="CH15" s="2368"/>
      <c r="CI15" s="2465"/>
      <c r="CJ15" s="2368"/>
      <c r="CK15" s="2465"/>
      <c r="CL15" s="2466"/>
      <c r="CM15" s="2464"/>
      <c r="CN15" s="2464"/>
      <c r="CO15" s="2464"/>
      <c r="CP15" s="2464"/>
      <c r="CQ15" s="2464"/>
      <c r="CR15" s="2464"/>
      <c r="CS15" s="2464"/>
      <c r="CT15" s="2464"/>
      <c r="CU15" s="2464"/>
      <c r="CV15" s="2464"/>
      <c r="CW15" s="2464"/>
      <c r="CX15" s="2483"/>
      <c r="CY15" s="2368"/>
      <c r="CZ15" s="2465"/>
      <c r="DA15" s="2368"/>
      <c r="DB15" s="2465"/>
      <c r="DC15" s="2368"/>
      <c r="DD15" s="2465"/>
      <c r="DE15" s="2368"/>
      <c r="DF15" s="2465"/>
      <c r="DG15" s="2368"/>
      <c r="DH15" s="2465"/>
      <c r="DI15" s="2368"/>
      <c r="DJ15" s="2465"/>
      <c r="DK15" s="2466"/>
      <c r="DL15" s="2464"/>
      <c r="DM15" s="2464"/>
      <c r="DN15" s="2464"/>
      <c r="DO15" s="2464"/>
      <c r="DP15" s="2464"/>
      <c r="DQ15" s="2464"/>
      <c r="DR15" s="2464"/>
      <c r="DS15" s="2464"/>
      <c r="DT15" s="2464"/>
      <c r="DU15" s="2464"/>
      <c r="DV15" s="2464"/>
      <c r="DW15" s="2464"/>
      <c r="DX15" s="2464"/>
      <c r="DY15" s="2464"/>
      <c r="DZ15" s="2464"/>
      <c r="EA15" s="2464"/>
      <c r="EB15" s="2464"/>
      <c r="EC15" s="2464"/>
      <c r="ED15" s="2464"/>
      <c r="EE15" s="2464"/>
      <c r="EF15" s="2464"/>
      <c r="EG15" s="2464"/>
      <c r="EH15" s="2464"/>
      <c r="EI15" s="2464"/>
      <c r="EJ15" s="2464"/>
      <c r="EK15" s="2464"/>
      <c r="EL15" s="2464"/>
      <c r="EM15" s="2464"/>
      <c r="EN15" s="2464"/>
      <c r="EO15" s="2464"/>
      <c r="EP15" s="2464"/>
      <c r="EQ15" s="2464"/>
      <c r="ER15" s="2464"/>
      <c r="ES15" s="2464"/>
      <c r="ET15" s="2464"/>
      <c r="EU15" s="2464"/>
      <c r="EV15" s="2464"/>
      <c r="EW15" s="2464"/>
      <c r="EX15" s="2464"/>
      <c r="EY15" s="2464"/>
      <c r="EZ15" s="2464"/>
      <c r="FA15" s="2464"/>
      <c r="FB15" s="2464"/>
      <c r="FC15" s="2464"/>
      <c r="FD15" s="2464"/>
      <c r="FE15" s="2464"/>
      <c r="FF15" s="2464"/>
      <c r="FG15" s="2464"/>
      <c r="FH15" s="2464"/>
      <c r="FI15" s="2464"/>
      <c r="FJ15" s="2464"/>
      <c r="FK15" s="2464"/>
      <c r="FL15" s="2464"/>
      <c r="FM15" s="2464"/>
      <c r="FN15" s="2464"/>
      <c r="FO15" s="2464"/>
      <c r="FP15" s="2464"/>
      <c r="FQ15" s="2464"/>
      <c r="FR15" s="2464"/>
      <c r="FS15" s="2464"/>
      <c r="FT15" s="2464"/>
      <c r="FU15" s="2464"/>
      <c r="FV15" s="2464"/>
      <c r="FW15" s="2478"/>
      <c r="FX15" s="773"/>
      <c r="GC15" s="937">
        <v>36</v>
      </c>
    </row>
    <row customHeight="1" ht="12.75">
      <c r="D16" s="949"/>
      <c r="E16" s="948"/>
      <c r="F16" s="2235"/>
      <c r="G16" s="2235"/>
      <c r="H16" s="2467"/>
      <c r="I16" s="2467"/>
      <c r="J16" s="2468"/>
      <c r="K16" s="2468"/>
      <c r="L16" s="2468"/>
      <c r="M16" s="2468"/>
      <c r="N16" s="2468"/>
      <c r="O16" s="2416" t="s">
        <v>919</v>
      </c>
      <c r="P16" s="2463"/>
      <c r="Q16" s="2416" t="s">
        <v>921</v>
      </c>
      <c r="R16" s="2463"/>
      <c r="S16" s="2416" t="s">
        <v>925</v>
      </c>
      <c r="T16" s="2463"/>
      <c r="U16" s="2416" t="s">
        <v>930</v>
      </c>
      <c r="V16" s="2463"/>
      <c r="W16" s="2416" t="s">
        <v>933</v>
      </c>
      <c r="X16" s="2463"/>
      <c r="Y16" s="2416" t="s">
        <v>937</v>
      </c>
      <c r="Z16" s="2463"/>
      <c r="AA16" s="2416" t="s">
        <v>940</v>
      </c>
      <c r="AB16" s="2463"/>
      <c r="AC16" s="2464"/>
      <c r="AD16" s="2464"/>
      <c r="AE16" s="2464"/>
      <c r="AF16" s="2464"/>
      <c r="AG16" s="2464"/>
      <c r="AH16" s="2464"/>
      <c r="AI16" s="2464"/>
      <c r="AJ16" s="2464"/>
      <c r="AK16" s="2464"/>
      <c r="AL16" s="2464"/>
      <c r="AM16" s="2464"/>
      <c r="AN16" s="2464"/>
      <c r="AO16" s="2464"/>
      <c r="AP16" s="2464"/>
      <c r="AQ16" s="2464"/>
      <c r="AR16" s="2464"/>
      <c r="AS16" s="2464"/>
      <c r="AT16" s="2464"/>
      <c r="AU16" s="2464"/>
      <c r="AV16" s="2464"/>
      <c r="AW16" s="2464"/>
      <c r="AX16" s="2464"/>
      <c r="AY16" s="2464"/>
      <c r="AZ16" s="2464"/>
      <c r="BA16" s="2464"/>
      <c r="BB16" s="2464"/>
      <c r="BC16" s="2464"/>
      <c r="BD16" s="2464"/>
      <c r="BE16" s="2464"/>
      <c r="BF16" s="2464"/>
      <c r="BG16" s="2464"/>
      <c r="BH16" s="2464"/>
      <c r="BI16" s="2464"/>
      <c r="BJ16" s="2464"/>
      <c r="BK16" s="2464"/>
      <c r="BL16" s="2464"/>
      <c r="BM16" s="2464"/>
      <c r="BN16" s="2464"/>
      <c r="BO16" s="2464"/>
      <c r="BP16" s="2464"/>
      <c r="BQ16" s="2464"/>
      <c r="BR16" s="2464"/>
      <c r="BS16" s="2483"/>
      <c r="BT16" s="2416" t="s">
        <v>570</v>
      </c>
      <c r="BU16" s="2463"/>
      <c r="BV16" s="2416" t="s">
        <v>570</v>
      </c>
      <c r="BW16" s="2463"/>
      <c r="BX16" s="2416" t="s">
        <v>570</v>
      </c>
      <c r="BY16" s="2463"/>
      <c r="BZ16" s="2416" t="s">
        <v>570</v>
      </c>
      <c r="CA16" s="2463"/>
      <c r="CB16" s="2416" t="s">
        <v>1370</v>
      </c>
      <c r="CC16" s="2463"/>
      <c r="CD16" s="2416" t="s">
        <v>570</v>
      </c>
      <c r="CE16" s="2463"/>
      <c r="CF16" s="2416" t="s">
        <v>1371</v>
      </c>
      <c r="CG16" s="2463"/>
      <c r="CH16" s="2416" t="s">
        <v>1372</v>
      </c>
      <c r="CI16" s="2463"/>
      <c r="CJ16" s="2416" t="s">
        <v>1372</v>
      </c>
      <c r="CK16" s="2463"/>
      <c r="CL16" s="2466"/>
      <c r="CM16" s="2464"/>
      <c r="CN16" s="2464"/>
      <c r="CO16" s="2464"/>
      <c r="CP16" s="2464"/>
      <c r="CQ16" s="2464"/>
      <c r="CR16" s="2464"/>
      <c r="CS16" s="2464"/>
      <c r="CT16" s="2464"/>
      <c r="CU16" s="2464"/>
      <c r="CV16" s="2464"/>
      <c r="CW16" s="2464"/>
      <c r="CX16" s="2483"/>
      <c r="CY16" s="2366" t="s">
        <v>570</v>
      </c>
      <c r="CZ16" s="2418"/>
      <c r="DA16" s="2366" t="s">
        <v>570</v>
      </c>
      <c r="DB16" s="2418"/>
      <c r="DC16" s="2366" t="s">
        <v>570</v>
      </c>
      <c r="DD16" s="2418"/>
      <c r="DE16" s="2416" t="s">
        <v>1370</v>
      </c>
      <c r="DF16" s="2463"/>
      <c r="DG16" s="2416" t="s">
        <v>1373</v>
      </c>
      <c r="DH16" s="2463"/>
      <c r="DI16" s="2416" t="s">
        <v>1373</v>
      </c>
      <c r="DJ16" s="2463"/>
      <c r="DK16" s="2466"/>
      <c r="DL16" s="2464"/>
      <c r="DM16" s="2464"/>
      <c r="DN16" s="2464"/>
      <c r="DO16" s="2464"/>
      <c r="DP16" s="2464"/>
      <c r="DQ16" s="2464"/>
      <c r="DR16" s="2464"/>
      <c r="DS16" s="2464"/>
      <c r="DT16" s="2464"/>
      <c r="DU16" s="2464"/>
      <c r="DV16" s="2464"/>
      <c r="DW16" s="2464"/>
      <c r="DX16" s="2464"/>
      <c r="DY16" s="2464"/>
      <c r="DZ16" s="2464"/>
      <c r="EA16" s="2464"/>
      <c r="EB16" s="2464"/>
      <c r="EC16" s="2464"/>
      <c r="ED16" s="2464"/>
      <c r="EE16" s="2464"/>
      <c r="EF16" s="2464"/>
      <c r="EG16" s="2464"/>
      <c r="EH16" s="2464"/>
      <c r="EI16" s="2464"/>
      <c r="EJ16" s="2464"/>
      <c r="EK16" s="2464"/>
      <c r="EL16" s="2464"/>
      <c r="EM16" s="2464"/>
      <c r="EN16" s="2464"/>
      <c r="EO16" s="2464"/>
      <c r="EP16" s="2464"/>
      <c r="EQ16" s="2464"/>
      <c r="ER16" s="2464"/>
      <c r="ES16" s="2464"/>
      <c r="ET16" s="2464"/>
      <c r="EU16" s="2464"/>
      <c r="EV16" s="2464"/>
      <c r="EW16" s="2464"/>
      <c r="EX16" s="2464"/>
      <c r="EY16" s="2464"/>
      <c r="EZ16" s="2464"/>
      <c r="FA16" s="2464"/>
      <c r="FB16" s="2464"/>
      <c r="FC16" s="2464"/>
      <c r="FD16" s="2464"/>
      <c r="FE16" s="2464"/>
      <c r="FF16" s="2464"/>
      <c r="FG16" s="2464"/>
      <c r="FH16" s="2464"/>
      <c r="FI16" s="2464"/>
      <c r="FJ16" s="2464"/>
      <c r="FK16" s="2464"/>
      <c r="FL16" s="2464"/>
      <c r="FM16" s="2464"/>
      <c r="FN16" s="2464"/>
      <c r="FO16" s="2464"/>
      <c r="FP16" s="2464"/>
      <c r="FQ16" s="2464"/>
      <c r="FR16" s="2464"/>
      <c r="FS16" s="2464"/>
      <c r="FT16" s="2464"/>
      <c r="FU16" s="2464"/>
      <c r="FV16" s="2464"/>
      <c r="FW16" s="2478"/>
      <c r="FX16" s="773"/>
      <c r="GC16" s="937">
        <v>12</v>
      </c>
    </row>
    <row customHeight="1" ht="15.75">
      <c r="E17" s="948"/>
      <c r="F17" s="2235"/>
      <c r="G17" s="2235"/>
      <c r="H17" s="2467"/>
      <c r="I17" s="2467"/>
      <c r="J17" s="2468"/>
      <c r="K17" s="2468"/>
      <c r="L17" s="2468"/>
      <c r="M17" s="2468"/>
      <c r="N17" s="2468"/>
      <c r="O17" s="1202" t="s">
        <v>1374</v>
      </c>
      <c r="P17" s="1202" t="s">
        <v>1375</v>
      </c>
      <c r="Q17" s="1202" t="s">
        <v>1374</v>
      </c>
      <c r="R17" s="1202" t="s">
        <v>1375</v>
      </c>
      <c r="S17" s="1202" t="s">
        <v>1374</v>
      </c>
      <c r="T17" s="1202" t="s">
        <v>1375</v>
      </c>
      <c r="U17" s="1202" t="s">
        <v>1374</v>
      </c>
      <c r="V17" s="1202" t="s">
        <v>1375</v>
      </c>
      <c r="W17" s="1202" t="s">
        <v>1374</v>
      </c>
      <c r="X17" s="1202" t="s">
        <v>1375</v>
      </c>
      <c r="Y17" s="1202" t="s">
        <v>1374</v>
      </c>
      <c r="Z17" s="1202" t="s">
        <v>1375</v>
      </c>
      <c r="AA17" s="1202" t="s">
        <v>1374</v>
      </c>
      <c r="AB17" s="1202" t="s">
        <v>1375</v>
      </c>
      <c r="AC17" s="2464"/>
      <c r="AD17" s="2464"/>
      <c r="AE17" s="2464"/>
      <c r="AF17" s="2464"/>
      <c r="AG17" s="2464"/>
      <c r="AH17" s="2464"/>
      <c r="AI17" s="2464"/>
      <c r="AJ17" s="2464"/>
      <c r="AK17" s="2464"/>
      <c r="AL17" s="2464"/>
      <c r="AM17" s="2464"/>
      <c r="AN17" s="2464"/>
      <c r="AO17" s="2464"/>
      <c r="AP17" s="2464"/>
      <c r="AQ17" s="2464"/>
      <c r="AR17" s="2464"/>
      <c r="AS17" s="2464"/>
      <c r="AT17" s="2464"/>
      <c r="AU17" s="2464"/>
      <c r="AV17" s="2464"/>
      <c r="AW17" s="2464"/>
      <c r="AX17" s="2464"/>
      <c r="AY17" s="2464"/>
      <c r="AZ17" s="2464"/>
      <c r="BA17" s="2464"/>
      <c r="BB17" s="2464"/>
      <c r="BC17" s="2464"/>
      <c r="BD17" s="2464"/>
      <c r="BE17" s="2464"/>
      <c r="BF17" s="2464"/>
      <c r="BG17" s="2464"/>
      <c r="BH17" s="2464"/>
      <c r="BI17" s="2464"/>
      <c r="BJ17" s="2464"/>
      <c r="BK17" s="2464"/>
      <c r="BL17" s="2464"/>
      <c r="BM17" s="2464"/>
      <c r="BN17" s="2464"/>
      <c r="BO17" s="2464"/>
      <c r="BP17" s="2464"/>
      <c r="BQ17" s="2464"/>
      <c r="BR17" s="2464"/>
      <c r="BS17" s="2483"/>
      <c r="BT17" s="1202" t="s">
        <v>1374</v>
      </c>
      <c r="BU17" s="1202" t="s">
        <v>1375</v>
      </c>
      <c r="BV17" s="1202" t="s">
        <v>1374</v>
      </c>
      <c r="BW17" s="1202" t="s">
        <v>1375</v>
      </c>
      <c r="BX17" s="1202" t="s">
        <v>1374</v>
      </c>
      <c r="BY17" s="1202" t="s">
        <v>1375</v>
      </c>
      <c r="BZ17" s="1202" t="s">
        <v>1374</v>
      </c>
      <c r="CA17" s="1202" t="s">
        <v>1375</v>
      </c>
      <c r="CB17" s="1202" t="s">
        <v>1374</v>
      </c>
      <c r="CC17" s="1202" t="s">
        <v>1375</v>
      </c>
      <c r="CD17" s="1202" t="s">
        <v>1374</v>
      </c>
      <c r="CE17" s="1202" t="s">
        <v>1375</v>
      </c>
      <c r="CF17" s="1202" t="s">
        <v>1374</v>
      </c>
      <c r="CG17" s="1202" t="s">
        <v>1375</v>
      </c>
      <c r="CH17" s="1202" t="s">
        <v>1374</v>
      </c>
      <c r="CI17" s="1202" t="s">
        <v>1375</v>
      </c>
      <c r="CJ17" s="1202" t="s">
        <v>1374</v>
      </c>
      <c r="CK17" s="1202" t="s">
        <v>1375</v>
      </c>
      <c r="CL17" s="2466"/>
      <c r="CM17" s="2464"/>
      <c r="CN17" s="2464"/>
      <c r="CO17" s="2464"/>
      <c r="CP17" s="2464"/>
      <c r="CQ17" s="2464"/>
      <c r="CR17" s="2464"/>
      <c r="CS17" s="2464"/>
      <c r="CT17" s="2464"/>
      <c r="CU17" s="2464"/>
      <c r="CV17" s="2464"/>
      <c r="CW17" s="2464"/>
      <c r="CX17" s="2483"/>
      <c r="CY17" s="1202" t="s">
        <v>1374</v>
      </c>
      <c r="CZ17" s="1202" t="s">
        <v>1375</v>
      </c>
      <c r="DA17" s="1202" t="s">
        <v>1374</v>
      </c>
      <c r="DB17" s="1202" t="s">
        <v>1375</v>
      </c>
      <c r="DC17" s="1202" t="s">
        <v>1374</v>
      </c>
      <c r="DD17" s="1202" t="s">
        <v>1375</v>
      </c>
      <c r="DE17" s="1202" t="s">
        <v>1374</v>
      </c>
      <c r="DF17" s="1202" t="s">
        <v>1375</v>
      </c>
      <c r="DG17" s="1202" t="s">
        <v>1374</v>
      </c>
      <c r="DH17" s="1202" t="s">
        <v>1375</v>
      </c>
      <c r="DI17" s="1202" t="s">
        <v>1374</v>
      </c>
      <c r="DJ17" s="1202" t="s">
        <v>1375</v>
      </c>
      <c r="DK17" s="2466"/>
      <c r="DL17" s="2464"/>
      <c r="DM17" s="2464"/>
      <c r="DN17" s="2464"/>
      <c r="DO17" s="2464"/>
      <c r="DP17" s="2464"/>
      <c r="DQ17" s="2464"/>
      <c r="DR17" s="2464"/>
      <c r="DS17" s="2464"/>
      <c r="DT17" s="2464"/>
      <c r="DU17" s="2464"/>
      <c r="DV17" s="2464"/>
      <c r="DW17" s="2464"/>
      <c r="DX17" s="2464"/>
      <c r="DY17" s="2464"/>
      <c r="DZ17" s="2464"/>
      <c r="EA17" s="2464"/>
      <c r="EB17" s="2464"/>
      <c r="EC17" s="2464"/>
      <c r="ED17" s="2464"/>
      <c r="EE17" s="2464"/>
      <c r="EF17" s="2464"/>
      <c r="EG17" s="2464"/>
      <c r="EH17" s="2464"/>
      <c r="EI17" s="2464"/>
      <c r="EJ17" s="2464"/>
      <c r="EK17" s="2464"/>
      <c r="EL17" s="2464"/>
      <c r="EM17" s="2464"/>
      <c r="EN17" s="2464"/>
      <c r="EO17" s="2464"/>
      <c r="EP17" s="2464"/>
      <c r="EQ17" s="2464"/>
      <c r="ER17" s="2464"/>
      <c r="ES17" s="2464"/>
      <c r="ET17" s="2464"/>
      <c r="EU17" s="2464"/>
      <c r="EV17" s="2464"/>
      <c r="EW17" s="2464"/>
      <c r="EX17" s="2464"/>
      <c r="EY17" s="2464"/>
      <c r="EZ17" s="2464"/>
      <c r="FA17" s="2464"/>
      <c r="FB17" s="2464"/>
      <c r="FC17" s="2464"/>
      <c r="FD17" s="2464"/>
      <c r="FE17" s="2464"/>
      <c r="FF17" s="2464"/>
      <c r="FG17" s="2464"/>
      <c r="FH17" s="2464"/>
      <c r="FI17" s="2464"/>
      <c r="FJ17" s="2464"/>
      <c r="FK17" s="2464"/>
      <c r="FL17" s="2464"/>
      <c r="FM17" s="2464"/>
      <c r="FN17" s="2464"/>
      <c r="FO17" s="2464"/>
      <c r="FP17" s="2464"/>
      <c r="FQ17" s="2464"/>
      <c r="FR17" s="2464"/>
      <c r="FS17" s="2464"/>
      <c r="FT17" s="2464"/>
      <c r="FU17" s="2464"/>
      <c r="FV17" s="2464"/>
      <c r="FW17" s="2479"/>
      <c r="FX17" s="773"/>
      <c r="GC17" s="937">
        <v>15</v>
      </c>
    </row>
    <row s="936" customFormat="1" customHeight="1" ht="12" hidden="1">
      <c r="B18" s="934"/>
      <c r="E18" s="950"/>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c r="GC18" s="935">
        <v>0</v>
      </c>
    </row>
    <row s="936" customFormat="1" customHeight="1" ht="11.25" hidden="1">
      <c r="B19" s="934"/>
      <c r="E19" s="950"/>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c r="GC19" s="935">
        <v>0</v>
      </c>
    </row>
    <row s="936" customFormat="1" customHeight="1" ht="11.25" hidden="1">
      <c r="B20" s="951"/>
      <c r="D20" s="935"/>
      <c r="E20" s="950"/>
      <c r="F20" s="1208" t="s">
        <v>390</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c r="GC20" s="933">
        <v>0</v>
      </c>
    </row>
    <row s="936" customFormat="1" customHeight="1" ht="21">
      <c r="A21" s="1335" t="s">
        <v>1088</v>
      </c>
      <c r="B21" s="951"/>
      <c r="C21" s="936"/>
      <c r="D21" s="936"/>
      <c r="E21" s="950" t="s">
        <v>22</v>
      </c>
      <c r="F21" s="1132" t="str">
        <f>INDEX(IP_MAIN_LIST_NAME_IP,MATCH(A21,IP_MAIN_LIST_IP_ID,0))&amp;" ("&amp;INDEX(IP_MAIN_START_DATE,MATCH(A21,IP_MAIN_LIST_IP_ID,0))&amp;"-"&amp;INDEX(IP_MAIN_END_DATE,MATCH(A21,IP_MAIN_LIST_IP_ID,0))&amp;")"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G21" s="1214"/>
      <c r="H21" s="1215"/>
      <c r="I21" s="1215"/>
      <c r="J21" s="1215"/>
      <c r="K21" s="1215"/>
      <c r="L21" s="1215"/>
      <c r="M21" s="1215"/>
      <c r="N21" s="1215"/>
      <c r="O21" s="1214"/>
      <c r="P21" s="1214"/>
      <c r="Q21" s="1214"/>
      <c r="R21" s="1214"/>
      <c r="S21" s="1214"/>
      <c r="T21" s="1214"/>
      <c r="U21" s="1216"/>
      <c r="V21" s="1216"/>
      <c r="W21" s="1216"/>
      <c r="X21" s="1216"/>
      <c r="Y21" s="1216"/>
      <c r="Z21" s="1216"/>
      <c r="AA21" s="1216"/>
      <c r="AB21" s="1214"/>
      <c r="AC21" s="1215"/>
      <c r="AD21" s="1215"/>
      <c r="AE21" s="1215"/>
      <c r="AF21" s="1215"/>
      <c r="AG21" s="1215"/>
      <c r="AH21" s="1215"/>
      <c r="AI21" s="1215"/>
      <c r="AJ21" s="1215"/>
      <c r="AK21" s="1215"/>
      <c r="AL21" s="1215"/>
      <c r="AM21" s="1215"/>
      <c r="AN21" s="1215"/>
      <c r="AO21" s="1215"/>
      <c r="AP21" s="1215"/>
      <c r="AQ21" s="1215"/>
      <c r="AR21" s="1215"/>
      <c r="AS21" s="1215"/>
      <c r="AT21" s="1215"/>
      <c r="AU21" s="1215"/>
      <c r="AV21" s="1215"/>
      <c r="AW21" s="1215"/>
      <c r="AX21" s="1215"/>
      <c r="AY21" s="1215"/>
      <c r="AZ21" s="1215"/>
      <c r="BA21" s="1215"/>
      <c r="BB21" s="1215"/>
      <c r="BC21" s="1215"/>
      <c r="BD21" s="1215"/>
      <c r="BE21" s="1215"/>
      <c r="BF21" s="1215"/>
      <c r="BG21" s="1215"/>
      <c r="BH21" s="1215"/>
      <c r="BI21" s="1215"/>
      <c r="BJ21" s="1215"/>
      <c r="BK21" s="1215"/>
      <c r="BL21" s="1215"/>
      <c r="BM21" s="1215"/>
      <c r="BN21" s="1215"/>
      <c r="BO21" s="1215"/>
      <c r="BP21" s="1215"/>
      <c r="BQ21" s="1215"/>
      <c r="BR21" s="1215"/>
      <c r="BS21" s="1215"/>
      <c r="BT21" s="1215"/>
      <c r="BU21" s="1215"/>
      <c r="BV21" s="1215"/>
      <c r="BW21" s="1215"/>
      <c r="BX21" s="1215"/>
      <c r="BY21" s="1215"/>
      <c r="BZ21" s="1215"/>
      <c r="CA21" s="1215"/>
      <c r="CB21" s="1215"/>
      <c r="CC21" s="1215"/>
      <c r="CD21" s="1215"/>
      <c r="CE21" s="1215"/>
      <c r="CF21" s="1215"/>
      <c r="CG21" s="1215"/>
      <c r="CH21" s="1215"/>
      <c r="CI21" s="1215"/>
      <c r="CJ21" s="1215"/>
      <c r="CK21" s="1215"/>
      <c r="CL21" s="1217"/>
      <c r="CM21" s="1217"/>
      <c r="CN21" s="1217"/>
      <c r="CO21" s="1217"/>
      <c r="CP21" s="1217"/>
      <c r="CQ21" s="1217"/>
      <c r="CR21" s="1217"/>
      <c r="CS21" s="1217"/>
      <c r="CT21" s="1217"/>
      <c r="CU21" s="1217"/>
      <c r="CV21" s="1217"/>
      <c r="CW21" s="1217"/>
      <c r="CX21" s="1217"/>
      <c r="CY21" s="1217"/>
      <c r="CZ21" s="1217"/>
      <c r="DA21" s="1217"/>
      <c r="DB21" s="1217"/>
      <c r="DC21" s="1217"/>
      <c r="DD21" s="1217"/>
      <c r="DE21" s="1217"/>
      <c r="DF21" s="1217"/>
      <c r="DG21" s="1217"/>
      <c r="DH21" s="1217"/>
      <c r="DI21" s="1217"/>
      <c r="DJ21" s="1217"/>
      <c r="DK21" s="1217"/>
      <c r="DL21" s="1217"/>
      <c r="DM21" s="1217"/>
      <c r="DN21" s="1217"/>
      <c r="DO21" s="1217"/>
      <c r="DP21" s="1217"/>
      <c r="DQ21" s="1217"/>
      <c r="DR21" s="1217"/>
      <c r="DS21" s="1217"/>
      <c r="DT21" s="1217"/>
      <c r="DU21" s="1217"/>
      <c r="DV21" s="1217"/>
      <c r="DW21" s="1217"/>
      <c r="DX21" s="1217"/>
      <c r="DY21" s="1217"/>
      <c r="DZ21" s="1217"/>
      <c r="EA21" s="1217"/>
      <c r="EB21" s="1217"/>
      <c r="EC21" s="1217"/>
      <c r="ED21" s="1217"/>
      <c r="EE21" s="1217"/>
      <c r="EF21" s="1217"/>
      <c r="EG21" s="1217"/>
      <c r="EH21" s="1217"/>
      <c r="EI21" s="1217"/>
      <c r="EJ21" s="1217"/>
      <c r="EK21" s="1217"/>
      <c r="EL21" s="1217"/>
      <c r="EM21" s="1217"/>
      <c r="EN21" s="1217"/>
      <c r="EO21" s="1217"/>
      <c r="EP21" s="1217"/>
      <c r="EQ21" s="1217"/>
      <c r="ER21" s="1217"/>
      <c r="ES21" s="1217"/>
      <c r="ET21" s="1217"/>
      <c r="EU21" s="1217"/>
      <c r="EV21" s="1217"/>
      <c r="EW21" s="1217"/>
      <c r="EX21" s="1217"/>
      <c r="EY21" s="1217"/>
      <c r="EZ21" s="1217"/>
      <c r="FA21" s="1217"/>
      <c r="FB21" s="1217"/>
      <c r="FC21" s="1217"/>
      <c r="FD21" s="1217"/>
      <c r="FE21" s="1217"/>
      <c r="FF21" s="1217"/>
      <c r="FG21" s="1217"/>
      <c r="FH21" s="1217"/>
      <c r="FI21" s="1217"/>
      <c r="FJ21" s="1217"/>
      <c r="FK21" s="1217"/>
      <c r="FL21" s="1217"/>
      <c r="FM21" s="1217"/>
      <c r="FN21" s="1217"/>
      <c r="FO21" s="1217"/>
      <c r="FP21" s="1217"/>
      <c r="FQ21" s="1217"/>
      <c r="FR21" s="1217"/>
      <c r="FS21" s="1217"/>
      <c r="FT21" s="1217"/>
      <c r="FU21" s="1217"/>
      <c r="FV21" s="1218"/>
      <c r="FW21" s="1212"/>
      <c r="FX21" s="1213"/>
      <c r="FY21" s="936"/>
      <c r="FZ21" s="936"/>
      <c r="GA21" s="936"/>
      <c r="GB21" s="936"/>
    </row>
    <row s="936" customFormat="1" customHeight="1" ht="24.75">
      <c r="A22" s="936" t="s">
        <v>1088</v>
      </c>
      <c r="B22" s="951"/>
      <c r="C22" s="936"/>
      <c r="D22" s="936"/>
      <c r="E22" s="1858"/>
      <c r="F22" s="2419">
        <v>1</v>
      </c>
      <c r="G22" s="2592" t="s">
        <v>1376</v>
      </c>
      <c r="H22" s="1221" t="s">
        <v>1377</v>
      </c>
      <c r="I22" s="1990" t="s">
        <v>1270</v>
      </c>
      <c r="J22" s="1222"/>
      <c r="K22" s="1222"/>
      <c r="L22" s="1222"/>
      <c r="M22" s="1222"/>
      <c r="N22" s="1222"/>
      <c r="O22" s="1223"/>
      <c r="P22" s="1223"/>
      <c r="Q22" s="1223"/>
      <c r="R22" s="1223"/>
      <c r="S22" s="1223">
        <v>0.1745</v>
      </c>
      <c r="T22" s="1223">
        <v>0.170077743131685</v>
      </c>
      <c r="U22" s="1223"/>
      <c r="V22" s="1223"/>
      <c r="W22" s="1223"/>
      <c r="X22" s="1223"/>
      <c r="Y22" s="1223"/>
      <c r="Z22" s="1223"/>
      <c r="AA22" s="1223"/>
      <c r="AB22" s="1223"/>
      <c r="AC22" s="1222"/>
      <c r="AD22" s="1222"/>
      <c r="AE22" s="1222"/>
      <c r="AF22" s="1222"/>
      <c r="AG22" s="1222"/>
      <c r="AH22" s="1222"/>
      <c r="AI22" s="1222"/>
      <c r="AJ22" s="1222"/>
      <c r="AK22" s="1222"/>
      <c r="AL22" s="1222"/>
      <c r="AM22" s="1222"/>
      <c r="AN22" s="1222"/>
      <c r="AO22" s="1222"/>
      <c r="AP22" s="1222"/>
      <c r="AQ22" s="1222"/>
      <c r="AR22" s="1222"/>
      <c r="AS22" s="1222"/>
      <c r="AT22" s="1222"/>
      <c r="AU22" s="1222"/>
      <c r="AV22" s="1222"/>
      <c r="AW22" s="1222"/>
      <c r="AX22" s="1222"/>
      <c r="AY22" s="1222"/>
      <c r="AZ22" s="1222"/>
      <c r="BA22" s="1222"/>
      <c r="BB22" s="1222"/>
      <c r="BC22" s="1222"/>
      <c r="BD22" s="1222"/>
      <c r="BE22" s="1222"/>
      <c r="BF22" s="1222"/>
      <c r="BG22" s="1222"/>
      <c r="BH22" s="1222"/>
      <c r="BI22" s="1222"/>
      <c r="BJ22" s="1222"/>
      <c r="BK22" s="1222"/>
      <c r="BL22" s="1222"/>
      <c r="BM22" s="1222"/>
      <c r="BN22" s="1222"/>
      <c r="BO22" s="1222"/>
      <c r="BP22" s="1222"/>
      <c r="BQ22" s="1222"/>
      <c r="BR22" s="1222"/>
      <c r="BS22" s="1222"/>
      <c r="BT22" s="1223"/>
      <c r="BU22" s="1223"/>
      <c r="BV22" s="1223"/>
      <c r="BW22" s="1223"/>
      <c r="BX22" s="1223"/>
      <c r="BY22" s="1223"/>
      <c r="BZ22" s="1223"/>
      <c r="CA22" s="1223"/>
      <c r="CB22" s="1223"/>
      <c r="CC22" s="1223"/>
      <c r="CD22" s="1223"/>
      <c r="CE22" s="1223"/>
      <c r="CF22" s="1223"/>
      <c r="CG22" s="1223"/>
      <c r="CH22" s="1223"/>
      <c r="CI22" s="1223"/>
      <c r="CJ22" s="1223"/>
      <c r="CK22" s="1223"/>
      <c r="CL22" s="1222"/>
      <c r="CM22" s="1222"/>
      <c r="CN22" s="1222"/>
      <c r="CO22" s="1222"/>
      <c r="CP22" s="1222"/>
      <c r="CQ22" s="1222"/>
      <c r="CR22" s="1222"/>
      <c r="CS22" s="1222"/>
      <c r="CT22" s="1222"/>
      <c r="CU22" s="1222"/>
      <c r="CV22" s="1222"/>
      <c r="CW22" s="1222"/>
      <c r="CX22" s="1222"/>
      <c r="CY22" s="1223"/>
      <c r="CZ22" s="1223"/>
      <c r="DA22" s="1223"/>
      <c r="DB22" s="1223"/>
      <c r="DC22" s="1223"/>
      <c r="DD22" s="1223"/>
      <c r="DE22" s="1223"/>
      <c r="DF22" s="1223"/>
      <c r="DG22" s="1223"/>
      <c r="DH22" s="1223"/>
      <c r="DI22" s="1223"/>
      <c r="DJ22" s="1223"/>
      <c r="DK22" s="1222"/>
      <c r="DL22" s="1222"/>
      <c r="DM22" s="1222"/>
      <c r="DN22" s="1222"/>
      <c r="DO22" s="1222"/>
      <c r="DP22" s="1222"/>
      <c r="DQ22" s="1222"/>
      <c r="DR22" s="1222"/>
      <c r="DS22" s="1222"/>
      <c r="DT22" s="1222"/>
      <c r="DU22" s="1222"/>
      <c r="DV22" s="1222"/>
      <c r="DW22" s="1222"/>
      <c r="DX22" s="1222"/>
      <c r="DY22" s="1222"/>
      <c r="DZ22" s="1222"/>
      <c r="EA22" s="1222"/>
      <c r="EB22" s="1222"/>
      <c r="EC22" s="1222"/>
      <c r="ED22" s="1222"/>
      <c r="EE22" s="1222"/>
      <c r="EF22" s="1222"/>
      <c r="EG22" s="1222"/>
      <c r="EH22" s="1222"/>
      <c r="EI22" s="1222"/>
      <c r="EJ22" s="1222"/>
      <c r="EK22" s="1222"/>
      <c r="EL22" s="1222"/>
      <c r="EM22" s="1222"/>
      <c r="EN22" s="1222"/>
      <c r="EO22" s="1222"/>
      <c r="EP22" s="1222"/>
      <c r="EQ22" s="1222"/>
      <c r="ER22" s="1222"/>
      <c r="ES22" s="1222"/>
      <c r="ET22" s="1222"/>
      <c r="EU22" s="1222"/>
      <c r="EV22" s="1222"/>
      <c r="EW22" s="1222"/>
      <c r="EX22" s="1222"/>
      <c r="EY22" s="1222"/>
      <c r="EZ22" s="1222"/>
      <c r="FA22" s="1222"/>
      <c r="FB22" s="1222"/>
      <c r="FC22" s="1222"/>
      <c r="FD22" s="1222"/>
      <c r="FE22" s="1222"/>
      <c r="FF22" s="1222"/>
      <c r="FG22" s="1222"/>
      <c r="FH22" s="1222"/>
      <c r="FI22" s="1222"/>
      <c r="FJ22" s="1222"/>
      <c r="FK22" s="1222"/>
      <c r="FL22" s="1222"/>
      <c r="FM22" s="1222"/>
      <c r="FN22" s="1222"/>
      <c r="FO22" s="1222"/>
      <c r="FP22" s="1222"/>
      <c r="FQ22" s="1222"/>
      <c r="FR22" s="1222"/>
      <c r="FS22" s="1222"/>
      <c r="FT22" s="1222"/>
      <c r="FU22" s="1222"/>
      <c r="FV22" s="1222"/>
      <c r="FW22" s="1222"/>
      <c r="FX22" s="1213"/>
      <c r="FY22" s="936"/>
      <c r="FZ22" s="936"/>
      <c r="GA22" s="936"/>
      <c r="GB22" s="936"/>
    </row>
    <row s="936" customFormat="1" customHeight="1" ht="24.75">
      <c r="A23" s="936" t="s">
        <v>22</v>
      </c>
      <c r="B23" s="951"/>
      <c r="C23" s="936"/>
      <c r="D23" s="936"/>
      <c r="E23" s="694" t="s">
        <v>105</v>
      </c>
      <c r="F23" s="2419" t="s">
        <v>104</v>
      </c>
      <c r="G23" s="2592" t="s">
        <v>1376</v>
      </c>
      <c r="H23" s="1221" t="s">
        <v>1377</v>
      </c>
      <c r="I23" s="1990" t="s">
        <v>1235</v>
      </c>
      <c r="J23" s="1222"/>
      <c r="K23" s="1222"/>
      <c r="L23" s="1222"/>
      <c r="M23" s="1222"/>
      <c r="N23" s="1222"/>
      <c r="O23" s="1223">
        <v>0.6</v>
      </c>
      <c r="P23" s="1223">
        <v>0.6</v>
      </c>
      <c r="Q23" s="1223"/>
      <c r="R23" s="1223"/>
      <c r="S23" s="1223"/>
      <c r="T23" s="1223"/>
      <c r="U23" s="1223"/>
      <c r="V23" s="1223"/>
      <c r="W23" s="1223"/>
      <c r="X23" s="1223"/>
      <c r="Y23" s="1223"/>
      <c r="Z23" s="1223"/>
      <c r="AA23" s="1223"/>
      <c r="AB23" s="1223"/>
      <c r="AC23" s="1222"/>
      <c r="AD23" s="1222"/>
      <c r="AE23" s="1222"/>
      <c r="AF23" s="1222"/>
      <c r="AG23" s="1222"/>
      <c r="AH23" s="1222"/>
      <c r="AI23" s="1222"/>
      <c r="AJ23" s="1222"/>
      <c r="AK23" s="1222"/>
      <c r="AL23" s="1222"/>
      <c r="AM23" s="1222"/>
      <c r="AN23" s="1222"/>
      <c r="AO23" s="1222"/>
      <c r="AP23" s="1222"/>
      <c r="AQ23" s="1222"/>
      <c r="AR23" s="1222"/>
      <c r="AS23" s="1222"/>
      <c r="AT23" s="1222"/>
      <c r="AU23" s="1222"/>
      <c r="AV23" s="1222"/>
      <c r="AW23" s="1222"/>
      <c r="AX23" s="1222"/>
      <c r="AY23" s="1222"/>
      <c r="AZ23" s="1222"/>
      <c r="BA23" s="1222"/>
      <c r="BB23" s="1222"/>
      <c r="BC23" s="1222"/>
      <c r="BD23" s="1222"/>
      <c r="BE23" s="1222"/>
      <c r="BF23" s="1222"/>
      <c r="BG23" s="1222"/>
      <c r="BH23" s="1222"/>
      <c r="BI23" s="1222"/>
      <c r="BJ23" s="1222"/>
      <c r="BK23" s="1222"/>
      <c r="BL23" s="1222"/>
      <c r="BM23" s="1222"/>
      <c r="BN23" s="1222"/>
      <c r="BO23" s="1222"/>
      <c r="BP23" s="1222"/>
      <c r="BQ23" s="1222"/>
      <c r="BR23" s="1222"/>
      <c r="BS23" s="1222"/>
      <c r="BT23" s="1223"/>
      <c r="BU23" s="1223"/>
      <c r="BV23" s="1223"/>
      <c r="BW23" s="1223"/>
      <c r="BX23" s="1223"/>
      <c r="BY23" s="1223"/>
      <c r="BZ23" s="1223"/>
      <c r="CA23" s="1223"/>
      <c r="CB23" s="1223"/>
      <c r="CC23" s="1223"/>
      <c r="CD23" s="1223"/>
      <c r="CE23" s="1223"/>
      <c r="CF23" s="1223"/>
      <c r="CG23" s="1223"/>
      <c r="CH23" s="1223"/>
      <c r="CI23" s="1223"/>
      <c r="CJ23" s="1223"/>
      <c r="CK23" s="1223"/>
      <c r="CL23" s="1222"/>
      <c r="CM23" s="1222"/>
      <c r="CN23" s="1222"/>
      <c r="CO23" s="1222"/>
      <c r="CP23" s="1222"/>
      <c r="CQ23" s="1222"/>
      <c r="CR23" s="1222"/>
      <c r="CS23" s="1222"/>
      <c r="CT23" s="1222"/>
      <c r="CU23" s="1222"/>
      <c r="CV23" s="1222"/>
      <c r="CW23" s="1222"/>
      <c r="CX23" s="1222"/>
      <c r="CY23" s="1223"/>
      <c r="CZ23" s="1223"/>
      <c r="DA23" s="1223"/>
      <c r="DB23" s="1223"/>
      <c r="DC23" s="1223"/>
      <c r="DD23" s="1223"/>
      <c r="DE23" s="1223"/>
      <c r="DF23" s="1223"/>
      <c r="DG23" s="1223"/>
      <c r="DH23" s="1223"/>
      <c r="DI23" s="1223"/>
      <c r="DJ23" s="1223"/>
      <c r="DK23" s="1222"/>
      <c r="DL23" s="1222"/>
      <c r="DM23" s="1222"/>
      <c r="DN23" s="1222"/>
      <c r="DO23" s="1222"/>
      <c r="DP23" s="1222"/>
      <c r="DQ23" s="1222"/>
      <c r="DR23" s="1222"/>
      <c r="DS23" s="1222"/>
      <c r="DT23" s="1222"/>
      <c r="DU23" s="1222"/>
      <c r="DV23" s="1222"/>
      <c r="DW23" s="1222"/>
      <c r="DX23" s="1222"/>
      <c r="DY23" s="1222"/>
      <c r="DZ23" s="1222"/>
      <c r="EA23" s="1222"/>
      <c r="EB23" s="1222"/>
      <c r="EC23" s="1222"/>
      <c r="ED23" s="1222"/>
      <c r="EE23" s="1222"/>
      <c r="EF23" s="1222"/>
      <c r="EG23" s="1222"/>
      <c r="EH23" s="1222"/>
      <c r="EI23" s="1222"/>
      <c r="EJ23" s="1222"/>
      <c r="EK23" s="1222"/>
      <c r="EL23" s="1222"/>
      <c r="EM23" s="1222"/>
      <c r="EN23" s="1222"/>
      <c r="EO23" s="1222"/>
      <c r="EP23" s="1222"/>
      <c r="EQ23" s="1222"/>
      <c r="ER23" s="1222"/>
      <c r="ES23" s="1222"/>
      <c r="ET23" s="1222"/>
      <c r="EU23" s="1222"/>
      <c r="EV23" s="1222"/>
      <c r="EW23" s="1222"/>
      <c r="EX23" s="1222"/>
      <c r="EY23" s="1222"/>
      <c r="EZ23" s="1222"/>
      <c r="FA23" s="1222"/>
      <c r="FB23" s="1222"/>
      <c r="FC23" s="1222"/>
      <c r="FD23" s="1222"/>
      <c r="FE23" s="1222"/>
      <c r="FF23" s="1222"/>
      <c r="FG23" s="1222"/>
      <c r="FH23" s="1222"/>
      <c r="FI23" s="1222"/>
      <c r="FJ23" s="1222"/>
      <c r="FK23" s="1222"/>
      <c r="FL23" s="1222"/>
      <c r="FM23" s="1222"/>
      <c r="FN23" s="1222"/>
      <c r="FO23" s="1222"/>
      <c r="FP23" s="1222"/>
      <c r="FQ23" s="1222"/>
      <c r="FR23" s="1222"/>
      <c r="FS23" s="1222"/>
      <c r="FT23" s="1222"/>
      <c r="FU23" s="1222"/>
      <c r="FV23" s="1222"/>
      <c r="FW23" s="1222"/>
      <c r="FX23" s="1213"/>
      <c r="FY23" s="936"/>
      <c r="FZ23" s="936"/>
      <c r="GA23" s="936"/>
      <c r="GB23" s="936"/>
    </row>
    <row s="936" customFormat="1" customHeight="1" ht="24.75">
      <c r="A24" s="936" t="s">
        <v>22</v>
      </c>
      <c r="B24" s="951"/>
      <c r="C24" s="936"/>
      <c r="D24" s="936"/>
      <c r="E24" s="694" t="s">
        <v>105</v>
      </c>
      <c r="F24" s="2419" t="s">
        <v>91</v>
      </c>
      <c r="G24" s="2592" t="s">
        <v>1376</v>
      </c>
      <c r="H24" s="1221" t="s">
        <v>1377</v>
      </c>
      <c r="I24" s="1990" t="s">
        <v>1236</v>
      </c>
      <c r="J24" s="1222"/>
      <c r="K24" s="1222"/>
      <c r="L24" s="1222"/>
      <c r="M24" s="1222"/>
      <c r="N24" s="1222"/>
      <c r="O24" s="1223">
        <v>1.39</v>
      </c>
      <c r="P24" s="1223">
        <v>1.39</v>
      </c>
      <c r="Q24" s="1223"/>
      <c r="R24" s="1223"/>
      <c r="S24" s="1223"/>
      <c r="T24" s="1223"/>
      <c r="U24" s="1223"/>
      <c r="V24" s="1223"/>
      <c r="W24" s="1223"/>
      <c r="X24" s="1223"/>
      <c r="Y24" s="1223"/>
      <c r="Z24" s="1223"/>
      <c r="AA24" s="1223"/>
      <c r="AB24" s="1223"/>
      <c r="AC24" s="1222"/>
      <c r="AD24" s="1222"/>
      <c r="AE24" s="1222"/>
      <c r="AF24" s="1222"/>
      <c r="AG24" s="1222"/>
      <c r="AH24" s="1222"/>
      <c r="AI24" s="1222"/>
      <c r="AJ24" s="1222"/>
      <c r="AK24" s="1222"/>
      <c r="AL24" s="1222"/>
      <c r="AM24" s="1222"/>
      <c r="AN24" s="1222"/>
      <c r="AO24" s="1222"/>
      <c r="AP24" s="1222"/>
      <c r="AQ24" s="1222"/>
      <c r="AR24" s="1222"/>
      <c r="AS24" s="1222"/>
      <c r="AT24" s="1222"/>
      <c r="AU24" s="1222"/>
      <c r="AV24" s="1222"/>
      <c r="AW24" s="1222"/>
      <c r="AX24" s="1222"/>
      <c r="AY24" s="1222"/>
      <c r="AZ24" s="1222"/>
      <c r="BA24" s="1222"/>
      <c r="BB24" s="1222"/>
      <c r="BC24" s="1222"/>
      <c r="BD24" s="1222"/>
      <c r="BE24" s="1222"/>
      <c r="BF24" s="1222"/>
      <c r="BG24" s="1222"/>
      <c r="BH24" s="1222"/>
      <c r="BI24" s="1222"/>
      <c r="BJ24" s="1222"/>
      <c r="BK24" s="1222"/>
      <c r="BL24" s="1222"/>
      <c r="BM24" s="1222"/>
      <c r="BN24" s="1222"/>
      <c r="BO24" s="1222"/>
      <c r="BP24" s="1222"/>
      <c r="BQ24" s="1222"/>
      <c r="BR24" s="1222"/>
      <c r="BS24" s="1222"/>
      <c r="BT24" s="1223"/>
      <c r="BU24" s="1223"/>
      <c r="BV24" s="1223"/>
      <c r="BW24" s="1223"/>
      <c r="BX24" s="1223"/>
      <c r="BY24" s="1223"/>
      <c r="BZ24" s="1223"/>
      <c r="CA24" s="1223"/>
      <c r="CB24" s="1223"/>
      <c r="CC24" s="1223"/>
      <c r="CD24" s="1223"/>
      <c r="CE24" s="1223"/>
      <c r="CF24" s="1223"/>
      <c r="CG24" s="1223"/>
      <c r="CH24" s="1223"/>
      <c r="CI24" s="1223"/>
      <c r="CJ24" s="1223"/>
      <c r="CK24" s="1223"/>
      <c r="CL24" s="1222"/>
      <c r="CM24" s="1222"/>
      <c r="CN24" s="1222"/>
      <c r="CO24" s="1222"/>
      <c r="CP24" s="1222"/>
      <c r="CQ24" s="1222"/>
      <c r="CR24" s="1222"/>
      <c r="CS24" s="1222"/>
      <c r="CT24" s="1222"/>
      <c r="CU24" s="1222"/>
      <c r="CV24" s="1222"/>
      <c r="CW24" s="1222"/>
      <c r="CX24" s="1222"/>
      <c r="CY24" s="1223"/>
      <c r="CZ24" s="1223"/>
      <c r="DA24" s="1223"/>
      <c r="DB24" s="1223"/>
      <c r="DC24" s="1223"/>
      <c r="DD24" s="1223"/>
      <c r="DE24" s="1223"/>
      <c r="DF24" s="1223"/>
      <c r="DG24" s="1223"/>
      <c r="DH24" s="1223"/>
      <c r="DI24" s="1223"/>
      <c r="DJ24" s="1223"/>
      <c r="DK24" s="1222"/>
      <c r="DL24" s="1222"/>
      <c r="DM24" s="1222"/>
      <c r="DN24" s="1222"/>
      <c r="DO24" s="1222"/>
      <c r="DP24" s="1222"/>
      <c r="DQ24" s="1222"/>
      <c r="DR24" s="1222"/>
      <c r="DS24" s="1222"/>
      <c r="DT24" s="1222"/>
      <c r="DU24" s="1222"/>
      <c r="DV24" s="1222"/>
      <c r="DW24" s="1222"/>
      <c r="DX24" s="1222"/>
      <c r="DY24" s="1222"/>
      <c r="DZ24" s="1222"/>
      <c r="EA24" s="1222"/>
      <c r="EB24" s="1222"/>
      <c r="EC24" s="1222"/>
      <c r="ED24" s="1222"/>
      <c r="EE24" s="1222"/>
      <c r="EF24" s="1222"/>
      <c r="EG24" s="1222"/>
      <c r="EH24" s="1222"/>
      <c r="EI24" s="1222"/>
      <c r="EJ24" s="1222"/>
      <c r="EK24" s="1222"/>
      <c r="EL24" s="1222"/>
      <c r="EM24" s="1222"/>
      <c r="EN24" s="1222"/>
      <c r="EO24" s="1222"/>
      <c r="EP24" s="1222"/>
      <c r="EQ24" s="1222"/>
      <c r="ER24" s="1222"/>
      <c r="ES24" s="1222"/>
      <c r="ET24" s="1222"/>
      <c r="EU24" s="1222"/>
      <c r="EV24" s="1222"/>
      <c r="EW24" s="1222"/>
      <c r="EX24" s="1222"/>
      <c r="EY24" s="1222"/>
      <c r="EZ24" s="1222"/>
      <c r="FA24" s="1222"/>
      <c r="FB24" s="1222"/>
      <c r="FC24" s="1222"/>
      <c r="FD24" s="1222"/>
      <c r="FE24" s="1222"/>
      <c r="FF24" s="1222"/>
      <c r="FG24" s="1222"/>
      <c r="FH24" s="1222"/>
      <c r="FI24" s="1222"/>
      <c r="FJ24" s="1222"/>
      <c r="FK24" s="1222"/>
      <c r="FL24" s="1222"/>
      <c r="FM24" s="1222"/>
      <c r="FN24" s="1222"/>
      <c r="FO24" s="1222"/>
      <c r="FP24" s="1222"/>
      <c r="FQ24" s="1222"/>
      <c r="FR24" s="1222"/>
      <c r="FS24" s="1222"/>
      <c r="FT24" s="1222"/>
      <c r="FU24" s="1222"/>
      <c r="FV24" s="1222"/>
      <c r="FW24" s="1222"/>
      <c r="FX24" s="1213"/>
      <c r="FY24" s="936"/>
      <c r="FZ24" s="936"/>
      <c r="GA24" s="936"/>
      <c r="GB24" s="936"/>
    </row>
    <row s="936" customFormat="1" customHeight="1" ht="24.75">
      <c r="A25" s="936" t="s">
        <v>22</v>
      </c>
      <c r="B25" s="951"/>
      <c r="C25" s="936"/>
      <c r="D25" s="936"/>
      <c r="E25" s="694" t="s">
        <v>105</v>
      </c>
      <c r="F25" s="2419" t="s">
        <v>92</v>
      </c>
      <c r="G25" s="2592" t="s">
        <v>1376</v>
      </c>
      <c r="H25" s="1221" t="s">
        <v>1377</v>
      </c>
      <c r="I25" s="1990" t="s">
        <v>1237</v>
      </c>
      <c r="J25" s="1222"/>
      <c r="K25" s="1222"/>
      <c r="L25" s="1222"/>
      <c r="M25" s="1222"/>
      <c r="N25" s="1222"/>
      <c r="O25" s="1223">
        <v>1.39</v>
      </c>
      <c r="P25" s="1223">
        <v>1.39</v>
      </c>
      <c r="Q25" s="1223"/>
      <c r="R25" s="1223"/>
      <c r="S25" s="1223"/>
      <c r="T25" s="1223"/>
      <c r="U25" s="1223"/>
      <c r="V25" s="1223"/>
      <c r="W25" s="1223"/>
      <c r="X25" s="1223"/>
      <c r="Y25" s="1223"/>
      <c r="Z25" s="1223"/>
      <c r="AA25" s="1223"/>
      <c r="AB25" s="1223"/>
      <c r="AC25" s="1222"/>
      <c r="AD25" s="1222"/>
      <c r="AE25" s="1222"/>
      <c r="AF25" s="1222"/>
      <c r="AG25" s="1222"/>
      <c r="AH25" s="1222"/>
      <c r="AI25" s="1222"/>
      <c r="AJ25" s="1222"/>
      <c r="AK25" s="1222"/>
      <c r="AL25" s="1222"/>
      <c r="AM25" s="1222"/>
      <c r="AN25" s="1222"/>
      <c r="AO25" s="1222"/>
      <c r="AP25" s="1222"/>
      <c r="AQ25" s="1222"/>
      <c r="AR25" s="1222"/>
      <c r="AS25" s="1222"/>
      <c r="AT25" s="1222"/>
      <c r="AU25" s="1222"/>
      <c r="AV25" s="1222"/>
      <c r="AW25" s="1222"/>
      <c r="AX25" s="1222"/>
      <c r="AY25" s="1222"/>
      <c r="AZ25" s="1222"/>
      <c r="BA25" s="1222"/>
      <c r="BB25" s="1222"/>
      <c r="BC25" s="1222"/>
      <c r="BD25" s="1222"/>
      <c r="BE25" s="1222"/>
      <c r="BF25" s="1222"/>
      <c r="BG25" s="1222"/>
      <c r="BH25" s="1222"/>
      <c r="BI25" s="1222"/>
      <c r="BJ25" s="1222"/>
      <c r="BK25" s="1222"/>
      <c r="BL25" s="1222"/>
      <c r="BM25" s="1222"/>
      <c r="BN25" s="1222"/>
      <c r="BO25" s="1222"/>
      <c r="BP25" s="1222"/>
      <c r="BQ25" s="1222"/>
      <c r="BR25" s="1222"/>
      <c r="BS25" s="1222"/>
      <c r="BT25" s="1223"/>
      <c r="BU25" s="1223"/>
      <c r="BV25" s="1223"/>
      <c r="BW25" s="1223"/>
      <c r="BX25" s="1223"/>
      <c r="BY25" s="1223"/>
      <c r="BZ25" s="1223"/>
      <c r="CA25" s="1223"/>
      <c r="CB25" s="1223"/>
      <c r="CC25" s="1223"/>
      <c r="CD25" s="1223"/>
      <c r="CE25" s="1223"/>
      <c r="CF25" s="1223"/>
      <c r="CG25" s="1223"/>
      <c r="CH25" s="1223"/>
      <c r="CI25" s="1223"/>
      <c r="CJ25" s="1223"/>
      <c r="CK25" s="1223"/>
      <c r="CL25" s="1222"/>
      <c r="CM25" s="1222"/>
      <c r="CN25" s="1222"/>
      <c r="CO25" s="1222"/>
      <c r="CP25" s="1222"/>
      <c r="CQ25" s="1222"/>
      <c r="CR25" s="1222"/>
      <c r="CS25" s="1222"/>
      <c r="CT25" s="1222"/>
      <c r="CU25" s="1222"/>
      <c r="CV25" s="1222"/>
      <c r="CW25" s="1222"/>
      <c r="CX25" s="1222"/>
      <c r="CY25" s="1223"/>
      <c r="CZ25" s="1223"/>
      <c r="DA25" s="1223"/>
      <c r="DB25" s="1223"/>
      <c r="DC25" s="1223"/>
      <c r="DD25" s="1223"/>
      <c r="DE25" s="1223"/>
      <c r="DF25" s="1223"/>
      <c r="DG25" s="1223"/>
      <c r="DH25" s="1223"/>
      <c r="DI25" s="1223"/>
      <c r="DJ25" s="1223"/>
      <c r="DK25" s="1222"/>
      <c r="DL25" s="1222"/>
      <c r="DM25" s="1222"/>
      <c r="DN25" s="1222"/>
      <c r="DO25" s="1222"/>
      <c r="DP25" s="1222"/>
      <c r="DQ25" s="1222"/>
      <c r="DR25" s="1222"/>
      <c r="DS25" s="1222"/>
      <c r="DT25" s="1222"/>
      <c r="DU25" s="1222"/>
      <c r="DV25" s="1222"/>
      <c r="DW25" s="1222"/>
      <c r="DX25" s="1222"/>
      <c r="DY25" s="1222"/>
      <c r="DZ25" s="1222"/>
      <c r="EA25" s="1222"/>
      <c r="EB25" s="1222"/>
      <c r="EC25" s="1222"/>
      <c r="ED25" s="1222"/>
      <c r="EE25" s="1222"/>
      <c r="EF25" s="1222"/>
      <c r="EG25" s="1222"/>
      <c r="EH25" s="1222"/>
      <c r="EI25" s="1222"/>
      <c r="EJ25" s="1222"/>
      <c r="EK25" s="1222"/>
      <c r="EL25" s="1222"/>
      <c r="EM25" s="1222"/>
      <c r="EN25" s="1222"/>
      <c r="EO25" s="1222"/>
      <c r="EP25" s="1222"/>
      <c r="EQ25" s="1222"/>
      <c r="ER25" s="1222"/>
      <c r="ES25" s="1222"/>
      <c r="ET25" s="1222"/>
      <c r="EU25" s="1222"/>
      <c r="EV25" s="1222"/>
      <c r="EW25" s="1222"/>
      <c r="EX25" s="1222"/>
      <c r="EY25" s="1222"/>
      <c r="EZ25" s="1222"/>
      <c r="FA25" s="1222"/>
      <c r="FB25" s="1222"/>
      <c r="FC25" s="1222"/>
      <c r="FD25" s="1222"/>
      <c r="FE25" s="1222"/>
      <c r="FF25" s="1222"/>
      <c r="FG25" s="1222"/>
      <c r="FH25" s="1222"/>
      <c r="FI25" s="1222"/>
      <c r="FJ25" s="1222"/>
      <c r="FK25" s="1222"/>
      <c r="FL25" s="1222"/>
      <c r="FM25" s="1222"/>
      <c r="FN25" s="1222"/>
      <c r="FO25" s="1222"/>
      <c r="FP25" s="1222"/>
      <c r="FQ25" s="1222"/>
      <c r="FR25" s="1222"/>
      <c r="FS25" s="1222"/>
      <c r="FT25" s="1222"/>
      <c r="FU25" s="1222"/>
      <c r="FV25" s="1222"/>
      <c r="FW25" s="1222"/>
      <c r="FX25" s="1213"/>
      <c r="FY25" s="936"/>
      <c r="FZ25" s="936"/>
      <c r="GA25" s="936"/>
      <c r="GB25" s="936"/>
    </row>
    <row s="936" customFormat="1" customHeight="1" ht="24.75">
      <c r="A26" s="936" t="s">
        <v>22</v>
      </c>
      <c r="B26" s="951"/>
      <c r="C26" s="936"/>
      <c r="D26" s="936"/>
      <c r="E26" s="694" t="s">
        <v>105</v>
      </c>
      <c r="F26" s="2419" t="s">
        <v>121</v>
      </c>
      <c r="G26" s="2592" t="s">
        <v>1376</v>
      </c>
      <c r="H26" s="1221" t="s">
        <v>1377</v>
      </c>
      <c r="I26" s="1990" t="s">
        <v>1254</v>
      </c>
      <c r="J26" s="1222"/>
      <c r="K26" s="1222"/>
      <c r="L26" s="1222"/>
      <c r="M26" s="1222"/>
      <c r="N26" s="1222"/>
      <c r="O26" s="1223">
        <v>0.64</v>
      </c>
      <c r="P26" s="1223">
        <v>0.64</v>
      </c>
      <c r="Q26" s="1223"/>
      <c r="R26" s="1223"/>
      <c r="S26" s="1223"/>
      <c r="T26" s="1223"/>
      <c r="U26" s="1223"/>
      <c r="V26" s="1223"/>
      <c r="W26" s="1223"/>
      <c r="X26" s="1223"/>
      <c r="Y26" s="1223"/>
      <c r="Z26" s="1223"/>
      <c r="AA26" s="1223"/>
      <c r="AB26" s="1223"/>
      <c r="AC26" s="1222"/>
      <c r="AD26" s="1222"/>
      <c r="AE26" s="1222"/>
      <c r="AF26" s="1222"/>
      <c r="AG26" s="1222"/>
      <c r="AH26" s="1222"/>
      <c r="AI26" s="1222"/>
      <c r="AJ26" s="1222"/>
      <c r="AK26" s="1222"/>
      <c r="AL26" s="1222"/>
      <c r="AM26" s="1222"/>
      <c r="AN26" s="1222"/>
      <c r="AO26" s="1222"/>
      <c r="AP26" s="1222"/>
      <c r="AQ26" s="1222"/>
      <c r="AR26" s="1222"/>
      <c r="AS26" s="1222"/>
      <c r="AT26" s="1222"/>
      <c r="AU26" s="1222"/>
      <c r="AV26" s="1222"/>
      <c r="AW26" s="1222"/>
      <c r="AX26" s="1222"/>
      <c r="AY26" s="1222"/>
      <c r="AZ26" s="1222"/>
      <c r="BA26" s="1222"/>
      <c r="BB26" s="1222"/>
      <c r="BC26" s="1222"/>
      <c r="BD26" s="1222"/>
      <c r="BE26" s="1222"/>
      <c r="BF26" s="1222"/>
      <c r="BG26" s="1222"/>
      <c r="BH26" s="1222"/>
      <c r="BI26" s="1222"/>
      <c r="BJ26" s="1222"/>
      <c r="BK26" s="1222"/>
      <c r="BL26" s="1222"/>
      <c r="BM26" s="1222"/>
      <c r="BN26" s="1222"/>
      <c r="BO26" s="1222"/>
      <c r="BP26" s="1222"/>
      <c r="BQ26" s="1222"/>
      <c r="BR26" s="1222"/>
      <c r="BS26" s="1222"/>
      <c r="BT26" s="1223"/>
      <c r="BU26" s="1223"/>
      <c r="BV26" s="1223"/>
      <c r="BW26" s="1223"/>
      <c r="BX26" s="1223"/>
      <c r="BY26" s="1223"/>
      <c r="BZ26" s="1223"/>
      <c r="CA26" s="1223"/>
      <c r="CB26" s="1223"/>
      <c r="CC26" s="1223"/>
      <c r="CD26" s="1223"/>
      <c r="CE26" s="1223"/>
      <c r="CF26" s="1223"/>
      <c r="CG26" s="1223"/>
      <c r="CH26" s="1223"/>
      <c r="CI26" s="1223"/>
      <c r="CJ26" s="1223"/>
      <c r="CK26" s="1223"/>
      <c r="CL26" s="1222"/>
      <c r="CM26" s="1222"/>
      <c r="CN26" s="1222"/>
      <c r="CO26" s="1222"/>
      <c r="CP26" s="1222"/>
      <c r="CQ26" s="1222"/>
      <c r="CR26" s="1222"/>
      <c r="CS26" s="1222"/>
      <c r="CT26" s="1222"/>
      <c r="CU26" s="1222"/>
      <c r="CV26" s="1222"/>
      <c r="CW26" s="1222"/>
      <c r="CX26" s="1222"/>
      <c r="CY26" s="1223"/>
      <c r="CZ26" s="1223"/>
      <c r="DA26" s="1223"/>
      <c r="DB26" s="1223"/>
      <c r="DC26" s="1223"/>
      <c r="DD26" s="1223"/>
      <c r="DE26" s="1223"/>
      <c r="DF26" s="1223"/>
      <c r="DG26" s="1223"/>
      <c r="DH26" s="1223"/>
      <c r="DI26" s="1223"/>
      <c r="DJ26" s="1223"/>
      <c r="DK26" s="1222"/>
      <c r="DL26" s="1222"/>
      <c r="DM26" s="1222"/>
      <c r="DN26" s="1222"/>
      <c r="DO26" s="1222"/>
      <c r="DP26" s="1222"/>
      <c r="DQ26" s="1222"/>
      <c r="DR26" s="1222"/>
      <c r="DS26" s="1222"/>
      <c r="DT26" s="1222"/>
      <c r="DU26" s="1222"/>
      <c r="DV26" s="1222"/>
      <c r="DW26" s="1222"/>
      <c r="DX26" s="1222"/>
      <c r="DY26" s="1222"/>
      <c r="DZ26" s="1222"/>
      <c r="EA26" s="1222"/>
      <c r="EB26" s="1222"/>
      <c r="EC26" s="1222"/>
      <c r="ED26" s="1222"/>
      <c r="EE26" s="1222"/>
      <c r="EF26" s="1222"/>
      <c r="EG26" s="1222"/>
      <c r="EH26" s="1222"/>
      <c r="EI26" s="1222"/>
      <c r="EJ26" s="1222"/>
      <c r="EK26" s="1222"/>
      <c r="EL26" s="1222"/>
      <c r="EM26" s="1222"/>
      <c r="EN26" s="1222"/>
      <c r="EO26" s="1222"/>
      <c r="EP26" s="1222"/>
      <c r="EQ26" s="1222"/>
      <c r="ER26" s="1222"/>
      <c r="ES26" s="1222"/>
      <c r="ET26" s="1222"/>
      <c r="EU26" s="1222"/>
      <c r="EV26" s="1222"/>
      <c r="EW26" s="1222"/>
      <c r="EX26" s="1222"/>
      <c r="EY26" s="1222"/>
      <c r="EZ26" s="1222"/>
      <c r="FA26" s="1222"/>
      <c r="FB26" s="1222"/>
      <c r="FC26" s="1222"/>
      <c r="FD26" s="1222"/>
      <c r="FE26" s="1222"/>
      <c r="FF26" s="1222"/>
      <c r="FG26" s="1222"/>
      <c r="FH26" s="1222"/>
      <c r="FI26" s="1222"/>
      <c r="FJ26" s="1222"/>
      <c r="FK26" s="1222"/>
      <c r="FL26" s="1222"/>
      <c r="FM26" s="1222"/>
      <c r="FN26" s="1222"/>
      <c r="FO26" s="1222"/>
      <c r="FP26" s="1222"/>
      <c r="FQ26" s="1222"/>
      <c r="FR26" s="1222"/>
      <c r="FS26" s="1222"/>
      <c r="FT26" s="1222"/>
      <c r="FU26" s="1222"/>
      <c r="FV26" s="1222"/>
      <c r="FW26" s="1222"/>
      <c r="FX26" s="1213"/>
      <c r="FY26" s="936"/>
      <c r="FZ26" s="936"/>
      <c r="GA26" s="936"/>
      <c r="GB26" s="936"/>
    </row>
    <row s="936" customFormat="1" customHeight="1" ht="24.75">
      <c r="A27" s="936" t="s">
        <v>22</v>
      </c>
      <c r="B27" s="951"/>
      <c r="C27" s="936"/>
      <c r="D27" s="936"/>
      <c r="E27" s="694" t="s">
        <v>105</v>
      </c>
      <c r="F27" s="2419" t="s">
        <v>93</v>
      </c>
      <c r="G27" s="2592" t="s">
        <v>1376</v>
      </c>
      <c r="H27" s="1221" t="s">
        <v>1377</v>
      </c>
      <c r="I27" s="1990" t="s">
        <v>1255</v>
      </c>
      <c r="J27" s="1222"/>
      <c r="K27" s="1222"/>
      <c r="L27" s="1222"/>
      <c r="M27" s="1222"/>
      <c r="N27" s="1222"/>
      <c r="O27" s="1223">
        <v>0.24</v>
      </c>
      <c r="P27" s="1223">
        <v>0.24</v>
      </c>
      <c r="Q27" s="1223"/>
      <c r="R27" s="1223"/>
      <c r="S27" s="1223"/>
      <c r="T27" s="1223"/>
      <c r="U27" s="1223"/>
      <c r="V27" s="1223"/>
      <c r="W27" s="1223"/>
      <c r="X27" s="1223"/>
      <c r="Y27" s="1223"/>
      <c r="Z27" s="1223"/>
      <c r="AA27" s="1223"/>
      <c r="AB27" s="1223"/>
      <c r="AC27" s="1222"/>
      <c r="AD27" s="1222"/>
      <c r="AE27" s="1222"/>
      <c r="AF27" s="1222"/>
      <c r="AG27" s="1222"/>
      <c r="AH27" s="1222"/>
      <c r="AI27" s="1222"/>
      <c r="AJ27" s="1222"/>
      <c r="AK27" s="1222"/>
      <c r="AL27" s="1222"/>
      <c r="AM27" s="1222"/>
      <c r="AN27" s="1222"/>
      <c r="AO27" s="1222"/>
      <c r="AP27" s="1222"/>
      <c r="AQ27" s="1222"/>
      <c r="AR27" s="1222"/>
      <c r="AS27" s="1222"/>
      <c r="AT27" s="1222"/>
      <c r="AU27" s="1222"/>
      <c r="AV27" s="1222"/>
      <c r="AW27" s="1222"/>
      <c r="AX27" s="1222"/>
      <c r="AY27" s="1222"/>
      <c r="AZ27" s="1222"/>
      <c r="BA27" s="1222"/>
      <c r="BB27" s="1222"/>
      <c r="BC27" s="1222"/>
      <c r="BD27" s="1222"/>
      <c r="BE27" s="1222"/>
      <c r="BF27" s="1222"/>
      <c r="BG27" s="1222"/>
      <c r="BH27" s="1222"/>
      <c r="BI27" s="1222"/>
      <c r="BJ27" s="1222"/>
      <c r="BK27" s="1222"/>
      <c r="BL27" s="1222"/>
      <c r="BM27" s="1222"/>
      <c r="BN27" s="1222"/>
      <c r="BO27" s="1222"/>
      <c r="BP27" s="1222"/>
      <c r="BQ27" s="1222"/>
      <c r="BR27" s="1222"/>
      <c r="BS27" s="1222"/>
      <c r="BT27" s="1223"/>
      <c r="BU27" s="1223"/>
      <c r="BV27" s="1223"/>
      <c r="BW27" s="1223"/>
      <c r="BX27" s="1223"/>
      <c r="BY27" s="1223"/>
      <c r="BZ27" s="1223"/>
      <c r="CA27" s="1223"/>
      <c r="CB27" s="1223"/>
      <c r="CC27" s="1223"/>
      <c r="CD27" s="1223"/>
      <c r="CE27" s="1223"/>
      <c r="CF27" s="1223"/>
      <c r="CG27" s="1223"/>
      <c r="CH27" s="1223"/>
      <c r="CI27" s="1223"/>
      <c r="CJ27" s="1223"/>
      <c r="CK27" s="1223"/>
      <c r="CL27" s="1222"/>
      <c r="CM27" s="1222"/>
      <c r="CN27" s="1222"/>
      <c r="CO27" s="1222"/>
      <c r="CP27" s="1222"/>
      <c r="CQ27" s="1222"/>
      <c r="CR27" s="1222"/>
      <c r="CS27" s="1222"/>
      <c r="CT27" s="1222"/>
      <c r="CU27" s="1222"/>
      <c r="CV27" s="1222"/>
      <c r="CW27" s="1222"/>
      <c r="CX27" s="1222"/>
      <c r="CY27" s="1223"/>
      <c r="CZ27" s="1223"/>
      <c r="DA27" s="1223"/>
      <c r="DB27" s="1223"/>
      <c r="DC27" s="1223"/>
      <c r="DD27" s="1223"/>
      <c r="DE27" s="1223"/>
      <c r="DF27" s="1223"/>
      <c r="DG27" s="1223"/>
      <c r="DH27" s="1223"/>
      <c r="DI27" s="1223"/>
      <c r="DJ27" s="1223"/>
      <c r="DK27" s="1222"/>
      <c r="DL27" s="1222"/>
      <c r="DM27" s="1222"/>
      <c r="DN27" s="1222"/>
      <c r="DO27" s="1222"/>
      <c r="DP27" s="1222"/>
      <c r="DQ27" s="1222"/>
      <c r="DR27" s="1222"/>
      <c r="DS27" s="1222"/>
      <c r="DT27" s="1222"/>
      <c r="DU27" s="1222"/>
      <c r="DV27" s="1222"/>
      <c r="DW27" s="1222"/>
      <c r="DX27" s="1222"/>
      <c r="DY27" s="1222"/>
      <c r="DZ27" s="1222"/>
      <c r="EA27" s="1222"/>
      <c r="EB27" s="1222"/>
      <c r="EC27" s="1222"/>
      <c r="ED27" s="1222"/>
      <c r="EE27" s="1222"/>
      <c r="EF27" s="1222"/>
      <c r="EG27" s="1222"/>
      <c r="EH27" s="1222"/>
      <c r="EI27" s="1222"/>
      <c r="EJ27" s="1222"/>
      <c r="EK27" s="1222"/>
      <c r="EL27" s="1222"/>
      <c r="EM27" s="1222"/>
      <c r="EN27" s="1222"/>
      <c r="EO27" s="1222"/>
      <c r="EP27" s="1222"/>
      <c r="EQ27" s="1222"/>
      <c r="ER27" s="1222"/>
      <c r="ES27" s="1222"/>
      <c r="ET27" s="1222"/>
      <c r="EU27" s="1222"/>
      <c r="EV27" s="1222"/>
      <c r="EW27" s="1222"/>
      <c r="EX27" s="1222"/>
      <c r="EY27" s="1222"/>
      <c r="EZ27" s="1222"/>
      <c r="FA27" s="1222"/>
      <c r="FB27" s="1222"/>
      <c r="FC27" s="1222"/>
      <c r="FD27" s="1222"/>
      <c r="FE27" s="1222"/>
      <c r="FF27" s="1222"/>
      <c r="FG27" s="1222"/>
      <c r="FH27" s="1222"/>
      <c r="FI27" s="1222"/>
      <c r="FJ27" s="1222"/>
      <c r="FK27" s="1222"/>
      <c r="FL27" s="1222"/>
      <c r="FM27" s="1222"/>
      <c r="FN27" s="1222"/>
      <c r="FO27" s="1222"/>
      <c r="FP27" s="1222"/>
      <c r="FQ27" s="1222"/>
      <c r="FR27" s="1222"/>
      <c r="FS27" s="1222"/>
      <c r="FT27" s="1222"/>
      <c r="FU27" s="1222"/>
      <c r="FV27" s="1222"/>
      <c r="FW27" s="1222"/>
      <c r="FX27" s="1213"/>
      <c r="FY27" s="936"/>
      <c r="FZ27" s="936"/>
      <c r="GA27" s="936"/>
      <c r="GB27" s="936"/>
    </row>
    <row s="936" customFormat="1" customHeight="1" ht="24.75">
      <c r="A28" s="936" t="s">
        <v>22</v>
      </c>
      <c r="B28" s="951"/>
      <c r="C28" s="936"/>
      <c r="D28" s="936"/>
      <c r="E28" s="694" t="s">
        <v>105</v>
      </c>
      <c r="F28" s="2419" t="s">
        <v>94</v>
      </c>
      <c r="G28" s="2592" t="s">
        <v>1376</v>
      </c>
      <c r="H28" s="1221" t="s">
        <v>1377</v>
      </c>
      <c r="I28" s="1990" t="s">
        <v>1256</v>
      </c>
      <c r="J28" s="1222"/>
      <c r="K28" s="1222"/>
      <c r="L28" s="1222"/>
      <c r="M28" s="1222"/>
      <c r="N28" s="1222"/>
      <c r="O28" s="1223">
        <v>0.53</v>
      </c>
      <c r="P28" s="1223">
        <v>0.53</v>
      </c>
      <c r="Q28" s="1223"/>
      <c r="R28" s="1223"/>
      <c r="S28" s="1223"/>
      <c r="T28" s="1223"/>
      <c r="U28" s="1223"/>
      <c r="V28" s="1223"/>
      <c r="W28" s="1223"/>
      <c r="X28" s="1223"/>
      <c r="Y28" s="1223"/>
      <c r="Z28" s="1223"/>
      <c r="AA28" s="1223"/>
      <c r="AB28" s="1223"/>
      <c r="AC28" s="1222"/>
      <c r="AD28" s="1222"/>
      <c r="AE28" s="1222"/>
      <c r="AF28" s="1222"/>
      <c r="AG28" s="1222"/>
      <c r="AH28" s="1222"/>
      <c r="AI28" s="1222"/>
      <c r="AJ28" s="1222"/>
      <c r="AK28" s="1222"/>
      <c r="AL28" s="1222"/>
      <c r="AM28" s="1222"/>
      <c r="AN28" s="1222"/>
      <c r="AO28" s="1222"/>
      <c r="AP28" s="1222"/>
      <c r="AQ28" s="1222"/>
      <c r="AR28" s="1222"/>
      <c r="AS28" s="1222"/>
      <c r="AT28" s="1222"/>
      <c r="AU28" s="1222"/>
      <c r="AV28" s="1222"/>
      <c r="AW28" s="1222"/>
      <c r="AX28" s="1222"/>
      <c r="AY28" s="1222"/>
      <c r="AZ28" s="1222"/>
      <c r="BA28" s="1222"/>
      <c r="BB28" s="1222"/>
      <c r="BC28" s="1222"/>
      <c r="BD28" s="1222"/>
      <c r="BE28" s="1222"/>
      <c r="BF28" s="1222"/>
      <c r="BG28" s="1222"/>
      <c r="BH28" s="1222"/>
      <c r="BI28" s="1222"/>
      <c r="BJ28" s="1222"/>
      <c r="BK28" s="1222"/>
      <c r="BL28" s="1222"/>
      <c r="BM28" s="1222"/>
      <c r="BN28" s="1222"/>
      <c r="BO28" s="1222"/>
      <c r="BP28" s="1222"/>
      <c r="BQ28" s="1222"/>
      <c r="BR28" s="1222"/>
      <c r="BS28" s="1222"/>
      <c r="BT28" s="1223"/>
      <c r="BU28" s="1223"/>
      <c r="BV28" s="1223"/>
      <c r="BW28" s="1223"/>
      <c r="BX28" s="1223"/>
      <c r="BY28" s="1223"/>
      <c r="BZ28" s="1223"/>
      <c r="CA28" s="1223"/>
      <c r="CB28" s="1223"/>
      <c r="CC28" s="1223"/>
      <c r="CD28" s="1223"/>
      <c r="CE28" s="1223"/>
      <c r="CF28" s="1223"/>
      <c r="CG28" s="1223"/>
      <c r="CH28" s="1223"/>
      <c r="CI28" s="1223"/>
      <c r="CJ28" s="1223"/>
      <c r="CK28" s="1223"/>
      <c r="CL28" s="1222"/>
      <c r="CM28" s="1222"/>
      <c r="CN28" s="1222"/>
      <c r="CO28" s="1222"/>
      <c r="CP28" s="1222"/>
      <c r="CQ28" s="1222"/>
      <c r="CR28" s="1222"/>
      <c r="CS28" s="1222"/>
      <c r="CT28" s="1222"/>
      <c r="CU28" s="1222"/>
      <c r="CV28" s="1222"/>
      <c r="CW28" s="1222"/>
      <c r="CX28" s="1222"/>
      <c r="CY28" s="1223"/>
      <c r="CZ28" s="1223"/>
      <c r="DA28" s="1223"/>
      <c r="DB28" s="1223"/>
      <c r="DC28" s="1223"/>
      <c r="DD28" s="1223"/>
      <c r="DE28" s="1223"/>
      <c r="DF28" s="1223"/>
      <c r="DG28" s="1223"/>
      <c r="DH28" s="1223"/>
      <c r="DI28" s="1223"/>
      <c r="DJ28" s="1223"/>
      <c r="DK28" s="1222"/>
      <c r="DL28" s="1222"/>
      <c r="DM28" s="1222"/>
      <c r="DN28" s="1222"/>
      <c r="DO28" s="1222"/>
      <c r="DP28" s="1222"/>
      <c r="DQ28" s="1222"/>
      <c r="DR28" s="1222"/>
      <c r="DS28" s="1222"/>
      <c r="DT28" s="1222"/>
      <c r="DU28" s="1222"/>
      <c r="DV28" s="1222"/>
      <c r="DW28" s="1222"/>
      <c r="DX28" s="1222"/>
      <c r="DY28" s="1222"/>
      <c r="DZ28" s="1222"/>
      <c r="EA28" s="1222"/>
      <c r="EB28" s="1222"/>
      <c r="EC28" s="1222"/>
      <c r="ED28" s="1222"/>
      <c r="EE28" s="1222"/>
      <c r="EF28" s="1222"/>
      <c r="EG28" s="1222"/>
      <c r="EH28" s="1222"/>
      <c r="EI28" s="1222"/>
      <c r="EJ28" s="1222"/>
      <c r="EK28" s="1222"/>
      <c r="EL28" s="1222"/>
      <c r="EM28" s="1222"/>
      <c r="EN28" s="1222"/>
      <c r="EO28" s="1222"/>
      <c r="EP28" s="1222"/>
      <c r="EQ28" s="1222"/>
      <c r="ER28" s="1222"/>
      <c r="ES28" s="1222"/>
      <c r="ET28" s="1222"/>
      <c r="EU28" s="1222"/>
      <c r="EV28" s="1222"/>
      <c r="EW28" s="1222"/>
      <c r="EX28" s="1222"/>
      <c r="EY28" s="1222"/>
      <c r="EZ28" s="1222"/>
      <c r="FA28" s="1222"/>
      <c r="FB28" s="1222"/>
      <c r="FC28" s="1222"/>
      <c r="FD28" s="1222"/>
      <c r="FE28" s="1222"/>
      <c r="FF28" s="1222"/>
      <c r="FG28" s="1222"/>
      <c r="FH28" s="1222"/>
      <c r="FI28" s="1222"/>
      <c r="FJ28" s="1222"/>
      <c r="FK28" s="1222"/>
      <c r="FL28" s="1222"/>
      <c r="FM28" s="1222"/>
      <c r="FN28" s="1222"/>
      <c r="FO28" s="1222"/>
      <c r="FP28" s="1222"/>
      <c r="FQ28" s="1222"/>
      <c r="FR28" s="1222"/>
      <c r="FS28" s="1222"/>
      <c r="FT28" s="1222"/>
      <c r="FU28" s="1222"/>
      <c r="FV28" s="1222"/>
      <c r="FW28" s="1222"/>
      <c r="FX28" s="1213"/>
      <c r="FY28" s="936"/>
      <c r="FZ28" s="936"/>
      <c r="GA28" s="936"/>
      <c r="GB28" s="936"/>
    </row>
    <row s="936" customFormat="1" customHeight="1" ht="24.75">
      <c r="A29" s="936" t="s">
        <v>22</v>
      </c>
      <c r="B29" s="951"/>
      <c r="C29" s="936"/>
      <c r="D29" s="936"/>
      <c r="E29" s="694" t="s">
        <v>105</v>
      </c>
      <c r="F29" s="2419" t="s">
        <v>122</v>
      </c>
      <c r="G29" s="2592" t="s">
        <v>1376</v>
      </c>
      <c r="H29" s="1221" t="s">
        <v>1377</v>
      </c>
      <c r="I29" s="1990" t="s">
        <v>1271</v>
      </c>
      <c r="J29" s="1222"/>
      <c r="K29" s="1222"/>
      <c r="L29" s="1222"/>
      <c r="M29" s="1222"/>
      <c r="N29" s="1222"/>
      <c r="O29" s="1223">
        <v>0.3</v>
      </c>
      <c r="P29" s="1223">
        <v>0.3</v>
      </c>
      <c r="Q29" s="1223"/>
      <c r="R29" s="1223"/>
      <c r="S29" s="1223"/>
      <c r="T29" s="1223"/>
      <c r="U29" s="1223"/>
      <c r="V29" s="1223"/>
      <c r="W29" s="1223"/>
      <c r="X29" s="1223"/>
      <c r="Y29" s="1223"/>
      <c r="Z29" s="1223"/>
      <c r="AA29" s="1223"/>
      <c r="AB29" s="1223"/>
      <c r="AC29" s="1222"/>
      <c r="AD29" s="1222"/>
      <c r="AE29" s="1222"/>
      <c r="AF29" s="1222"/>
      <c r="AG29" s="1222"/>
      <c r="AH29" s="1222"/>
      <c r="AI29" s="1222"/>
      <c r="AJ29" s="1222"/>
      <c r="AK29" s="1222"/>
      <c r="AL29" s="1222"/>
      <c r="AM29" s="1222"/>
      <c r="AN29" s="1222"/>
      <c r="AO29" s="1222"/>
      <c r="AP29" s="1222"/>
      <c r="AQ29" s="1222"/>
      <c r="AR29" s="1222"/>
      <c r="AS29" s="1222"/>
      <c r="AT29" s="1222"/>
      <c r="AU29" s="1222"/>
      <c r="AV29" s="1222"/>
      <c r="AW29" s="1222"/>
      <c r="AX29" s="1222"/>
      <c r="AY29" s="1222"/>
      <c r="AZ29" s="1222"/>
      <c r="BA29" s="1222"/>
      <c r="BB29" s="1222"/>
      <c r="BC29" s="1222"/>
      <c r="BD29" s="1222"/>
      <c r="BE29" s="1222"/>
      <c r="BF29" s="1222"/>
      <c r="BG29" s="1222"/>
      <c r="BH29" s="1222"/>
      <c r="BI29" s="1222"/>
      <c r="BJ29" s="1222"/>
      <c r="BK29" s="1222"/>
      <c r="BL29" s="1222"/>
      <c r="BM29" s="1222"/>
      <c r="BN29" s="1222"/>
      <c r="BO29" s="1222"/>
      <c r="BP29" s="1222"/>
      <c r="BQ29" s="1222"/>
      <c r="BR29" s="1222"/>
      <c r="BS29" s="1222"/>
      <c r="BT29" s="1223"/>
      <c r="BU29" s="1223"/>
      <c r="BV29" s="1223"/>
      <c r="BW29" s="1223"/>
      <c r="BX29" s="1223"/>
      <c r="BY29" s="1223"/>
      <c r="BZ29" s="1223"/>
      <c r="CA29" s="1223"/>
      <c r="CB29" s="1223"/>
      <c r="CC29" s="1223"/>
      <c r="CD29" s="1223"/>
      <c r="CE29" s="1223"/>
      <c r="CF29" s="1223"/>
      <c r="CG29" s="1223"/>
      <c r="CH29" s="1223"/>
      <c r="CI29" s="1223"/>
      <c r="CJ29" s="1223"/>
      <c r="CK29" s="1223"/>
      <c r="CL29" s="1222"/>
      <c r="CM29" s="1222"/>
      <c r="CN29" s="1222"/>
      <c r="CO29" s="1222"/>
      <c r="CP29" s="1222"/>
      <c r="CQ29" s="1222"/>
      <c r="CR29" s="1222"/>
      <c r="CS29" s="1222"/>
      <c r="CT29" s="1222"/>
      <c r="CU29" s="1222"/>
      <c r="CV29" s="1222"/>
      <c r="CW29" s="1222"/>
      <c r="CX29" s="1222"/>
      <c r="CY29" s="1223"/>
      <c r="CZ29" s="1223"/>
      <c r="DA29" s="1223"/>
      <c r="DB29" s="1223"/>
      <c r="DC29" s="1223"/>
      <c r="DD29" s="1223"/>
      <c r="DE29" s="1223"/>
      <c r="DF29" s="1223"/>
      <c r="DG29" s="1223"/>
      <c r="DH29" s="1223"/>
      <c r="DI29" s="1223"/>
      <c r="DJ29" s="1223"/>
      <c r="DK29" s="1222"/>
      <c r="DL29" s="1222"/>
      <c r="DM29" s="1222"/>
      <c r="DN29" s="1222"/>
      <c r="DO29" s="1222"/>
      <c r="DP29" s="1222"/>
      <c r="DQ29" s="1222"/>
      <c r="DR29" s="1222"/>
      <c r="DS29" s="1222"/>
      <c r="DT29" s="1222"/>
      <c r="DU29" s="1222"/>
      <c r="DV29" s="1222"/>
      <c r="DW29" s="1222"/>
      <c r="DX29" s="1222"/>
      <c r="DY29" s="1222"/>
      <c r="DZ29" s="1222"/>
      <c r="EA29" s="1222"/>
      <c r="EB29" s="1222"/>
      <c r="EC29" s="1222"/>
      <c r="ED29" s="1222"/>
      <c r="EE29" s="1222"/>
      <c r="EF29" s="1222"/>
      <c r="EG29" s="1222"/>
      <c r="EH29" s="1222"/>
      <c r="EI29" s="1222"/>
      <c r="EJ29" s="1222"/>
      <c r="EK29" s="1222"/>
      <c r="EL29" s="1222"/>
      <c r="EM29" s="1222"/>
      <c r="EN29" s="1222"/>
      <c r="EO29" s="1222"/>
      <c r="EP29" s="1222"/>
      <c r="EQ29" s="1222"/>
      <c r="ER29" s="1222"/>
      <c r="ES29" s="1222"/>
      <c r="ET29" s="1222"/>
      <c r="EU29" s="1222"/>
      <c r="EV29" s="1222"/>
      <c r="EW29" s="1222"/>
      <c r="EX29" s="1222"/>
      <c r="EY29" s="1222"/>
      <c r="EZ29" s="1222"/>
      <c r="FA29" s="1222"/>
      <c r="FB29" s="1222"/>
      <c r="FC29" s="1222"/>
      <c r="FD29" s="1222"/>
      <c r="FE29" s="1222"/>
      <c r="FF29" s="1222"/>
      <c r="FG29" s="1222"/>
      <c r="FH29" s="1222"/>
      <c r="FI29" s="1222"/>
      <c r="FJ29" s="1222"/>
      <c r="FK29" s="1222"/>
      <c r="FL29" s="1222"/>
      <c r="FM29" s="1222"/>
      <c r="FN29" s="1222"/>
      <c r="FO29" s="1222"/>
      <c r="FP29" s="1222"/>
      <c r="FQ29" s="1222"/>
      <c r="FR29" s="1222"/>
      <c r="FS29" s="1222"/>
      <c r="FT29" s="1222"/>
      <c r="FU29" s="1222"/>
      <c r="FV29" s="1222"/>
      <c r="FW29" s="1222"/>
      <c r="FX29" s="1213"/>
      <c r="FY29" s="936"/>
      <c r="FZ29" s="936"/>
      <c r="GA29" s="936"/>
      <c r="GB29" s="936"/>
    </row>
    <row s="936" customFormat="1" customHeight="1" ht="24.75">
      <c r="A30" s="936" t="s">
        <v>22</v>
      </c>
      <c r="B30" s="951"/>
      <c r="C30" s="936"/>
      <c r="D30" s="936"/>
      <c r="E30" s="694" t="s">
        <v>105</v>
      </c>
      <c r="F30" s="2419" t="s">
        <v>164</v>
      </c>
      <c r="G30" s="2592" t="s">
        <v>1376</v>
      </c>
      <c r="H30" s="1221" t="s">
        <v>1377</v>
      </c>
      <c r="I30" s="1990" t="s">
        <v>1272</v>
      </c>
      <c r="J30" s="1222"/>
      <c r="K30" s="1222"/>
      <c r="L30" s="1222"/>
      <c r="M30" s="1222"/>
      <c r="N30" s="1222"/>
      <c r="O30" s="1223">
        <v>0.3</v>
      </c>
      <c r="P30" s="1223">
        <v>0.3</v>
      </c>
      <c r="Q30" s="1223"/>
      <c r="R30" s="1223"/>
      <c r="S30" s="1223"/>
      <c r="T30" s="1223"/>
      <c r="U30" s="1223"/>
      <c r="V30" s="1223"/>
      <c r="W30" s="1223"/>
      <c r="X30" s="1223"/>
      <c r="Y30" s="1223"/>
      <c r="Z30" s="1223"/>
      <c r="AA30" s="1223"/>
      <c r="AB30" s="1223"/>
      <c r="AC30" s="1222"/>
      <c r="AD30" s="1222"/>
      <c r="AE30" s="1222"/>
      <c r="AF30" s="1222"/>
      <c r="AG30" s="1222"/>
      <c r="AH30" s="1222"/>
      <c r="AI30" s="1222"/>
      <c r="AJ30" s="1222"/>
      <c r="AK30" s="1222"/>
      <c r="AL30" s="1222"/>
      <c r="AM30" s="1222"/>
      <c r="AN30" s="1222"/>
      <c r="AO30" s="1222"/>
      <c r="AP30" s="1222"/>
      <c r="AQ30" s="1222"/>
      <c r="AR30" s="1222"/>
      <c r="AS30" s="1222"/>
      <c r="AT30" s="1222"/>
      <c r="AU30" s="1222"/>
      <c r="AV30" s="1222"/>
      <c r="AW30" s="1222"/>
      <c r="AX30" s="1222"/>
      <c r="AY30" s="1222"/>
      <c r="AZ30" s="1222"/>
      <c r="BA30" s="1222"/>
      <c r="BB30" s="1222"/>
      <c r="BC30" s="1222"/>
      <c r="BD30" s="1222"/>
      <c r="BE30" s="1222"/>
      <c r="BF30" s="1222"/>
      <c r="BG30" s="1222"/>
      <c r="BH30" s="1222"/>
      <c r="BI30" s="1222"/>
      <c r="BJ30" s="1222"/>
      <c r="BK30" s="1222"/>
      <c r="BL30" s="1222"/>
      <c r="BM30" s="1222"/>
      <c r="BN30" s="1222"/>
      <c r="BO30" s="1222"/>
      <c r="BP30" s="1222"/>
      <c r="BQ30" s="1222"/>
      <c r="BR30" s="1222"/>
      <c r="BS30" s="1222"/>
      <c r="BT30" s="1223"/>
      <c r="BU30" s="1223"/>
      <c r="BV30" s="1223"/>
      <c r="BW30" s="1223"/>
      <c r="BX30" s="1223"/>
      <c r="BY30" s="1223"/>
      <c r="BZ30" s="1223"/>
      <c r="CA30" s="1223"/>
      <c r="CB30" s="1223"/>
      <c r="CC30" s="1223"/>
      <c r="CD30" s="1223"/>
      <c r="CE30" s="1223"/>
      <c r="CF30" s="1223"/>
      <c r="CG30" s="1223"/>
      <c r="CH30" s="1223"/>
      <c r="CI30" s="1223"/>
      <c r="CJ30" s="1223"/>
      <c r="CK30" s="1223"/>
      <c r="CL30" s="1222"/>
      <c r="CM30" s="1222"/>
      <c r="CN30" s="1222"/>
      <c r="CO30" s="1222"/>
      <c r="CP30" s="1222"/>
      <c r="CQ30" s="1222"/>
      <c r="CR30" s="1222"/>
      <c r="CS30" s="1222"/>
      <c r="CT30" s="1222"/>
      <c r="CU30" s="1222"/>
      <c r="CV30" s="1222"/>
      <c r="CW30" s="1222"/>
      <c r="CX30" s="1222"/>
      <c r="CY30" s="1223"/>
      <c r="CZ30" s="1223"/>
      <c r="DA30" s="1223"/>
      <c r="DB30" s="1223"/>
      <c r="DC30" s="1223"/>
      <c r="DD30" s="1223"/>
      <c r="DE30" s="1223"/>
      <c r="DF30" s="1223"/>
      <c r="DG30" s="1223"/>
      <c r="DH30" s="1223"/>
      <c r="DI30" s="1223"/>
      <c r="DJ30" s="1223"/>
      <c r="DK30" s="1222"/>
      <c r="DL30" s="1222"/>
      <c r="DM30" s="1222"/>
      <c r="DN30" s="1222"/>
      <c r="DO30" s="1222"/>
      <c r="DP30" s="1222"/>
      <c r="DQ30" s="1222"/>
      <c r="DR30" s="1222"/>
      <c r="DS30" s="1222"/>
      <c r="DT30" s="1222"/>
      <c r="DU30" s="1222"/>
      <c r="DV30" s="1222"/>
      <c r="DW30" s="1222"/>
      <c r="DX30" s="1222"/>
      <c r="DY30" s="1222"/>
      <c r="DZ30" s="1222"/>
      <c r="EA30" s="1222"/>
      <c r="EB30" s="1222"/>
      <c r="EC30" s="1222"/>
      <c r="ED30" s="1222"/>
      <c r="EE30" s="1222"/>
      <c r="EF30" s="1222"/>
      <c r="EG30" s="1222"/>
      <c r="EH30" s="1222"/>
      <c r="EI30" s="1222"/>
      <c r="EJ30" s="1222"/>
      <c r="EK30" s="1222"/>
      <c r="EL30" s="1222"/>
      <c r="EM30" s="1222"/>
      <c r="EN30" s="1222"/>
      <c r="EO30" s="1222"/>
      <c r="EP30" s="1222"/>
      <c r="EQ30" s="1222"/>
      <c r="ER30" s="1222"/>
      <c r="ES30" s="1222"/>
      <c r="ET30" s="1222"/>
      <c r="EU30" s="1222"/>
      <c r="EV30" s="1222"/>
      <c r="EW30" s="1222"/>
      <c r="EX30" s="1222"/>
      <c r="EY30" s="1222"/>
      <c r="EZ30" s="1222"/>
      <c r="FA30" s="1222"/>
      <c r="FB30" s="1222"/>
      <c r="FC30" s="1222"/>
      <c r="FD30" s="1222"/>
      <c r="FE30" s="1222"/>
      <c r="FF30" s="1222"/>
      <c r="FG30" s="1222"/>
      <c r="FH30" s="1222"/>
      <c r="FI30" s="1222"/>
      <c r="FJ30" s="1222"/>
      <c r="FK30" s="1222"/>
      <c r="FL30" s="1222"/>
      <c r="FM30" s="1222"/>
      <c r="FN30" s="1222"/>
      <c r="FO30" s="1222"/>
      <c r="FP30" s="1222"/>
      <c r="FQ30" s="1222"/>
      <c r="FR30" s="1222"/>
      <c r="FS30" s="1222"/>
      <c r="FT30" s="1222"/>
      <c r="FU30" s="1222"/>
      <c r="FV30" s="1222"/>
      <c r="FW30" s="1222"/>
      <c r="FX30" s="1213"/>
      <c r="FY30" s="936"/>
      <c r="FZ30" s="936"/>
      <c r="GA30" s="936"/>
      <c r="GB30" s="936"/>
    </row>
    <row s="936" customFormat="1" customHeight="1" ht="24.75">
      <c r="A31" s="936" t="s">
        <v>22</v>
      </c>
      <c r="B31" s="951"/>
      <c r="C31" s="936"/>
      <c r="D31" s="936"/>
      <c r="E31" s="694" t="s">
        <v>105</v>
      </c>
      <c r="F31" s="2419" t="s">
        <v>165</v>
      </c>
      <c r="G31" s="2592" t="s">
        <v>1376</v>
      </c>
      <c r="H31" s="1221" t="s">
        <v>1377</v>
      </c>
      <c r="I31" s="1990" t="s">
        <v>1233</v>
      </c>
      <c r="J31" s="1222"/>
      <c r="K31" s="1222"/>
      <c r="L31" s="1222"/>
      <c r="M31" s="1222"/>
      <c r="N31" s="1222"/>
      <c r="O31" s="1223">
        <v>0</v>
      </c>
      <c r="P31" s="1223">
        <v>0</v>
      </c>
      <c r="Q31" s="1223"/>
      <c r="R31" s="1223"/>
      <c r="S31" s="1223"/>
      <c r="T31" s="1223"/>
      <c r="U31" s="1223">
        <v>1.3838301890405</v>
      </c>
      <c r="V31" s="1223">
        <v>1.2</v>
      </c>
      <c r="W31" s="1223"/>
      <c r="X31" s="1223"/>
      <c r="Y31" s="1223"/>
      <c r="Z31" s="1223"/>
      <c r="AA31" s="1223"/>
      <c r="AB31" s="1223"/>
      <c r="AC31" s="1222"/>
      <c r="AD31" s="1222"/>
      <c r="AE31" s="1222"/>
      <c r="AF31" s="1222"/>
      <c r="AG31" s="1222"/>
      <c r="AH31" s="1222"/>
      <c r="AI31" s="1222"/>
      <c r="AJ31" s="1222"/>
      <c r="AK31" s="1222"/>
      <c r="AL31" s="1222"/>
      <c r="AM31" s="1222"/>
      <c r="AN31" s="1222"/>
      <c r="AO31" s="1222"/>
      <c r="AP31" s="1222"/>
      <c r="AQ31" s="1222"/>
      <c r="AR31" s="1222"/>
      <c r="AS31" s="1222"/>
      <c r="AT31" s="1222"/>
      <c r="AU31" s="1222"/>
      <c r="AV31" s="1222"/>
      <c r="AW31" s="1222"/>
      <c r="AX31" s="1222"/>
      <c r="AY31" s="1222"/>
      <c r="AZ31" s="1222"/>
      <c r="BA31" s="1222"/>
      <c r="BB31" s="1222"/>
      <c r="BC31" s="1222"/>
      <c r="BD31" s="1222"/>
      <c r="BE31" s="1222"/>
      <c r="BF31" s="1222"/>
      <c r="BG31" s="1222"/>
      <c r="BH31" s="1222"/>
      <c r="BI31" s="1222"/>
      <c r="BJ31" s="1222"/>
      <c r="BK31" s="1222"/>
      <c r="BL31" s="1222"/>
      <c r="BM31" s="1222"/>
      <c r="BN31" s="1222"/>
      <c r="BO31" s="1222"/>
      <c r="BP31" s="1222"/>
      <c r="BQ31" s="1222"/>
      <c r="BR31" s="1222"/>
      <c r="BS31" s="1222"/>
      <c r="BT31" s="1223"/>
      <c r="BU31" s="1223"/>
      <c r="BV31" s="1223"/>
      <c r="BW31" s="1223"/>
      <c r="BX31" s="1223"/>
      <c r="BY31" s="1223"/>
      <c r="BZ31" s="1223"/>
      <c r="CA31" s="1223"/>
      <c r="CB31" s="1223"/>
      <c r="CC31" s="1223"/>
      <c r="CD31" s="1223"/>
      <c r="CE31" s="1223"/>
      <c r="CF31" s="1223"/>
      <c r="CG31" s="1223"/>
      <c r="CH31" s="1223"/>
      <c r="CI31" s="1223"/>
      <c r="CJ31" s="1223"/>
      <c r="CK31" s="1223"/>
      <c r="CL31" s="1222"/>
      <c r="CM31" s="1222"/>
      <c r="CN31" s="1222"/>
      <c r="CO31" s="1222"/>
      <c r="CP31" s="1222"/>
      <c r="CQ31" s="1222"/>
      <c r="CR31" s="1222"/>
      <c r="CS31" s="1222"/>
      <c r="CT31" s="1222"/>
      <c r="CU31" s="1222"/>
      <c r="CV31" s="1222"/>
      <c r="CW31" s="1222"/>
      <c r="CX31" s="1222"/>
      <c r="CY31" s="1223"/>
      <c r="CZ31" s="1223"/>
      <c r="DA31" s="1223"/>
      <c r="DB31" s="1223"/>
      <c r="DC31" s="1223"/>
      <c r="DD31" s="1223"/>
      <c r="DE31" s="1223"/>
      <c r="DF31" s="1223"/>
      <c r="DG31" s="1223"/>
      <c r="DH31" s="1223"/>
      <c r="DI31" s="1223"/>
      <c r="DJ31" s="1223"/>
      <c r="DK31" s="1222"/>
      <c r="DL31" s="1222"/>
      <c r="DM31" s="1222"/>
      <c r="DN31" s="1222"/>
      <c r="DO31" s="1222"/>
      <c r="DP31" s="1222"/>
      <c r="DQ31" s="1222"/>
      <c r="DR31" s="1222"/>
      <c r="DS31" s="1222"/>
      <c r="DT31" s="1222"/>
      <c r="DU31" s="1222"/>
      <c r="DV31" s="1222"/>
      <c r="DW31" s="1222"/>
      <c r="DX31" s="1222"/>
      <c r="DY31" s="1222"/>
      <c r="DZ31" s="1222"/>
      <c r="EA31" s="1222"/>
      <c r="EB31" s="1222"/>
      <c r="EC31" s="1222"/>
      <c r="ED31" s="1222"/>
      <c r="EE31" s="1222"/>
      <c r="EF31" s="1222"/>
      <c r="EG31" s="1222"/>
      <c r="EH31" s="1222"/>
      <c r="EI31" s="1222"/>
      <c r="EJ31" s="1222"/>
      <c r="EK31" s="1222"/>
      <c r="EL31" s="1222"/>
      <c r="EM31" s="1222"/>
      <c r="EN31" s="1222"/>
      <c r="EO31" s="1222"/>
      <c r="EP31" s="1222"/>
      <c r="EQ31" s="1222"/>
      <c r="ER31" s="1222"/>
      <c r="ES31" s="1222"/>
      <c r="ET31" s="1222"/>
      <c r="EU31" s="1222"/>
      <c r="EV31" s="1222"/>
      <c r="EW31" s="1222"/>
      <c r="EX31" s="1222"/>
      <c r="EY31" s="1222"/>
      <c r="EZ31" s="1222"/>
      <c r="FA31" s="1222"/>
      <c r="FB31" s="1222"/>
      <c r="FC31" s="1222"/>
      <c r="FD31" s="1222"/>
      <c r="FE31" s="1222"/>
      <c r="FF31" s="1222"/>
      <c r="FG31" s="1222"/>
      <c r="FH31" s="1222"/>
      <c r="FI31" s="1222"/>
      <c r="FJ31" s="1222"/>
      <c r="FK31" s="1222"/>
      <c r="FL31" s="1222"/>
      <c r="FM31" s="1222"/>
      <c r="FN31" s="1222"/>
      <c r="FO31" s="1222"/>
      <c r="FP31" s="1222"/>
      <c r="FQ31" s="1222"/>
      <c r="FR31" s="1222"/>
      <c r="FS31" s="1222"/>
      <c r="FT31" s="1222"/>
      <c r="FU31" s="1222"/>
      <c r="FV31" s="1222"/>
      <c r="FW31" s="1222"/>
      <c r="FX31" s="1213"/>
      <c r="FY31" s="936"/>
      <c r="FZ31" s="936"/>
      <c r="GA31" s="936"/>
      <c r="GB31" s="936"/>
    </row>
    <row s="936" customFormat="1" customHeight="1" ht="24.75">
      <c r="A32" s="936" t="s">
        <v>22</v>
      </c>
      <c r="B32" s="951"/>
      <c r="C32" s="936"/>
      <c r="D32" s="936"/>
      <c r="E32" s="694" t="s">
        <v>105</v>
      </c>
      <c r="F32" s="2419" t="s">
        <v>166</v>
      </c>
      <c r="G32" s="2592" t="s">
        <v>1376</v>
      </c>
      <c r="H32" s="1221" t="s">
        <v>1377</v>
      </c>
      <c r="I32" s="1990" t="s">
        <v>1193</v>
      </c>
      <c r="J32" s="1222"/>
      <c r="K32" s="1222"/>
      <c r="L32" s="1222"/>
      <c r="M32" s="1222"/>
      <c r="N32" s="1222"/>
      <c r="O32" s="1223"/>
      <c r="P32" s="1223"/>
      <c r="Q32" s="1223"/>
      <c r="R32" s="1223"/>
      <c r="S32" s="1223">
        <v>0.1604</v>
      </c>
      <c r="T32" s="1223">
        <v>0.168</v>
      </c>
      <c r="U32" s="1223"/>
      <c r="V32" s="1223"/>
      <c r="W32" s="1223"/>
      <c r="X32" s="1223"/>
      <c r="Y32" s="1223"/>
      <c r="Z32" s="1223"/>
      <c r="AA32" s="1223"/>
      <c r="AB32" s="1223"/>
      <c r="AC32" s="1222"/>
      <c r="AD32" s="1222"/>
      <c r="AE32" s="1222"/>
      <c r="AF32" s="1222"/>
      <c r="AG32" s="1222"/>
      <c r="AH32" s="1222"/>
      <c r="AI32" s="1222"/>
      <c r="AJ32" s="1222"/>
      <c r="AK32" s="1222"/>
      <c r="AL32" s="1222"/>
      <c r="AM32" s="1222"/>
      <c r="AN32" s="1222"/>
      <c r="AO32" s="1222"/>
      <c r="AP32" s="1222"/>
      <c r="AQ32" s="1222"/>
      <c r="AR32" s="1222"/>
      <c r="AS32" s="1222"/>
      <c r="AT32" s="1222"/>
      <c r="AU32" s="1222"/>
      <c r="AV32" s="1222"/>
      <c r="AW32" s="1222"/>
      <c r="AX32" s="1222"/>
      <c r="AY32" s="1222"/>
      <c r="AZ32" s="1222"/>
      <c r="BA32" s="1222"/>
      <c r="BB32" s="1222"/>
      <c r="BC32" s="1222"/>
      <c r="BD32" s="1222"/>
      <c r="BE32" s="1222"/>
      <c r="BF32" s="1222"/>
      <c r="BG32" s="1222"/>
      <c r="BH32" s="1222"/>
      <c r="BI32" s="1222"/>
      <c r="BJ32" s="1222"/>
      <c r="BK32" s="1222"/>
      <c r="BL32" s="1222"/>
      <c r="BM32" s="1222"/>
      <c r="BN32" s="1222"/>
      <c r="BO32" s="1222"/>
      <c r="BP32" s="1222"/>
      <c r="BQ32" s="1222"/>
      <c r="BR32" s="1222"/>
      <c r="BS32" s="1222"/>
      <c r="BT32" s="1223"/>
      <c r="BU32" s="1223"/>
      <c r="BV32" s="1223"/>
      <c r="BW32" s="1223"/>
      <c r="BX32" s="1223"/>
      <c r="BY32" s="1223"/>
      <c r="BZ32" s="1223"/>
      <c r="CA32" s="1223"/>
      <c r="CB32" s="1223"/>
      <c r="CC32" s="1223"/>
      <c r="CD32" s="1223"/>
      <c r="CE32" s="1223"/>
      <c r="CF32" s="1223"/>
      <c r="CG32" s="1223"/>
      <c r="CH32" s="1223"/>
      <c r="CI32" s="1223"/>
      <c r="CJ32" s="1223"/>
      <c r="CK32" s="1223"/>
      <c r="CL32" s="1222"/>
      <c r="CM32" s="1222"/>
      <c r="CN32" s="1222"/>
      <c r="CO32" s="1222"/>
      <c r="CP32" s="1222"/>
      <c r="CQ32" s="1222"/>
      <c r="CR32" s="1222"/>
      <c r="CS32" s="1222"/>
      <c r="CT32" s="1222"/>
      <c r="CU32" s="1222"/>
      <c r="CV32" s="1222"/>
      <c r="CW32" s="1222"/>
      <c r="CX32" s="1222"/>
      <c r="CY32" s="1223"/>
      <c r="CZ32" s="1223"/>
      <c r="DA32" s="1223"/>
      <c r="DB32" s="1223"/>
      <c r="DC32" s="1223"/>
      <c r="DD32" s="1223"/>
      <c r="DE32" s="1223"/>
      <c r="DF32" s="1223"/>
      <c r="DG32" s="1223"/>
      <c r="DH32" s="1223"/>
      <c r="DI32" s="1223"/>
      <c r="DJ32" s="1223"/>
      <c r="DK32" s="1222"/>
      <c r="DL32" s="1222"/>
      <c r="DM32" s="1222"/>
      <c r="DN32" s="1222"/>
      <c r="DO32" s="1222"/>
      <c r="DP32" s="1222"/>
      <c r="DQ32" s="1222"/>
      <c r="DR32" s="1222"/>
      <c r="DS32" s="1222"/>
      <c r="DT32" s="1222"/>
      <c r="DU32" s="1222"/>
      <c r="DV32" s="1222"/>
      <c r="DW32" s="1222"/>
      <c r="DX32" s="1222"/>
      <c r="DY32" s="1222"/>
      <c r="DZ32" s="1222"/>
      <c r="EA32" s="1222"/>
      <c r="EB32" s="1222"/>
      <c r="EC32" s="1222"/>
      <c r="ED32" s="1222"/>
      <c r="EE32" s="1222"/>
      <c r="EF32" s="1222"/>
      <c r="EG32" s="1222"/>
      <c r="EH32" s="1222"/>
      <c r="EI32" s="1222"/>
      <c r="EJ32" s="1222"/>
      <c r="EK32" s="1222"/>
      <c r="EL32" s="1222"/>
      <c r="EM32" s="1222"/>
      <c r="EN32" s="1222"/>
      <c r="EO32" s="1222"/>
      <c r="EP32" s="1222"/>
      <c r="EQ32" s="1222"/>
      <c r="ER32" s="1222"/>
      <c r="ES32" s="1222"/>
      <c r="ET32" s="1222"/>
      <c r="EU32" s="1222"/>
      <c r="EV32" s="1222"/>
      <c r="EW32" s="1222"/>
      <c r="EX32" s="1222"/>
      <c r="EY32" s="1222"/>
      <c r="EZ32" s="1222"/>
      <c r="FA32" s="1222"/>
      <c r="FB32" s="1222"/>
      <c r="FC32" s="1222"/>
      <c r="FD32" s="1222"/>
      <c r="FE32" s="1222"/>
      <c r="FF32" s="1222"/>
      <c r="FG32" s="1222"/>
      <c r="FH32" s="1222"/>
      <c r="FI32" s="1222"/>
      <c r="FJ32" s="1222"/>
      <c r="FK32" s="1222"/>
      <c r="FL32" s="1222"/>
      <c r="FM32" s="1222"/>
      <c r="FN32" s="1222"/>
      <c r="FO32" s="1222"/>
      <c r="FP32" s="1222"/>
      <c r="FQ32" s="1222"/>
      <c r="FR32" s="1222"/>
      <c r="FS32" s="1222"/>
      <c r="FT32" s="1222"/>
      <c r="FU32" s="1222"/>
      <c r="FV32" s="1222"/>
      <c r="FW32" s="1222"/>
      <c r="FX32" s="1213"/>
      <c r="FY32" s="936"/>
      <c r="FZ32" s="936"/>
      <c r="GA32" s="936"/>
      <c r="GB32" s="936"/>
    </row>
    <row s="936" customFormat="1" customHeight="1" ht="24.75">
      <c r="A33" s="936" t="s">
        <v>22</v>
      </c>
      <c r="B33" s="951"/>
      <c r="C33" s="936"/>
      <c r="D33" s="936"/>
      <c r="E33" s="694" t="s">
        <v>105</v>
      </c>
      <c r="F33" s="2419" t="s">
        <v>167</v>
      </c>
      <c r="G33" s="2592" t="s">
        <v>1376</v>
      </c>
      <c r="H33" s="1221" t="s">
        <v>1377</v>
      </c>
      <c r="I33" s="1990" t="s">
        <v>1158</v>
      </c>
      <c r="J33" s="1222"/>
      <c r="K33" s="1222"/>
      <c r="L33" s="1222"/>
      <c r="M33" s="1222"/>
      <c r="N33" s="1222"/>
      <c r="O33" s="1223"/>
      <c r="P33" s="1223"/>
      <c r="Q33" s="1223"/>
      <c r="R33" s="1223"/>
      <c r="S33" s="1223">
        <v>0.1716</v>
      </c>
      <c r="T33" s="1223">
        <v>0.158</v>
      </c>
      <c r="U33" s="1223"/>
      <c r="V33" s="1223"/>
      <c r="W33" s="1223"/>
      <c r="X33" s="1223"/>
      <c r="Y33" s="1223"/>
      <c r="Z33" s="1223"/>
      <c r="AA33" s="1223"/>
      <c r="AB33" s="1223"/>
      <c r="AC33" s="1222"/>
      <c r="AD33" s="1222"/>
      <c r="AE33" s="1222"/>
      <c r="AF33" s="1222"/>
      <c r="AG33" s="1222"/>
      <c r="AH33" s="1222"/>
      <c r="AI33" s="1222"/>
      <c r="AJ33" s="1222"/>
      <c r="AK33" s="1222"/>
      <c r="AL33" s="1222"/>
      <c r="AM33" s="1222"/>
      <c r="AN33" s="1222"/>
      <c r="AO33" s="1222"/>
      <c r="AP33" s="1222"/>
      <c r="AQ33" s="1222"/>
      <c r="AR33" s="1222"/>
      <c r="AS33" s="1222"/>
      <c r="AT33" s="1222"/>
      <c r="AU33" s="1222"/>
      <c r="AV33" s="1222"/>
      <c r="AW33" s="1222"/>
      <c r="AX33" s="1222"/>
      <c r="AY33" s="1222"/>
      <c r="AZ33" s="1222"/>
      <c r="BA33" s="1222"/>
      <c r="BB33" s="1222"/>
      <c r="BC33" s="1222"/>
      <c r="BD33" s="1222"/>
      <c r="BE33" s="1222"/>
      <c r="BF33" s="1222"/>
      <c r="BG33" s="1222"/>
      <c r="BH33" s="1222"/>
      <c r="BI33" s="1222"/>
      <c r="BJ33" s="1222"/>
      <c r="BK33" s="1222"/>
      <c r="BL33" s="1222"/>
      <c r="BM33" s="1222"/>
      <c r="BN33" s="1222"/>
      <c r="BO33" s="1222"/>
      <c r="BP33" s="1222"/>
      <c r="BQ33" s="1222"/>
      <c r="BR33" s="1222"/>
      <c r="BS33" s="1222"/>
      <c r="BT33" s="1223"/>
      <c r="BU33" s="1223"/>
      <c r="BV33" s="1223"/>
      <c r="BW33" s="1223"/>
      <c r="BX33" s="1223"/>
      <c r="BY33" s="1223"/>
      <c r="BZ33" s="1223"/>
      <c r="CA33" s="1223"/>
      <c r="CB33" s="1223"/>
      <c r="CC33" s="1223"/>
      <c r="CD33" s="1223"/>
      <c r="CE33" s="1223"/>
      <c r="CF33" s="1223"/>
      <c r="CG33" s="1223"/>
      <c r="CH33" s="1223"/>
      <c r="CI33" s="1223"/>
      <c r="CJ33" s="1223"/>
      <c r="CK33" s="1223"/>
      <c r="CL33" s="1222"/>
      <c r="CM33" s="1222"/>
      <c r="CN33" s="1222"/>
      <c r="CO33" s="1222"/>
      <c r="CP33" s="1222"/>
      <c r="CQ33" s="1222"/>
      <c r="CR33" s="1222"/>
      <c r="CS33" s="1222"/>
      <c r="CT33" s="1222"/>
      <c r="CU33" s="1222"/>
      <c r="CV33" s="1222"/>
      <c r="CW33" s="1222"/>
      <c r="CX33" s="1222"/>
      <c r="CY33" s="1223"/>
      <c r="CZ33" s="1223"/>
      <c r="DA33" s="1223"/>
      <c r="DB33" s="1223"/>
      <c r="DC33" s="1223"/>
      <c r="DD33" s="1223"/>
      <c r="DE33" s="1223"/>
      <c r="DF33" s="1223"/>
      <c r="DG33" s="1223"/>
      <c r="DH33" s="1223"/>
      <c r="DI33" s="1223"/>
      <c r="DJ33" s="1223"/>
      <c r="DK33" s="1222"/>
      <c r="DL33" s="1222"/>
      <c r="DM33" s="1222"/>
      <c r="DN33" s="1222"/>
      <c r="DO33" s="1222"/>
      <c r="DP33" s="1222"/>
      <c r="DQ33" s="1222"/>
      <c r="DR33" s="1222"/>
      <c r="DS33" s="1222"/>
      <c r="DT33" s="1222"/>
      <c r="DU33" s="1222"/>
      <c r="DV33" s="1222"/>
      <c r="DW33" s="1222"/>
      <c r="DX33" s="1222"/>
      <c r="DY33" s="1222"/>
      <c r="DZ33" s="1222"/>
      <c r="EA33" s="1222"/>
      <c r="EB33" s="1222"/>
      <c r="EC33" s="1222"/>
      <c r="ED33" s="1222"/>
      <c r="EE33" s="1222"/>
      <c r="EF33" s="1222"/>
      <c r="EG33" s="1222"/>
      <c r="EH33" s="1222"/>
      <c r="EI33" s="1222"/>
      <c r="EJ33" s="1222"/>
      <c r="EK33" s="1222"/>
      <c r="EL33" s="1222"/>
      <c r="EM33" s="1222"/>
      <c r="EN33" s="1222"/>
      <c r="EO33" s="1222"/>
      <c r="EP33" s="1222"/>
      <c r="EQ33" s="1222"/>
      <c r="ER33" s="1222"/>
      <c r="ES33" s="1222"/>
      <c r="ET33" s="1222"/>
      <c r="EU33" s="1222"/>
      <c r="EV33" s="1222"/>
      <c r="EW33" s="1222"/>
      <c r="EX33" s="1222"/>
      <c r="EY33" s="1222"/>
      <c r="EZ33" s="1222"/>
      <c r="FA33" s="1222"/>
      <c r="FB33" s="1222"/>
      <c r="FC33" s="1222"/>
      <c r="FD33" s="1222"/>
      <c r="FE33" s="1222"/>
      <c r="FF33" s="1222"/>
      <c r="FG33" s="1222"/>
      <c r="FH33" s="1222"/>
      <c r="FI33" s="1222"/>
      <c r="FJ33" s="1222"/>
      <c r="FK33" s="1222"/>
      <c r="FL33" s="1222"/>
      <c r="FM33" s="1222"/>
      <c r="FN33" s="1222"/>
      <c r="FO33" s="1222"/>
      <c r="FP33" s="1222"/>
      <c r="FQ33" s="1222"/>
      <c r="FR33" s="1222"/>
      <c r="FS33" s="1222"/>
      <c r="FT33" s="1222"/>
      <c r="FU33" s="1222"/>
      <c r="FV33" s="1222"/>
      <c r="FW33" s="1222"/>
      <c r="FX33" s="1213"/>
      <c r="FY33" s="936"/>
      <c r="FZ33" s="936"/>
      <c r="GA33" s="936"/>
      <c r="GB33" s="936"/>
    </row>
    <row s="936" customFormat="1" customHeight="1" ht="24.75">
      <c r="A34" s="936" t="s">
        <v>22</v>
      </c>
      <c r="B34" s="951"/>
      <c r="C34" s="936"/>
      <c r="D34" s="936"/>
      <c r="E34" s="694" t="s">
        <v>105</v>
      </c>
      <c r="F34" s="2419" t="s">
        <v>168</v>
      </c>
      <c r="G34" s="2592" t="s">
        <v>1376</v>
      </c>
      <c r="H34" s="1221" t="s">
        <v>1377</v>
      </c>
      <c r="I34" s="1990" t="s">
        <v>1168</v>
      </c>
      <c r="J34" s="1222"/>
      <c r="K34" s="1222"/>
      <c r="L34" s="1222"/>
      <c r="M34" s="1222"/>
      <c r="N34" s="1222"/>
      <c r="O34" s="1223"/>
      <c r="P34" s="1223"/>
      <c r="Q34" s="1223"/>
      <c r="R34" s="1223"/>
      <c r="S34" s="1223">
        <v>0.2026</v>
      </c>
      <c r="T34" s="1223">
        <v>0.198</v>
      </c>
      <c r="U34" s="1223"/>
      <c r="V34" s="1223"/>
      <c r="W34" s="1223"/>
      <c r="X34" s="1223"/>
      <c r="Y34" s="1223"/>
      <c r="Z34" s="1223"/>
      <c r="AA34" s="1223"/>
      <c r="AB34" s="1223"/>
      <c r="AC34" s="1222"/>
      <c r="AD34" s="1222"/>
      <c r="AE34" s="1222"/>
      <c r="AF34" s="1222"/>
      <c r="AG34" s="1222"/>
      <c r="AH34" s="1222"/>
      <c r="AI34" s="1222"/>
      <c r="AJ34" s="1222"/>
      <c r="AK34" s="1222"/>
      <c r="AL34" s="1222"/>
      <c r="AM34" s="1222"/>
      <c r="AN34" s="1222"/>
      <c r="AO34" s="1222"/>
      <c r="AP34" s="1222"/>
      <c r="AQ34" s="1222"/>
      <c r="AR34" s="1222"/>
      <c r="AS34" s="1222"/>
      <c r="AT34" s="1222"/>
      <c r="AU34" s="1222"/>
      <c r="AV34" s="1222"/>
      <c r="AW34" s="1222"/>
      <c r="AX34" s="1222"/>
      <c r="AY34" s="1222"/>
      <c r="AZ34" s="1222"/>
      <c r="BA34" s="1222"/>
      <c r="BB34" s="1222"/>
      <c r="BC34" s="1222"/>
      <c r="BD34" s="1222"/>
      <c r="BE34" s="1222"/>
      <c r="BF34" s="1222"/>
      <c r="BG34" s="1222"/>
      <c r="BH34" s="1222"/>
      <c r="BI34" s="1222"/>
      <c r="BJ34" s="1222"/>
      <c r="BK34" s="1222"/>
      <c r="BL34" s="1222"/>
      <c r="BM34" s="1222"/>
      <c r="BN34" s="1222"/>
      <c r="BO34" s="1222"/>
      <c r="BP34" s="1222"/>
      <c r="BQ34" s="1222"/>
      <c r="BR34" s="1222"/>
      <c r="BS34" s="1222"/>
      <c r="BT34" s="1223"/>
      <c r="BU34" s="1223"/>
      <c r="BV34" s="1223"/>
      <c r="BW34" s="1223"/>
      <c r="BX34" s="1223"/>
      <c r="BY34" s="1223"/>
      <c r="BZ34" s="1223"/>
      <c r="CA34" s="1223"/>
      <c r="CB34" s="1223"/>
      <c r="CC34" s="1223"/>
      <c r="CD34" s="1223"/>
      <c r="CE34" s="1223"/>
      <c r="CF34" s="1223"/>
      <c r="CG34" s="1223"/>
      <c r="CH34" s="1223"/>
      <c r="CI34" s="1223"/>
      <c r="CJ34" s="1223"/>
      <c r="CK34" s="1223"/>
      <c r="CL34" s="1222"/>
      <c r="CM34" s="1222"/>
      <c r="CN34" s="1222"/>
      <c r="CO34" s="1222"/>
      <c r="CP34" s="1222"/>
      <c r="CQ34" s="1222"/>
      <c r="CR34" s="1222"/>
      <c r="CS34" s="1222"/>
      <c r="CT34" s="1222"/>
      <c r="CU34" s="1222"/>
      <c r="CV34" s="1222"/>
      <c r="CW34" s="1222"/>
      <c r="CX34" s="1222"/>
      <c r="CY34" s="1223"/>
      <c r="CZ34" s="1223"/>
      <c r="DA34" s="1223"/>
      <c r="DB34" s="1223"/>
      <c r="DC34" s="1223"/>
      <c r="DD34" s="1223"/>
      <c r="DE34" s="1223"/>
      <c r="DF34" s="1223"/>
      <c r="DG34" s="1223"/>
      <c r="DH34" s="1223"/>
      <c r="DI34" s="1223"/>
      <c r="DJ34" s="1223"/>
      <c r="DK34" s="1222"/>
      <c r="DL34" s="1222"/>
      <c r="DM34" s="1222"/>
      <c r="DN34" s="1222"/>
      <c r="DO34" s="1222"/>
      <c r="DP34" s="1222"/>
      <c r="DQ34" s="1222"/>
      <c r="DR34" s="1222"/>
      <c r="DS34" s="1222"/>
      <c r="DT34" s="1222"/>
      <c r="DU34" s="1222"/>
      <c r="DV34" s="1222"/>
      <c r="DW34" s="1222"/>
      <c r="DX34" s="1222"/>
      <c r="DY34" s="1222"/>
      <c r="DZ34" s="1222"/>
      <c r="EA34" s="1222"/>
      <c r="EB34" s="1222"/>
      <c r="EC34" s="1222"/>
      <c r="ED34" s="1222"/>
      <c r="EE34" s="1222"/>
      <c r="EF34" s="1222"/>
      <c r="EG34" s="1222"/>
      <c r="EH34" s="1222"/>
      <c r="EI34" s="1222"/>
      <c r="EJ34" s="1222"/>
      <c r="EK34" s="1222"/>
      <c r="EL34" s="1222"/>
      <c r="EM34" s="1222"/>
      <c r="EN34" s="1222"/>
      <c r="EO34" s="1222"/>
      <c r="EP34" s="1222"/>
      <c r="EQ34" s="1222"/>
      <c r="ER34" s="1222"/>
      <c r="ES34" s="1222"/>
      <c r="ET34" s="1222"/>
      <c r="EU34" s="1222"/>
      <c r="EV34" s="1222"/>
      <c r="EW34" s="1222"/>
      <c r="EX34" s="1222"/>
      <c r="EY34" s="1222"/>
      <c r="EZ34" s="1222"/>
      <c r="FA34" s="1222"/>
      <c r="FB34" s="1222"/>
      <c r="FC34" s="1222"/>
      <c r="FD34" s="1222"/>
      <c r="FE34" s="1222"/>
      <c r="FF34" s="1222"/>
      <c r="FG34" s="1222"/>
      <c r="FH34" s="1222"/>
      <c r="FI34" s="1222"/>
      <c r="FJ34" s="1222"/>
      <c r="FK34" s="1222"/>
      <c r="FL34" s="1222"/>
      <c r="FM34" s="1222"/>
      <c r="FN34" s="1222"/>
      <c r="FO34" s="1222"/>
      <c r="FP34" s="1222"/>
      <c r="FQ34" s="1222"/>
      <c r="FR34" s="1222"/>
      <c r="FS34" s="1222"/>
      <c r="FT34" s="1222"/>
      <c r="FU34" s="1222"/>
      <c r="FV34" s="1222"/>
      <c r="FW34" s="1222"/>
      <c r="FX34" s="1213"/>
      <c r="FY34" s="936"/>
      <c r="FZ34" s="936"/>
      <c r="GA34" s="936"/>
      <c r="GB34" s="936"/>
    </row>
    <row s="936" customFormat="1" customHeight="1" ht="24.75">
      <c r="A35" s="936" t="s">
        <v>22</v>
      </c>
      <c r="B35" s="951"/>
      <c r="C35" s="936"/>
      <c r="D35" s="936"/>
      <c r="E35" s="694" t="s">
        <v>105</v>
      </c>
      <c r="F35" s="2419" t="s">
        <v>169</v>
      </c>
      <c r="G35" s="2592" t="s">
        <v>1376</v>
      </c>
      <c r="H35" s="1221" t="s">
        <v>1377</v>
      </c>
      <c r="I35" s="1990" t="s">
        <v>1240</v>
      </c>
      <c r="J35" s="1222"/>
      <c r="K35" s="1222"/>
      <c r="L35" s="1222"/>
      <c r="M35" s="1222"/>
      <c r="N35" s="1222"/>
      <c r="O35" s="1223"/>
      <c r="P35" s="1223"/>
      <c r="Q35" s="1223">
        <v>0</v>
      </c>
      <c r="R35" s="1223">
        <v>0</v>
      </c>
      <c r="S35" s="1223"/>
      <c r="T35" s="1223"/>
      <c r="U35" s="1223"/>
      <c r="V35" s="1223"/>
      <c r="W35" s="1223"/>
      <c r="X35" s="1223"/>
      <c r="Y35" s="1223"/>
      <c r="Z35" s="1223"/>
      <c r="AA35" s="1223"/>
      <c r="AB35" s="1223"/>
      <c r="AC35" s="1222"/>
      <c r="AD35" s="1222"/>
      <c r="AE35" s="1222"/>
      <c r="AF35" s="1222"/>
      <c r="AG35" s="1222"/>
      <c r="AH35" s="1222"/>
      <c r="AI35" s="1222"/>
      <c r="AJ35" s="1222"/>
      <c r="AK35" s="1222"/>
      <c r="AL35" s="1222"/>
      <c r="AM35" s="1222"/>
      <c r="AN35" s="1222"/>
      <c r="AO35" s="1222"/>
      <c r="AP35" s="1222"/>
      <c r="AQ35" s="1222"/>
      <c r="AR35" s="1222"/>
      <c r="AS35" s="1222"/>
      <c r="AT35" s="1222"/>
      <c r="AU35" s="1222"/>
      <c r="AV35" s="1222"/>
      <c r="AW35" s="1222"/>
      <c r="AX35" s="1222"/>
      <c r="AY35" s="1222"/>
      <c r="AZ35" s="1222"/>
      <c r="BA35" s="1222"/>
      <c r="BB35" s="1222"/>
      <c r="BC35" s="1222"/>
      <c r="BD35" s="1222"/>
      <c r="BE35" s="1222"/>
      <c r="BF35" s="1222"/>
      <c r="BG35" s="1222"/>
      <c r="BH35" s="1222"/>
      <c r="BI35" s="1222"/>
      <c r="BJ35" s="1222"/>
      <c r="BK35" s="1222"/>
      <c r="BL35" s="1222"/>
      <c r="BM35" s="1222"/>
      <c r="BN35" s="1222"/>
      <c r="BO35" s="1222"/>
      <c r="BP35" s="1222"/>
      <c r="BQ35" s="1222"/>
      <c r="BR35" s="1222"/>
      <c r="BS35" s="1222"/>
      <c r="BT35" s="1223"/>
      <c r="BU35" s="1223"/>
      <c r="BV35" s="1223"/>
      <c r="BW35" s="1223"/>
      <c r="BX35" s="1223"/>
      <c r="BY35" s="1223"/>
      <c r="BZ35" s="1223"/>
      <c r="CA35" s="1223"/>
      <c r="CB35" s="1223"/>
      <c r="CC35" s="1223"/>
      <c r="CD35" s="1223"/>
      <c r="CE35" s="1223"/>
      <c r="CF35" s="1223"/>
      <c r="CG35" s="1223"/>
      <c r="CH35" s="1223"/>
      <c r="CI35" s="1223"/>
      <c r="CJ35" s="1223"/>
      <c r="CK35" s="1223"/>
      <c r="CL35" s="1222"/>
      <c r="CM35" s="1222"/>
      <c r="CN35" s="1222"/>
      <c r="CO35" s="1222"/>
      <c r="CP35" s="1222"/>
      <c r="CQ35" s="1222"/>
      <c r="CR35" s="1222"/>
      <c r="CS35" s="1222"/>
      <c r="CT35" s="1222"/>
      <c r="CU35" s="1222"/>
      <c r="CV35" s="1222"/>
      <c r="CW35" s="1222"/>
      <c r="CX35" s="1222"/>
      <c r="CY35" s="1223"/>
      <c r="CZ35" s="1223"/>
      <c r="DA35" s="1223"/>
      <c r="DB35" s="1223"/>
      <c r="DC35" s="1223"/>
      <c r="DD35" s="1223"/>
      <c r="DE35" s="1223"/>
      <c r="DF35" s="1223"/>
      <c r="DG35" s="1223"/>
      <c r="DH35" s="1223"/>
      <c r="DI35" s="1223"/>
      <c r="DJ35" s="1223"/>
      <c r="DK35" s="1222"/>
      <c r="DL35" s="1222"/>
      <c r="DM35" s="1222"/>
      <c r="DN35" s="1222"/>
      <c r="DO35" s="1222"/>
      <c r="DP35" s="1222"/>
      <c r="DQ35" s="1222"/>
      <c r="DR35" s="1222"/>
      <c r="DS35" s="1222"/>
      <c r="DT35" s="1222"/>
      <c r="DU35" s="1222"/>
      <c r="DV35" s="1222"/>
      <c r="DW35" s="1222"/>
      <c r="DX35" s="1222"/>
      <c r="DY35" s="1222"/>
      <c r="DZ35" s="1222"/>
      <c r="EA35" s="1222"/>
      <c r="EB35" s="1222"/>
      <c r="EC35" s="1222"/>
      <c r="ED35" s="1222"/>
      <c r="EE35" s="1222"/>
      <c r="EF35" s="1222"/>
      <c r="EG35" s="1222"/>
      <c r="EH35" s="1222"/>
      <c r="EI35" s="1222"/>
      <c r="EJ35" s="1222"/>
      <c r="EK35" s="1222"/>
      <c r="EL35" s="1222"/>
      <c r="EM35" s="1222"/>
      <c r="EN35" s="1222"/>
      <c r="EO35" s="1222"/>
      <c r="EP35" s="1222"/>
      <c r="EQ35" s="1222"/>
      <c r="ER35" s="1222"/>
      <c r="ES35" s="1222"/>
      <c r="ET35" s="1222"/>
      <c r="EU35" s="1222"/>
      <c r="EV35" s="1222"/>
      <c r="EW35" s="1222"/>
      <c r="EX35" s="1222"/>
      <c r="EY35" s="1222"/>
      <c r="EZ35" s="1222"/>
      <c r="FA35" s="1222"/>
      <c r="FB35" s="1222"/>
      <c r="FC35" s="1222"/>
      <c r="FD35" s="1222"/>
      <c r="FE35" s="1222"/>
      <c r="FF35" s="1222"/>
      <c r="FG35" s="1222"/>
      <c r="FH35" s="1222"/>
      <c r="FI35" s="1222"/>
      <c r="FJ35" s="1222"/>
      <c r="FK35" s="1222"/>
      <c r="FL35" s="1222"/>
      <c r="FM35" s="1222"/>
      <c r="FN35" s="1222"/>
      <c r="FO35" s="1222"/>
      <c r="FP35" s="1222"/>
      <c r="FQ35" s="1222"/>
      <c r="FR35" s="1222"/>
      <c r="FS35" s="1222"/>
      <c r="FT35" s="1222"/>
      <c r="FU35" s="1222"/>
      <c r="FV35" s="1222"/>
      <c r="FW35" s="1222"/>
      <c r="FX35" s="1213"/>
      <c r="FY35" s="936"/>
      <c r="FZ35" s="936"/>
      <c r="GA35" s="936"/>
      <c r="GB35" s="936"/>
    </row>
    <row s="936" customFormat="1" customHeight="1" ht="24.75">
      <c r="A36" s="936" t="s">
        <v>22</v>
      </c>
      <c r="B36" s="951"/>
      <c r="C36" s="936"/>
      <c r="D36" s="936"/>
      <c r="E36" s="694" t="s">
        <v>105</v>
      </c>
      <c r="F36" s="2419" t="s">
        <v>1165</v>
      </c>
      <c r="G36" s="2592" t="s">
        <v>1376</v>
      </c>
      <c r="H36" s="1221" t="s">
        <v>1377</v>
      </c>
      <c r="I36" s="1990" t="s">
        <v>1173</v>
      </c>
      <c r="J36" s="1222"/>
      <c r="K36" s="1222"/>
      <c r="L36" s="1222"/>
      <c r="M36" s="1222"/>
      <c r="N36" s="1222"/>
      <c r="O36" s="1223"/>
      <c r="P36" s="1223"/>
      <c r="Q36" s="1223">
        <v>0</v>
      </c>
      <c r="R36" s="1223">
        <v>0</v>
      </c>
      <c r="S36" s="1223">
        <v>0.181673</v>
      </c>
      <c r="T36" s="1223">
        <v>0.182518</v>
      </c>
      <c r="U36" s="1223"/>
      <c r="V36" s="1223"/>
      <c r="W36" s="1223"/>
      <c r="X36" s="1223"/>
      <c r="Y36" s="1223"/>
      <c r="Z36" s="1223"/>
      <c r="AA36" s="1223"/>
      <c r="AB36" s="1223"/>
      <c r="AC36" s="1222"/>
      <c r="AD36" s="1222"/>
      <c r="AE36" s="1222"/>
      <c r="AF36" s="1222"/>
      <c r="AG36" s="1222"/>
      <c r="AH36" s="1222"/>
      <c r="AI36" s="1222"/>
      <c r="AJ36" s="1222"/>
      <c r="AK36" s="1222"/>
      <c r="AL36" s="1222"/>
      <c r="AM36" s="1222"/>
      <c r="AN36" s="1222"/>
      <c r="AO36" s="1222"/>
      <c r="AP36" s="1222"/>
      <c r="AQ36" s="1222"/>
      <c r="AR36" s="1222"/>
      <c r="AS36" s="1222"/>
      <c r="AT36" s="1222"/>
      <c r="AU36" s="1222"/>
      <c r="AV36" s="1222"/>
      <c r="AW36" s="1222"/>
      <c r="AX36" s="1222"/>
      <c r="AY36" s="1222"/>
      <c r="AZ36" s="1222"/>
      <c r="BA36" s="1222"/>
      <c r="BB36" s="1222"/>
      <c r="BC36" s="1222"/>
      <c r="BD36" s="1222"/>
      <c r="BE36" s="1222"/>
      <c r="BF36" s="1222"/>
      <c r="BG36" s="1222"/>
      <c r="BH36" s="1222"/>
      <c r="BI36" s="1222"/>
      <c r="BJ36" s="1222"/>
      <c r="BK36" s="1222"/>
      <c r="BL36" s="1222"/>
      <c r="BM36" s="1222"/>
      <c r="BN36" s="1222"/>
      <c r="BO36" s="1222"/>
      <c r="BP36" s="1222"/>
      <c r="BQ36" s="1222"/>
      <c r="BR36" s="1222"/>
      <c r="BS36" s="1222"/>
      <c r="BT36" s="1223"/>
      <c r="BU36" s="1223"/>
      <c r="BV36" s="1223"/>
      <c r="BW36" s="1223"/>
      <c r="BX36" s="1223"/>
      <c r="BY36" s="1223"/>
      <c r="BZ36" s="1223"/>
      <c r="CA36" s="1223"/>
      <c r="CB36" s="1223"/>
      <c r="CC36" s="1223"/>
      <c r="CD36" s="1223"/>
      <c r="CE36" s="1223"/>
      <c r="CF36" s="1223"/>
      <c r="CG36" s="1223"/>
      <c r="CH36" s="1223"/>
      <c r="CI36" s="1223"/>
      <c r="CJ36" s="1223"/>
      <c r="CK36" s="1223"/>
      <c r="CL36" s="1222"/>
      <c r="CM36" s="1222"/>
      <c r="CN36" s="1222"/>
      <c r="CO36" s="1222"/>
      <c r="CP36" s="1222"/>
      <c r="CQ36" s="1222"/>
      <c r="CR36" s="1222"/>
      <c r="CS36" s="1222"/>
      <c r="CT36" s="1222"/>
      <c r="CU36" s="1222"/>
      <c r="CV36" s="1222"/>
      <c r="CW36" s="1222"/>
      <c r="CX36" s="1222"/>
      <c r="CY36" s="1223"/>
      <c r="CZ36" s="1223"/>
      <c r="DA36" s="1223"/>
      <c r="DB36" s="1223"/>
      <c r="DC36" s="1223"/>
      <c r="DD36" s="1223"/>
      <c r="DE36" s="1223"/>
      <c r="DF36" s="1223"/>
      <c r="DG36" s="1223"/>
      <c r="DH36" s="1223"/>
      <c r="DI36" s="1223"/>
      <c r="DJ36" s="1223"/>
      <c r="DK36" s="1222"/>
      <c r="DL36" s="1222"/>
      <c r="DM36" s="1222"/>
      <c r="DN36" s="1222"/>
      <c r="DO36" s="1222"/>
      <c r="DP36" s="1222"/>
      <c r="DQ36" s="1222"/>
      <c r="DR36" s="1222"/>
      <c r="DS36" s="1222"/>
      <c r="DT36" s="1222"/>
      <c r="DU36" s="1222"/>
      <c r="DV36" s="1222"/>
      <c r="DW36" s="1222"/>
      <c r="DX36" s="1222"/>
      <c r="DY36" s="1222"/>
      <c r="DZ36" s="1222"/>
      <c r="EA36" s="1222"/>
      <c r="EB36" s="1222"/>
      <c r="EC36" s="1222"/>
      <c r="ED36" s="1222"/>
      <c r="EE36" s="1222"/>
      <c r="EF36" s="1222"/>
      <c r="EG36" s="1222"/>
      <c r="EH36" s="1222"/>
      <c r="EI36" s="1222"/>
      <c r="EJ36" s="1222"/>
      <c r="EK36" s="1222"/>
      <c r="EL36" s="1222"/>
      <c r="EM36" s="1222"/>
      <c r="EN36" s="1222"/>
      <c r="EO36" s="1222"/>
      <c r="EP36" s="1222"/>
      <c r="EQ36" s="1222"/>
      <c r="ER36" s="1222"/>
      <c r="ES36" s="1222"/>
      <c r="ET36" s="1222"/>
      <c r="EU36" s="1222"/>
      <c r="EV36" s="1222"/>
      <c r="EW36" s="1222"/>
      <c r="EX36" s="1222"/>
      <c r="EY36" s="1222"/>
      <c r="EZ36" s="1222"/>
      <c r="FA36" s="1222"/>
      <c r="FB36" s="1222"/>
      <c r="FC36" s="1222"/>
      <c r="FD36" s="1222"/>
      <c r="FE36" s="1222"/>
      <c r="FF36" s="1222"/>
      <c r="FG36" s="1222"/>
      <c r="FH36" s="1222"/>
      <c r="FI36" s="1222"/>
      <c r="FJ36" s="1222"/>
      <c r="FK36" s="1222"/>
      <c r="FL36" s="1222"/>
      <c r="FM36" s="1222"/>
      <c r="FN36" s="1222"/>
      <c r="FO36" s="1222"/>
      <c r="FP36" s="1222"/>
      <c r="FQ36" s="1222"/>
      <c r="FR36" s="1222"/>
      <c r="FS36" s="1222"/>
      <c r="FT36" s="1222"/>
      <c r="FU36" s="1222"/>
      <c r="FV36" s="1222"/>
      <c r="FW36" s="1222"/>
      <c r="FX36" s="1213"/>
      <c r="FY36" s="936"/>
      <c r="FZ36" s="936"/>
      <c r="GA36" s="936"/>
      <c r="GB36" s="936"/>
    </row>
    <row s="936" customFormat="1" customHeight="1" ht="24.75">
      <c r="A37" s="936" t="s">
        <v>22</v>
      </c>
      <c r="B37" s="951"/>
      <c r="C37" s="936"/>
      <c r="D37" s="936"/>
      <c r="E37" s="694" t="s">
        <v>105</v>
      </c>
      <c r="F37" s="2419" t="s">
        <v>1167</v>
      </c>
      <c r="G37" s="2592" t="s">
        <v>1376</v>
      </c>
      <c r="H37" s="1221" t="s">
        <v>1377</v>
      </c>
      <c r="I37" s="1990" t="s">
        <v>1242</v>
      </c>
      <c r="J37" s="1222"/>
      <c r="K37" s="1222"/>
      <c r="L37" s="1222"/>
      <c r="M37" s="1222"/>
      <c r="N37" s="1222"/>
      <c r="O37" s="1223"/>
      <c r="P37" s="1223"/>
      <c r="Q37" s="1223">
        <v>0</v>
      </c>
      <c r="R37" s="1223">
        <v>0</v>
      </c>
      <c r="S37" s="1223"/>
      <c r="T37" s="1223"/>
      <c r="U37" s="1223"/>
      <c r="V37" s="1223"/>
      <c r="W37" s="1223"/>
      <c r="X37" s="1223"/>
      <c r="Y37" s="1223"/>
      <c r="Z37" s="1223"/>
      <c r="AA37" s="1223"/>
      <c r="AB37" s="1223"/>
      <c r="AC37" s="1222"/>
      <c r="AD37" s="1222"/>
      <c r="AE37" s="1222"/>
      <c r="AF37" s="1222"/>
      <c r="AG37" s="1222"/>
      <c r="AH37" s="1222"/>
      <c r="AI37" s="1222"/>
      <c r="AJ37" s="1222"/>
      <c r="AK37" s="1222"/>
      <c r="AL37" s="1222"/>
      <c r="AM37" s="1222"/>
      <c r="AN37" s="1222"/>
      <c r="AO37" s="1222"/>
      <c r="AP37" s="1222"/>
      <c r="AQ37" s="1222"/>
      <c r="AR37" s="1222"/>
      <c r="AS37" s="1222"/>
      <c r="AT37" s="1222"/>
      <c r="AU37" s="1222"/>
      <c r="AV37" s="1222"/>
      <c r="AW37" s="1222"/>
      <c r="AX37" s="1222"/>
      <c r="AY37" s="1222"/>
      <c r="AZ37" s="1222"/>
      <c r="BA37" s="1222"/>
      <c r="BB37" s="1222"/>
      <c r="BC37" s="1222"/>
      <c r="BD37" s="1222"/>
      <c r="BE37" s="1222"/>
      <c r="BF37" s="1222"/>
      <c r="BG37" s="1222"/>
      <c r="BH37" s="1222"/>
      <c r="BI37" s="1222"/>
      <c r="BJ37" s="1222"/>
      <c r="BK37" s="1222"/>
      <c r="BL37" s="1222"/>
      <c r="BM37" s="1222"/>
      <c r="BN37" s="1222"/>
      <c r="BO37" s="1222"/>
      <c r="BP37" s="1222"/>
      <c r="BQ37" s="1222"/>
      <c r="BR37" s="1222"/>
      <c r="BS37" s="1222"/>
      <c r="BT37" s="1223"/>
      <c r="BU37" s="1223"/>
      <c r="BV37" s="1223"/>
      <c r="BW37" s="1223"/>
      <c r="BX37" s="1223"/>
      <c r="BY37" s="1223"/>
      <c r="BZ37" s="1223"/>
      <c r="CA37" s="1223"/>
      <c r="CB37" s="1223"/>
      <c r="CC37" s="1223"/>
      <c r="CD37" s="1223"/>
      <c r="CE37" s="1223"/>
      <c r="CF37" s="1223"/>
      <c r="CG37" s="1223"/>
      <c r="CH37" s="1223"/>
      <c r="CI37" s="1223"/>
      <c r="CJ37" s="1223"/>
      <c r="CK37" s="1223"/>
      <c r="CL37" s="1222"/>
      <c r="CM37" s="1222"/>
      <c r="CN37" s="1222"/>
      <c r="CO37" s="1222"/>
      <c r="CP37" s="1222"/>
      <c r="CQ37" s="1222"/>
      <c r="CR37" s="1222"/>
      <c r="CS37" s="1222"/>
      <c r="CT37" s="1222"/>
      <c r="CU37" s="1222"/>
      <c r="CV37" s="1222"/>
      <c r="CW37" s="1222"/>
      <c r="CX37" s="1222"/>
      <c r="CY37" s="1223"/>
      <c r="CZ37" s="1223"/>
      <c r="DA37" s="1223"/>
      <c r="DB37" s="1223"/>
      <c r="DC37" s="1223"/>
      <c r="DD37" s="1223"/>
      <c r="DE37" s="1223"/>
      <c r="DF37" s="1223"/>
      <c r="DG37" s="1223"/>
      <c r="DH37" s="1223"/>
      <c r="DI37" s="1223"/>
      <c r="DJ37" s="1223"/>
      <c r="DK37" s="1222"/>
      <c r="DL37" s="1222"/>
      <c r="DM37" s="1222"/>
      <c r="DN37" s="1222"/>
      <c r="DO37" s="1222"/>
      <c r="DP37" s="1222"/>
      <c r="DQ37" s="1222"/>
      <c r="DR37" s="1222"/>
      <c r="DS37" s="1222"/>
      <c r="DT37" s="1222"/>
      <c r="DU37" s="1222"/>
      <c r="DV37" s="1222"/>
      <c r="DW37" s="1222"/>
      <c r="DX37" s="1222"/>
      <c r="DY37" s="1222"/>
      <c r="DZ37" s="1222"/>
      <c r="EA37" s="1222"/>
      <c r="EB37" s="1222"/>
      <c r="EC37" s="1222"/>
      <c r="ED37" s="1222"/>
      <c r="EE37" s="1222"/>
      <c r="EF37" s="1222"/>
      <c r="EG37" s="1222"/>
      <c r="EH37" s="1222"/>
      <c r="EI37" s="1222"/>
      <c r="EJ37" s="1222"/>
      <c r="EK37" s="1222"/>
      <c r="EL37" s="1222"/>
      <c r="EM37" s="1222"/>
      <c r="EN37" s="1222"/>
      <c r="EO37" s="1222"/>
      <c r="EP37" s="1222"/>
      <c r="EQ37" s="1222"/>
      <c r="ER37" s="1222"/>
      <c r="ES37" s="1222"/>
      <c r="ET37" s="1222"/>
      <c r="EU37" s="1222"/>
      <c r="EV37" s="1222"/>
      <c r="EW37" s="1222"/>
      <c r="EX37" s="1222"/>
      <c r="EY37" s="1222"/>
      <c r="EZ37" s="1222"/>
      <c r="FA37" s="1222"/>
      <c r="FB37" s="1222"/>
      <c r="FC37" s="1222"/>
      <c r="FD37" s="1222"/>
      <c r="FE37" s="1222"/>
      <c r="FF37" s="1222"/>
      <c r="FG37" s="1222"/>
      <c r="FH37" s="1222"/>
      <c r="FI37" s="1222"/>
      <c r="FJ37" s="1222"/>
      <c r="FK37" s="1222"/>
      <c r="FL37" s="1222"/>
      <c r="FM37" s="1222"/>
      <c r="FN37" s="1222"/>
      <c r="FO37" s="1222"/>
      <c r="FP37" s="1222"/>
      <c r="FQ37" s="1222"/>
      <c r="FR37" s="1222"/>
      <c r="FS37" s="1222"/>
      <c r="FT37" s="1222"/>
      <c r="FU37" s="1222"/>
      <c r="FV37" s="1222"/>
      <c r="FW37" s="1222"/>
      <c r="FX37" s="1213"/>
      <c r="FY37" s="936"/>
      <c r="FZ37" s="936"/>
      <c r="GA37" s="936"/>
      <c r="GB37" s="936"/>
    </row>
    <row s="936" customFormat="1" customHeight="1" ht="24.75">
      <c r="A38" s="936" t="s">
        <v>22</v>
      </c>
      <c r="B38" s="951"/>
      <c r="C38" s="936"/>
      <c r="D38" s="936"/>
      <c r="E38" s="694" t="s">
        <v>105</v>
      </c>
      <c r="F38" s="2419" t="s">
        <v>1172</v>
      </c>
      <c r="G38" s="2592" t="s">
        <v>1376</v>
      </c>
      <c r="H38" s="1221" t="s">
        <v>1377</v>
      </c>
      <c r="I38" s="1990" t="s">
        <v>1243</v>
      </c>
      <c r="J38" s="1222"/>
      <c r="K38" s="1222"/>
      <c r="L38" s="1222"/>
      <c r="M38" s="1222"/>
      <c r="N38" s="1222"/>
      <c r="O38" s="1223"/>
      <c r="P38" s="1223"/>
      <c r="Q38" s="1223">
        <v>1.093</v>
      </c>
      <c r="R38" s="1223">
        <v>0</v>
      </c>
      <c r="S38" s="1223">
        <v>0.180844</v>
      </c>
      <c r="T38" s="1223">
        <v>0.183135</v>
      </c>
      <c r="U38" s="1223"/>
      <c r="V38" s="1223"/>
      <c r="W38" s="1223"/>
      <c r="X38" s="1223"/>
      <c r="Y38" s="1223"/>
      <c r="Z38" s="1223"/>
      <c r="AA38" s="1223"/>
      <c r="AB38" s="1223"/>
      <c r="AC38" s="1222"/>
      <c r="AD38" s="1222"/>
      <c r="AE38" s="1222"/>
      <c r="AF38" s="1222"/>
      <c r="AG38" s="1222"/>
      <c r="AH38" s="1222"/>
      <c r="AI38" s="1222"/>
      <c r="AJ38" s="1222"/>
      <c r="AK38" s="1222"/>
      <c r="AL38" s="1222"/>
      <c r="AM38" s="1222"/>
      <c r="AN38" s="1222"/>
      <c r="AO38" s="1222"/>
      <c r="AP38" s="1222"/>
      <c r="AQ38" s="1222"/>
      <c r="AR38" s="1222"/>
      <c r="AS38" s="1222"/>
      <c r="AT38" s="1222"/>
      <c r="AU38" s="1222"/>
      <c r="AV38" s="1222"/>
      <c r="AW38" s="1222"/>
      <c r="AX38" s="1222"/>
      <c r="AY38" s="1222"/>
      <c r="AZ38" s="1222"/>
      <c r="BA38" s="1222"/>
      <c r="BB38" s="1222"/>
      <c r="BC38" s="1222"/>
      <c r="BD38" s="1222"/>
      <c r="BE38" s="1222"/>
      <c r="BF38" s="1222"/>
      <c r="BG38" s="1222"/>
      <c r="BH38" s="1222"/>
      <c r="BI38" s="1222"/>
      <c r="BJ38" s="1222"/>
      <c r="BK38" s="1222"/>
      <c r="BL38" s="1222"/>
      <c r="BM38" s="1222"/>
      <c r="BN38" s="1222"/>
      <c r="BO38" s="1222"/>
      <c r="BP38" s="1222"/>
      <c r="BQ38" s="1222"/>
      <c r="BR38" s="1222"/>
      <c r="BS38" s="1222"/>
      <c r="BT38" s="1223"/>
      <c r="BU38" s="1223"/>
      <c r="BV38" s="1223"/>
      <c r="BW38" s="1223"/>
      <c r="BX38" s="1223"/>
      <c r="BY38" s="1223"/>
      <c r="BZ38" s="1223"/>
      <c r="CA38" s="1223"/>
      <c r="CB38" s="1223"/>
      <c r="CC38" s="1223"/>
      <c r="CD38" s="1223"/>
      <c r="CE38" s="1223"/>
      <c r="CF38" s="1223"/>
      <c r="CG38" s="1223"/>
      <c r="CH38" s="1223"/>
      <c r="CI38" s="1223"/>
      <c r="CJ38" s="1223"/>
      <c r="CK38" s="1223"/>
      <c r="CL38" s="1222"/>
      <c r="CM38" s="1222"/>
      <c r="CN38" s="1222"/>
      <c r="CO38" s="1222"/>
      <c r="CP38" s="1222"/>
      <c r="CQ38" s="1222"/>
      <c r="CR38" s="1222"/>
      <c r="CS38" s="1222"/>
      <c r="CT38" s="1222"/>
      <c r="CU38" s="1222"/>
      <c r="CV38" s="1222"/>
      <c r="CW38" s="1222"/>
      <c r="CX38" s="1222"/>
      <c r="CY38" s="1223"/>
      <c r="CZ38" s="1223"/>
      <c r="DA38" s="1223"/>
      <c r="DB38" s="1223"/>
      <c r="DC38" s="1223"/>
      <c r="DD38" s="1223"/>
      <c r="DE38" s="1223"/>
      <c r="DF38" s="1223"/>
      <c r="DG38" s="1223"/>
      <c r="DH38" s="1223"/>
      <c r="DI38" s="1223"/>
      <c r="DJ38" s="1223"/>
      <c r="DK38" s="1222"/>
      <c r="DL38" s="1222"/>
      <c r="DM38" s="1222"/>
      <c r="DN38" s="1222"/>
      <c r="DO38" s="1222"/>
      <c r="DP38" s="1222"/>
      <c r="DQ38" s="1222"/>
      <c r="DR38" s="1222"/>
      <c r="DS38" s="1222"/>
      <c r="DT38" s="1222"/>
      <c r="DU38" s="1222"/>
      <c r="DV38" s="1222"/>
      <c r="DW38" s="1222"/>
      <c r="DX38" s="1222"/>
      <c r="DY38" s="1222"/>
      <c r="DZ38" s="1222"/>
      <c r="EA38" s="1222"/>
      <c r="EB38" s="1222"/>
      <c r="EC38" s="1222"/>
      <c r="ED38" s="1222"/>
      <c r="EE38" s="1222"/>
      <c r="EF38" s="1222"/>
      <c r="EG38" s="1222"/>
      <c r="EH38" s="1222"/>
      <c r="EI38" s="1222"/>
      <c r="EJ38" s="1222"/>
      <c r="EK38" s="1222"/>
      <c r="EL38" s="1222"/>
      <c r="EM38" s="1222"/>
      <c r="EN38" s="1222"/>
      <c r="EO38" s="1222"/>
      <c r="EP38" s="1222"/>
      <c r="EQ38" s="1222"/>
      <c r="ER38" s="1222"/>
      <c r="ES38" s="1222"/>
      <c r="ET38" s="1222"/>
      <c r="EU38" s="1222"/>
      <c r="EV38" s="1222"/>
      <c r="EW38" s="1222"/>
      <c r="EX38" s="1222"/>
      <c r="EY38" s="1222"/>
      <c r="EZ38" s="1222"/>
      <c r="FA38" s="1222"/>
      <c r="FB38" s="1222"/>
      <c r="FC38" s="1222"/>
      <c r="FD38" s="1222"/>
      <c r="FE38" s="1222"/>
      <c r="FF38" s="1222"/>
      <c r="FG38" s="1222"/>
      <c r="FH38" s="1222"/>
      <c r="FI38" s="1222"/>
      <c r="FJ38" s="1222"/>
      <c r="FK38" s="1222"/>
      <c r="FL38" s="1222"/>
      <c r="FM38" s="1222"/>
      <c r="FN38" s="1222"/>
      <c r="FO38" s="1222"/>
      <c r="FP38" s="1222"/>
      <c r="FQ38" s="1222"/>
      <c r="FR38" s="1222"/>
      <c r="FS38" s="1222"/>
      <c r="FT38" s="1222"/>
      <c r="FU38" s="1222"/>
      <c r="FV38" s="1222"/>
      <c r="FW38" s="1222"/>
      <c r="FX38" s="1213"/>
      <c r="FY38" s="936"/>
      <c r="FZ38" s="936"/>
      <c r="GA38" s="936"/>
      <c r="GB38" s="936"/>
    </row>
    <row s="936" customFormat="1" customHeight="1" ht="24.75">
      <c r="A39" s="936" t="s">
        <v>22</v>
      </c>
      <c r="B39" s="951"/>
      <c r="C39" s="936"/>
      <c r="D39" s="936"/>
      <c r="E39" s="694" t="s">
        <v>105</v>
      </c>
      <c r="F39" s="2419" t="s">
        <v>1177</v>
      </c>
      <c r="G39" s="2592" t="s">
        <v>1376</v>
      </c>
      <c r="H39" s="1221" t="s">
        <v>1377</v>
      </c>
      <c r="I39" s="1990" t="s">
        <v>1178</v>
      </c>
      <c r="J39" s="1222"/>
      <c r="K39" s="1222"/>
      <c r="L39" s="1222"/>
      <c r="M39" s="1222"/>
      <c r="N39" s="1222"/>
      <c r="O39" s="1223"/>
      <c r="P39" s="1223"/>
      <c r="Q39" s="1223">
        <v>0</v>
      </c>
      <c r="R39" s="1223">
        <v>0</v>
      </c>
      <c r="S39" s="1223"/>
      <c r="T39" s="1223"/>
      <c r="U39" s="1223"/>
      <c r="V39" s="1223"/>
      <c r="W39" s="1223"/>
      <c r="X39" s="1223"/>
      <c r="Y39" s="1223"/>
      <c r="Z39" s="1223"/>
      <c r="AA39" s="1223"/>
      <c r="AB39" s="1223"/>
      <c r="AC39" s="1222"/>
      <c r="AD39" s="1222"/>
      <c r="AE39" s="1222"/>
      <c r="AF39" s="1222"/>
      <c r="AG39" s="1222"/>
      <c r="AH39" s="1222"/>
      <c r="AI39" s="1222"/>
      <c r="AJ39" s="1222"/>
      <c r="AK39" s="1222"/>
      <c r="AL39" s="1222"/>
      <c r="AM39" s="1222"/>
      <c r="AN39" s="1222"/>
      <c r="AO39" s="1222"/>
      <c r="AP39" s="1222"/>
      <c r="AQ39" s="1222"/>
      <c r="AR39" s="1222"/>
      <c r="AS39" s="1222"/>
      <c r="AT39" s="1222"/>
      <c r="AU39" s="1222"/>
      <c r="AV39" s="1222"/>
      <c r="AW39" s="1222"/>
      <c r="AX39" s="1222"/>
      <c r="AY39" s="1222"/>
      <c r="AZ39" s="1222"/>
      <c r="BA39" s="1222"/>
      <c r="BB39" s="1222"/>
      <c r="BC39" s="1222"/>
      <c r="BD39" s="1222"/>
      <c r="BE39" s="1222"/>
      <c r="BF39" s="1222"/>
      <c r="BG39" s="1222"/>
      <c r="BH39" s="1222"/>
      <c r="BI39" s="1222"/>
      <c r="BJ39" s="1222"/>
      <c r="BK39" s="1222"/>
      <c r="BL39" s="1222"/>
      <c r="BM39" s="1222"/>
      <c r="BN39" s="1222"/>
      <c r="BO39" s="1222"/>
      <c r="BP39" s="1222"/>
      <c r="BQ39" s="1222"/>
      <c r="BR39" s="1222"/>
      <c r="BS39" s="1222"/>
      <c r="BT39" s="1223"/>
      <c r="BU39" s="1223"/>
      <c r="BV39" s="1223"/>
      <c r="BW39" s="1223"/>
      <c r="BX39" s="1223"/>
      <c r="BY39" s="1223"/>
      <c r="BZ39" s="1223"/>
      <c r="CA39" s="1223"/>
      <c r="CB39" s="1223"/>
      <c r="CC39" s="1223"/>
      <c r="CD39" s="1223"/>
      <c r="CE39" s="1223"/>
      <c r="CF39" s="1223"/>
      <c r="CG39" s="1223"/>
      <c r="CH39" s="1223"/>
      <c r="CI39" s="1223"/>
      <c r="CJ39" s="1223"/>
      <c r="CK39" s="1223"/>
      <c r="CL39" s="1222"/>
      <c r="CM39" s="1222"/>
      <c r="CN39" s="1222"/>
      <c r="CO39" s="1222"/>
      <c r="CP39" s="1222"/>
      <c r="CQ39" s="1222"/>
      <c r="CR39" s="1222"/>
      <c r="CS39" s="1222"/>
      <c r="CT39" s="1222"/>
      <c r="CU39" s="1222"/>
      <c r="CV39" s="1222"/>
      <c r="CW39" s="1222"/>
      <c r="CX39" s="1222"/>
      <c r="CY39" s="1223"/>
      <c r="CZ39" s="1223"/>
      <c r="DA39" s="1223"/>
      <c r="DB39" s="1223"/>
      <c r="DC39" s="1223"/>
      <c r="DD39" s="1223"/>
      <c r="DE39" s="1223"/>
      <c r="DF39" s="1223"/>
      <c r="DG39" s="1223"/>
      <c r="DH39" s="1223"/>
      <c r="DI39" s="1223"/>
      <c r="DJ39" s="1223"/>
      <c r="DK39" s="1222"/>
      <c r="DL39" s="1222"/>
      <c r="DM39" s="1222"/>
      <c r="DN39" s="1222"/>
      <c r="DO39" s="1222"/>
      <c r="DP39" s="1222"/>
      <c r="DQ39" s="1222"/>
      <c r="DR39" s="1222"/>
      <c r="DS39" s="1222"/>
      <c r="DT39" s="1222"/>
      <c r="DU39" s="1222"/>
      <c r="DV39" s="1222"/>
      <c r="DW39" s="1222"/>
      <c r="DX39" s="1222"/>
      <c r="DY39" s="1222"/>
      <c r="DZ39" s="1222"/>
      <c r="EA39" s="1222"/>
      <c r="EB39" s="1222"/>
      <c r="EC39" s="1222"/>
      <c r="ED39" s="1222"/>
      <c r="EE39" s="1222"/>
      <c r="EF39" s="1222"/>
      <c r="EG39" s="1222"/>
      <c r="EH39" s="1222"/>
      <c r="EI39" s="1222"/>
      <c r="EJ39" s="1222"/>
      <c r="EK39" s="1222"/>
      <c r="EL39" s="1222"/>
      <c r="EM39" s="1222"/>
      <c r="EN39" s="1222"/>
      <c r="EO39" s="1222"/>
      <c r="EP39" s="1222"/>
      <c r="EQ39" s="1222"/>
      <c r="ER39" s="1222"/>
      <c r="ES39" s="1222"/>
      <c r="ET39" s="1222"/>
      <c r="EU39" s="1222"/>
      <c r="EV39" s="1222"/>
      <c r="EW39" s="1222"/>
      <c r="EX39" s="1222"/>
      <c r="EY39" s="1222"/>
      <c r="EZ39" s="1222"/>
      <c r="FA39" s="1222"/>
      <c r="FB39" s="1222"/>
      <c r="FC39" s="1222"/>
      <c r="FD39" s="1222"/>
      <c r="FE39" s="1222"/>
      <c r="FF39" s="1222"/>
      <c r="FG39" s="1222"/>
      <c r="FH39" s="1222"/>
      <c r="FI39" s="1222"/>
      <c r="FJ39" s="1222"/>
      <c r="FK39" s="1222"/>
      <c r="FL39" s="1222"/>
      <c r="FM39" s="1222"/>
      <c r="FN39" s="1222"/>
      <c r="FO39" s="1222"/>
      <c r="FP39" s="1222"/>
      <c r="FQ39" s="1222"/>
      <c r="FR39" s="1222"/>
      <c r="FS39" s="1222"/>
      <c r="FT39" s="1222"/>
      <c r="FU39" s="1222"/>
      <c r="FV39" s="1222"/>
      <c r="FW39" s="1222"/>
      <c r="FX39" s="1213"/>
      <c r="FY39" s="936"/>
      <c r="FZ39" s="936"/>
      <c r="GA39" s="936"/>
      <c r="GB39" s="936"/>
    </row>
    <row s="936" customFormat="1" customHeight="1" ht="24.75">
      <c r="A40" s="936" t="s">
        <v>22</v>
      </c>
      <c r="B40" s="951"/>
      <c r="C40" s="936"/>
      <c r="D40" s="936"/>
      <c r="E40" s="694" t="s">
        <v>105</v>
      </c>
      <c r="F40" s="2419" t="s">
        <v>1179</v>
      </c>
      <c r="G40" s="2592" t="s">
        <v>1376</v>
      </c>
      <c r="H40" s="1221" t="s">
        <v>1377</v>
      </c>
      <c r="I40" s="1990" t="s">
        <v>1273</v>
      </c>
      <c r="J40" s="1222"/>
      <c r="K40" s="1222"/>
      <c r="L40" s="1222"/>
      <c r="M40" s="1222"/>
      <c r="N40" s="1222"/>
      <c r="O40" s="1223"/>
      <c r="P40" s="1223"/>
      <c r="Q40" s="1223">
        <v>0</v>
      </c>
      <c r="R40" s="1223">
        <v>0</v>
      </c>
      <c r="S40" s="1223"/>
      <c r="T40" s="1223"/>
      <c r="U40" s="1223"/>
      <c r="V40" s="1223"/>
      <c r="W40" s="1223"/>
      <c r="X40" s="1223"/>
      <c r="Y40" s="1223"/>
      <c r="Z40" s="1223"/>
      <c r="AA40" s="1223"/>
      <c r="AB40" s="1223"/>
      <c r="AC40" s="1222"/>
      <c r="AD40" s="1222"/>
      <c r="AE40" s="1222"/>
      <c r="AF40" s="1222"/>
      <c r="AG40" s="1222"/>
      <c r="AH40" s="1222"/>
      <c r="AI40" s="1222"/>
      <c r="AJ40" s="1222"/>
      <c r="AK40" s="1222"/>
      <c r="AL40" s="1222"/>
      <c r="AM40" s="1222"/>
      <c r="AN40" s="1222"/>
      <c r="AO40" s="1222"/>
      <c r="AP40" s="1222"/>
      <c r="AQ40" s="1222"/>
      <c r="AR40" s="1222"/>
      <c r="AS40" s="1222"/>
      <c r="AT40" s="1222"/>
      <c r="AU40" s="1222"/>
      <c r="AV40" s="1222"/>
      <c r="AW40" s="1222"/>
      <c r="AX40" s="1222"/>
      <c r="AY40" s="1222"/>
      <c r="AZ40" s="1222"/>
      <c r="BA40" s="1222"/>
      <c r="BB40" s="1222"/>
      <c r="BC40" s="1222"/>
      <c r="BD40" s="1222"/>
      <c r="BE40" s="1222"/>
      <c r="BF40" s="1222"/>
      <c r="BG40" s="1222"/>
      <c r="BH40" s="1222"/>
      <c r="BI40" s="1222"/>
      <c r="BJ40" s="1222"/>
      <c r="BK40" s="1222"/>
      <c r="BL40" s="1222"/>
      <c r="BM40" s="1222"/>
      <c r="BN40" s="1222"/>
      <c r="BO40" s="1222"/>
      <c r="BP40" s="1222"/>
      <c r="BQ40" s="1222"/>
      <c r="BR40" s="1222"/>
      <c r="BS40" s="1222"/>
      <c r="BT40" s="1223"/>
      <c r="BU40" s="1223"/>
      <c r="BV40" s="1223"/>
      <c r="BW40" s="1223"/>
      <c r="BX40" s="1223"/>
      <c r="BY40" s="1223"/>
      <c r="BZ40" s="1223"/>
      <c r="CA40" s="1223"/>
      <c r="CB40" s="1223"/>
      <c r="CC40" s="1223"/>
      <c r="CD40" s="1223"/>
      <c r="CE40" s="1223"/>
      <c r="CF40" s="1223"/>
      <c r="CG40" s="1223"/>
      <c r="CH40" s="1223"/>
      <c r="CI40" s="1223"/>
      <c r="CJ40" s="1223"/>
      <c r="CK40" s="1223"/>
      <c r="CL40" s="1222"/>
      <c r="CM40" s="1222"/>
      <c r="CN40" s="1222"/>
      <c r="CO40" s="1222"/>
      <c r="CP40" s="1222"/>
      <c r="CQ40" s="1222"/>
      <c r="CR40" s="1222"/>
      <c r="CS40" s="1222"/>
      <c r="CT40" s="1222"/>
      <c r="CU40" s="1222"/>
      <c r="CV40" s="1222"/>
      <c r="CW40" s="1222"/>
      <c r="CX40" s="1222"/>
      <c r="CY40" s="1223"/>
      <c r="CZ40" s="1223"/>
      <c r="DA40" s="1223"/>
      <c r="DB40" s="1223"/>
      <c r="DC40" s="1223"/>
      <c r="DD40" s="1223"/>
      <c r="DE40" s="1223"/>
      <c r="DF40" s="1223"/>
      <c r="DG40" s="1223"/>
      <c r="DH40" s="1223"/>
      <c r="DI40" s="1223"/>
      <c r="DJ40" s="1223"/>
      <c r="DK40" s="1222"/>
      <c r="DL40" s="1222"/>
      <c r="DM40" s="1222"/>
      <c r="DN40" s="1222"/>
      <c r="DO40" s="1222"/>
      <c r="DP40" s="1222"/>
      <c r="DQ40" s="1222"/>
      <c r="DR40" s="1222"/>
      <c r="DS40" s="1222"/>
      <c r="DT40" s="1222"/>
      <c r="DU40" s="1222"/>
      <c r="DV40" s="1222"/>
      <c r="DW40" s="1222"/>
      <c r="DX40" s="1222"/>
      <c r="DY40" s="1222"/>
      <c r="DZ40" s="1222"/>
      <c r="EA40" s="1222"/>
      <c r="EB40" s="1222"/>
      <c r="EC40" s="1222"/>
      <c r="ED40" s="1222"/>
      <c r="EE40" s="1222"/>
      <c r="EF40" s="1222"/>
      <c r="EG40" s="1222"/>
      <c r="EH40" s="1222"/>
      <c r="EI40" s="1222"/>
      <c r="EJ40" s="1222"/>
      <c r="EK40" s="1222"/>
      <c r="EL40" s="1222"/>
      <c r="EM40" s="1222"/>
      <c r="EN40" s="1222"/>
      <c r="EO40" s="1222"/>
      <c r="EP40" s="1222"/>
      <c r="EQ40" s="1222"/>
      <c r="ER40" s="1222"/>
      <c r="ES40" s="1222"/>
      <c r="ET40" s="1222"/>
      <c r="EU40" s="1222"/>
      <c r="EV40" s="1222"/>
      <c r="EW40" s="1222"/>
      <c r="EX40" s="1222"/>
      <c r="EY40" s="1222"/>
      <c r="EZ40" s="1222"/>
      <c r="FA40" s="1222"/>
      <c r="FB40" s="1222"/>
      <c r="FC40" s="1222"/>
      <c r="FD40" s="1222"/>
      <c r="FE40" s="1222"/>
      <c r="FF40" s="1222"/>
      <c r="FG40" s="1222"/>
      <c r="FH40" s="1222"/>
      <c r="FI40" s="1222"/>
      <c r="FJ40" s="1222"/>
      <c r="FK40" s="1222"/>
      <c r="FL40" s="1222"/>
      <c r="FM40" s="1222"/>
      <c r="FN40" s="1222"/>
      <c r="FO40" s="1222"/>
      <c r="FP40" s="1222"/>
      <c r="FQ40" s="1222"/>
      <c r="FR40" s="1222"/>
      <c r="FS40" s="1222"/>
      <c r="FT40" s="1222"/>
      <c r="FU40" s="1222"/>
      <c r="FV40" s="1222"/>
      <c r="FW40" s="1222"/>
      <c r="FX40" s="1213"/>
      <c r="FY40" s="936"/>
      <c r="FZ40" s="936"/>
      <c r="GA40" s="936"/>
      <c r="GB40" s="936"/>
    </row>
    <row s="936" customFormat="1" customHeight="1" ht="24.75">
      <c r="A41" s="936" t="s">
        <v>22</v>
      </c>
      <c r="B41" s="951"/>
      <c r="C41" s="936"/>
      <c r="D41" s="936"/>
      <c r="E41" s="694" t="s">
        <v>105</v>
      </c>
      <c r="F41" s="2419" t="s">
        <v>1186</v>
      </c>
      <c r="G41" s="2592" t="s">
        <v>1376</v>
      </c>
      <c r="H41" s="1221" t="s">
        <v>1377</v>
      </c>
      <c r="I41" s="1990" t="s">
        <v>1257</v>
      </c>
      <c r="J41" s="1222"/>
      <c r="K41" s="1222"/>
      <c r="L41" s="1222"/>
      <c r="M41" s="1222"/>
      <c r="N41" s="1222"/>
      <c r="O41" s="1223"/>
      <c r="P41" s="1223"/>
      <c r="Q41" s="1223">
        <v>0</v>
      </c>
      <c r="R41" s="1223">
        <v>0</v>
      </c>
      <c r="S41" s="1223"/>
      <c r="T41" s="1223"/>
      <c r="U41" s="1223"/>
      <c r="V41" s="1223"/>
      <c r="W41" s="1223"/>
      <c r="X41" s="1223"/>
      <c r="Y41" s="1223"/>
      <c r="Z41" s="1223"/>
      <c r="AA41" s="1223"/>
      <c r="AB41" s="1223"/>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3"/>
      <c r="BU41" s="1223"/>
      <c r="BV41" s="1223"/>
      <c r="BW41" s="1223"/>
      <c r="BX41" s="1223"/>
      <c r="BY41" s="1223"/>
      <c r="BZ41" s="1223"/>
      <c r="CA41" s="1223"/>
      <c r="CB41" s="1223"/>
      <c r="CC41" s="1223"/>
      <c r="CD41" s="1223"/>
      <c r="CE41" s="1223"/>
      <c r="CF41" s="1223"/>
      <c r="CG41" s="1223"/>
      <c r="CH41" s="1223"/>
      <c r="CI41" s="1223"/>
      <c r="CJ41" s="1223"/>
      <c r="CK41" s="1223"/>
      <c r="CL41" s="1222"/>
      <c r="CM41" s="1222"/>
      <c r="CN41" s="1222"/>
      <c r="CO41" s="1222"/>
      <c r="CP41" s="1222"/>
      <c r="CQ41" s="1222"/>
      <c r="CR41" s="1222"/>
      <c r="CS41" s="1222"/>
      <c r="CT41" s="1222"/>
      <c r="CU41" s="1222"/>
      <c r="CV41" s="1222"/>
      <c r="CW41" s="1222"/>
      <c r="CX41" s="1222"/>
      <c r="CY41" s="1223"/>
      <c r="CZ41" s="1223"/>
      <c r="DA41" s="1223"/>
      <c r="DB41" s="1223"/>
      <c r="DC41" s="1223"/>
      <c r="DD41" s="1223"/>
      <c r="DE41" s="1223"/>
      <c r="DF41" s="1223"/>
      <c r="DG41" s="1223"/>
      <c r="DH41" s="1223"/>
      <c r="DI41" s="1223"/>
      <c r="DJ41" s="1223"/>
      <c r="DK41" s="1222"/>
      <c r="DL41" s="1222"/>
      <c r="DM41" s="1222"/>
      <c r="DN41" s="1222"/>
      <c r="DO41" s="1222"/>
      <c r="DP41" s="1222"/>
      <c r="DQ41" s="1222"/>
      <c r="DR41" s="1222"/>
      <c r="DS41" s="1222"/>
      <c r="DT41" s="1222"/>
      <c r="DU41" s="1222"/>
      <c r="DV41" s="1222"/>
      <c r="DW41" s="1222"/>
      <c r="DX41" s="1222"/>
      <c r="DY41" s="1222"/>
      <c r="DZ41" s="1222"/>
      <c r="EA41" s="1222"/>
      <c r="EB41" s="1222"/>
      <c r="EC41" s="1222"/>
      <c r="ED41" s="1222"/>
      <c r="EE41" s="1222"/>
      <c r="EF41" s="1222"/>
      <c r="EG41" s="1222"/>
      <c r="EH41" s="1222"/>
      <c r="EI41" s="1222"/>
      <c r="EJ41" s="1222"/>
      <c r="EK41" s="1222"/>
      <c r="EL41" s="1222"/>
      <c r="EM41" s="1222"/>
      <c r="EN41" s="1222"/>
      <c r="EO41" s="1222"/>
      <c r="EP41" s="1222"/>
      <c r="EQ41" s="1222"/>
      <c r="ER41" s="1222"/>
      <c r="ES41" s="1222"/>
      <c r="ET41" s="1222"/>
      <c r="EU41" s="1222"/>
      <c r="EV41" s="1222"/>
      <c r="EW41" s="1222"/>
      <c r="EX41" s="1222"/>
      <c r="EY41" s="1222"/>
      <c r="EZ41" s="1222"/>
      <c r="FA41" s="1222"/>
      <c r="FB41" s="1222"/>
      <c r="FC41" s="1222"/>
      <c r="FD41" s="1222"/>
      <c r="FE41" s="1222"/>
      <c r="FF41" s="1222"/>
      <c r="FG41" s="1222"/>
      <c r="FH41" s="1222"/>
      <c r="FI41" s="1222"/>
      <c r="FJ41" s="1222"/>
      <c r="FK41" s="1222"/>
      <c r="FL41" s="1222"/>
      <c r="FM41" s="1222"/>
      <c r="FN41" s="1222"/>
      <c r="FO41" s="1222"/>
      <c r="FP41" s="1222"/>
      <c r="FQ41" s="1222"/>
      <c r="FR41" s="1222"/>
      <c r="FS41" s="1222"/>
      <c r="FT41" s="1222"/>
      <c r="FU41" s="1222"/>
      <c r="FV41" s="1222"/>
      <c r="FW41" s="1222"/>
      <c r="FX41" s="1213"/>
      <c r="FY41" s="936"/>
      <c r="FZ41" s="936"/>
      <c r="GA41" s="936"/>
      <c r="GB41" s="936"/>
    </row>
    <row s="936" customFormat="1" customHeight="1" ht="24.75">
      <c r="A42" s="936" t="s">
        <v>22</v>
      </c>
      <c r="B42" s="951"/>
      <c r="C42" s="936"/>
      <c r="D42" s="936"/>
      <c r="E42" s="694" t="s">
        <v>105</v>
      </c>
      <c r="F42" s="2419" t="s">
        <v>1192</v>
      </c>
      <c r="G42" s="2592" t="s">
        <v>1376</v>
      </c>
      <c r="H42" s="1221" t="s">
        <v>1377</v>
      </c>
      <c r="I42" s="1990" t="s">
        <v>1245</v>
      </c>
      <c r="J42" s="1222"/>
      <c r="K42" s="1222"/>
      <c r="L42" s="1222"/>
      <c r="M42" s="1222"/>
      <c r="N42" s="1222"/>
      <c r="O42" s="1223"/>
      <c r="P42" s="1223"/>
      <c r="Q42" s="1223">
        <v>0</v>
      </c>
      <c r="R42" s="1223">
        <v>0</v>
      </c>
      <c r="S42" s="1223"/>
      <c r="T42" s="1223"/>
      <c r="U42" s="1223"/>
      <c r="V42" s="1223"/>
      <c r="W42" s="1223"/>
      <c r="X42" s="1223"/>
      <c r="Y42" s="1223"/>
      <c r="Z42" s="1223"/>
      <c r="AA42" s="1223"/>
      <c r="AB42" s="1223"/>
      <c r="AC42" s="1222"/>
      <c r="AD42" s="1222"/>
      <c r="AE42" s="1222"/>
      <c r="AF42" s="1222"/>
      <c r="AG42" s="1222"/>
      <c r="AH42" s="1222"/>
      <c r="AI42" s="1222"/>
      <c r="AJ42" s="1222"/>
      <c r="AK42" s="1222"/>
      <c r="AL42" s="1222"/>
      <c r="AM42" s="1222"/>
      <c r="AN42" s="1222"/>
      <c r="AO42" s="1222"/>
      <c r="AP42" s="1222"/>
      <c r="AQ42" s="1222"/>
      <c r="AR42" s="1222"/>
      <c r="AS42" s="1222"/>
      <c r="AT42" s="1222"/>
      <c r="AU42" s="1222"/>
      <c r="AV42" s="1222"/>
      <c r="AW42" s="1222"/>
      <c r="AX42" s="1222"/>
      <c r="AY42" s="1222"/>
      <c r="AZ42" s="1222"/>
      <c r="BA42" s="1222"/>
      <c r="BB42" s="1222"/>
      <c r="BC42" s="1222"/>
      <c r="BD42" s="1222"/>
      <c r="BE42" s="1222"/>
      <c r="BF42" s="1222"/>
      <c r="BG42" s="1222"/>
      <c r="BH42" s="1222"/>
      <c r="BI42" s="1222"/>
      <c r="BJ42" s="1222"/>
      <c r="BK42" s="1222"/>
      <c r="BL42" s="1222"/>
      <c r="BM42" s="1222"/>
      <c r="BN42" s="1222"/>
      <c r="BO42" s="1222"/>
      <c r="BP42" s="1222"/>
      <c r="BQ42" s="1222"/>
      <c r="BR42" s="1222"/>
      <c r="BS42" s="1222"/>
      <c r="BT42" s="1223"/>
      <c r="BU42" s="1223"/>
      <c r="BV42" s="1223"/>
      <c r="BW42" s="1223"/>
      <c r="BX42" s="1223"/>
      <c r="BY42" s="1223"/>
      <c r="BZ42" s="1223"/>
      <c r="CA42" s="1223"/>
      <c r="CB42" s="1223"/>
      <c r="CC42" s="1223"/>
      <c r="CD42" s="1223"/>
      <c r="CE42" s="1223"/>
      <c r="CF42" s="1223"/>
      <c r="CG42" s="1223"/>
      <c r="CH42" s="1223"/>
      <c r="CI42" s="1223"/>
      <c r="CJ42" s="1223"/>
      <c r="CK42" s="1223"/>
      <c r="CL42" s="1222"/>
      <c r="CM42" s="1222"/>
      <c r="CN42" s="1222"/>
      <c r="CO42" s="1222"/>
      <c r="CP42" s="1222"/>
      <c r="CQ42" s="1222"/>
      <c r="CR42" s="1222"/>
      <c r="CS42" s="1222"/>
      <c r="CT42" s="1222"/>
      <c r="CU42" s="1222"/>
      <c r="CV42" s="1222"/>
      <c r="CW42" s="1222"/>
      <c r="CX42" s="1222"/>
      <c r="CY42" s="1223"/>
      <c r="CZ42" s="1223"/>
      <c r="DA42" s="1223"/>
      <c r="DB42" s="1223"/>
      <c r="DC42" s="1223"/>
      <c r="DD42" s="1223"/>
      <c r="DE42" s="1223"/>
      <c r="DF42" s="1223"/>
      <c r="DG42" s="1223"/>
      <c r="DH42" s="1223"/>
      <c r="DI42" s="1223"/>
      <c r="DJ42" s="1223"/>
      <c r="DK42" s="1222"/>
      <c r="DL42" s="1222"/>
      <c r="DM42" s="1222"/>
      <c r="DN42" s="1222"/>
      <c r="DO42" s="1222"/>
      <c r="DP42" s="1222"/>
      <c r="DQ42" s="1222"/>
      <c r="DR42" s="1222"/>
      <c r="DS42" s="1222"/>
      <c r="DT42" s="1222"/>
      <c r="DU42" s="1222"/>
      <c r="DV42" s="1222"/>
      <c r="DW42" s="1222"/>
      <c r="DX42" s="1222"/>
      <c r="DY42" s="1222"/>
      <c r="DZ42" s="1222"/>
      <c r="EA42" s="1222"/>
      <c r="EB42" s="1222"/>
      <c r="EC42" s="1222"/>
      <c r="ED42" s="1222"/>
      <c r="EE42" s="1222"/>
      <c r="EF42" s="1222"/>
      <c r="EG42" s="1222"/>
      <c r="EH42" s="1222"/>
      <c r="EI42" s="1222"/>
      <c r="EJ42" s="1222"/>
      <c r="EK42" s="1222"/>
      <c r="EL42" s="1222"/>
      <c r="EM42" s="1222"/>
      <c r="EN42" s="1222"/>
      <c r="EO42" s="1222"/>
      <c r="EP42" s="1222"/>
      <c r="EQ42" s="1222"/>
      <c r="ER42" s="1222"/>
      <c r="ES42" s="1222"/>
      <c r="ET42" s="1222"/>
      <c r="EU42" s="1222"/>
      <c r="EV42" s="1222"/>
      <c r="EW42" s="1222"/>
      <c r="EX42" s="1222"/>
      <c r="EY42" s="1222"/>
      <c r="EZ42" s="1222"/>
      <c r="FA42" s="1222"/>
      <c r="FB42" s="1222"/>
      <c r="FC42" s="1222"/>
      <c r="FD42" s="1222"/>
      <c r="FE42" s="1222"/>
      <c r="FF42" s="1222"/>
      <c r="FG42" s="1222"/>
      <c r="FH42" s="1222"/>
      <c r="FI42" s="1222"/>
      <c r="FJ42" s="1222"/>
      <c r="FK42" s="1222"/>
      <c r="FL42" s="1222"/>
      <c r="FM42" s="1222"/>
      <c r="FN42" s="1222"/>
      <c r="FO42" s="1222"/>
      <c r="FP42" s="1222"/>
      <c r="FQ42" s="1222"/>
      <c r="FR42" s="1222"/>
      <c r="FS42" s="1222"/>
      <c r="FT42" s="1222"/>
      <c r="FU42" s="1222"/>
      <c r="FV42" s="1222"/>
      <c r="FW42" s="1222"/>
      <c r="FX42" s="1213"/>
      <c r="FY42" s="936"/>
      <c r="FZ42" s="936"/>
      <c r="GA42" s="936"/>
      <c r="GB42" s="936"/>
    </row>
    <row s="936" customFormat="1" customHeight="1" ht="24.75">
      <c r="A43" s="936" t="s">
        <v>22</v>
      </c>
      <c r="B43" s="951"/>
      <c r="C43" s="936"/>
      <c r="D43" s="936"/>
      <c r="E43" s="694" t="s">
        <v>105</v>
      </c>
      <c r="F43" s="2419" t="s">
        <v>1196</v>
      </c>
      <c r="G43" s="2592" t="s">
        <v>1376</v>
      </c>
      <c r="H43" s="1221" t="s">
        <v>1377</v>
      </c>
      <c r="I43" s="1990" t="s">
        <v>1246</v>
      </c>
      <c r="J43" s="1222"/>
      <c r="K43" s="1222"/>
      <c r="L43" s="1222"/>
      <c r="M43" s="1222"/>
      <c r="N43" s="1222"/>
      <c r="O43" s="1223"/>
      <c r="P43" s="1223"/>
      <c r="Q43" s="1223">
        <v>0</v>
      </c>
      <c r="R43" s="1223">
        <v>0</v>
      </c>
      <c r="S43" s="1223"/>
      <c r="T43" s="1223"/>
      <c r="U43" s="1223"/>
      <c r="V43" s="1223"/>
      <c r="W43" s="1223"/>
      <c r="X43" s="1223"/>
      <c r="Y43" s="1223"/>
      <c r="Z43" s="1223"/>
      <c r="AA43" s="1223"/>
      <c r="AB43" s="1223"/>
      <c r="AC43" s="1222"/>
      <c r="AD43" s="1222"/>
      <c r="AE43" s="1222"/>
      <c r="AF43" s="1222"/>
      <c r="AG43" s="1222"/>
      <c r="AH43" s="1222"/>
      <c r="AI43" s="1222"/>
      <c r="AJ43" s="1222"/>
      <c r="AK43" s="1222"/>
      <c r="AL43" s="1222"/>
      <c r="AM43" s="1222"/>
      <c r="AN43" s="1222"/>
      <c r="AO43" s="1222"/>
      <c r="AP43" s="1222"/>
      <c r="AQ43" s="1222"/>
      <c r="AR43" s="1222"/>
      <c r="AS43" s="1222"/>
      <c r="AT43" s="1222"/>
      <c r="AU43" s="1222"/>
      <c r="AV43" s="1222"/>
      <c r="AW43" s="1222"/>
      <c r="AX43" s="1222"/>
      <c r="AY43" s="1222"/>
      <c r="AZ43" s="1222"/>
      <c r="BA43" s="1222"/>
      <c r="BB43" s="1222"/>
      <c r="BC43" s="1222"/>
      <c r="BD43" s="1222"/>
      <c r="BE43" s="1222"/>
      <c r="BF43" s="1222"/>
      <c r="BG43" s="1222"/>
      <c r="BH43" s="1222"/>
      <c r="BI43" s="1222"/>
      <c r="BJ43" s="1222"/>
      <c r="BK43" s="1222"/>
      <c r="BL43" s="1222"/>
      <c r="BM43" s="1222"/>
      <c r="BN43" s="1222"/>
      <c r="BO43" s="1222"/>
      <c r="BP43" s="1222"/>
      <c r="BQ43" s="1222"/>
      <c r="BR43" s="1222"/>
      <c r="BS43" s="1222"/>
      <c r="BT43" s="1223"/>
      <c r="BU43" s="1223"/>
      <c r="BV43" s="1223"/>
      <c r="BW43" s="1223"/>
      <c r="BX43" s="1223"/>
      <c r="BY43" s="1223"/>
      <c r="BZ43" s="1223"/>
      <c r="CA43" s="1223"/>
      <c r="CB43" s="1223"/>
      <c r="CC43" s="1223"/>
      <c r="CD43" s="1223"/>
      <c r="CE43" s="1223"/>
      <c r="CF43" s="1223"/>
      <c r="CG43" s="1223"/>
      <c r="CH43" s="1223"/>
      <c r="CI43" s="1223"/>
      <c r="CJ43" s="1223"/>
      <c r="CK43" s="1223"/>
      <c r="CL43" s="1222"/>
      <c r="CM43" s="1222"/>
      <c r="CN43" s="1222"/>
      <c r="CO43" s="1222"/>
      <c r="CP43" s="1222"/>
      <c r="CQ43" s="1222"/>
      <c r="CR43" s="1222"/>
      <c r="CS43" s="1222"/>
      <c r="CT43" s="1222"/>
      <c r="CU43" s="1222"/>
      <c r="CV43" s="1222"/>
      <c r="CW43" s="1222"/>
      <c r="CX43" s="1222"/>
      <c r="CY43" s="1223"/>
      <c r="CZ43" s="1223"/>
      <c r="DA43" s="1223"/>
      <c r="DB43" s="1223"/>
      <c r="DC43" s="1223"/>
      <c r="DD43" s="1223"/>
      <c r="DE43" s="1223"/>
      <c r="DF43" s="1223"/>
      <c r="DG43" s="1223"/>
      <c r="DH43" s="1223"/>
      <c r="DI43" s="1223"/>
      <c r="DJ43" s="1223"/>
      <c r="DK43" s="1222"/>
      <c r="DL43" s="1222"/>
      <c r="DM43" s="1222"/>
      <c r="DN43" s="1222"/>
      <c r="DO43" s="1222"/>
      <c r="DP43" s="1222"/>
      <c r="DQ43" s="1222"/>
      <c r="DR43" s="1222"/>
      <c r="DS43" s="1222"/>
      <c r="DT43" s="1222"/>
      <c r="DU43" s="1222"/>
      <c r="DV43" s="1222"/>
      <c r="DW43" s="1222"/>
      <c r="DX43" s="1222"/>
      <c r="DY43" s="1222"/>
      <c r="DZ43" s="1222"/>
      <c r="EA43" s="1222"/>
      <c r="EB43" s="1222"/>
      <c r="EC43" s="1222"/>
      <c r="ED43" s="1222"/>
      <c r="EE43" s="1222"/>
      <c r="EF43" s="1222"/>
      <c r="EG43" s="1222"/>
      <c r="EH43" s="1222"/>
      <c r="EI43" s="1222"/>
      <c r="EJ43" s="1222"/>
      <c r="EK43" s="1222"/>
      <c r="EL43" s="1222"/>
      <c r="EM43" s="1222"/>
      <c r="EN43" s="1222"/>
      <c r="EO43" s="1222"/>
      <c r="EP43" s="1222"/>
      <c r="EQ43" s="1222"/>
      <c r="ER43" s="1222"/>
      <c r="ES43" s="1222"/>
      <c r="ET43" s="1222"/>
      <c r="EU43" s="1222"/>
      <c r="EV43" s="1222"/>
      <c r="EW43" s="1222"/>
      <c r="EX43" s="1222"/>
      <c r="EY43" s="1222"/>
      <c r="EZ43" s="1222"/>
      <c r="FA43" s="1222"/>
      <c r="FB43" s="1222"/>
      <c r="FC43" s="1222"/>
      <c r="FD43" s="1222"/>
      <c r="FE43" s="1222"/>
      <c r="FF43" s="1222"/>
      <c r="FG43" s="1222"/>
      <c r="FH43" s="1222"/>
      <c r="FI43" s="1222"/>
      <c r="FJ43" s="1222"/>
      <c r="FK43" s="1222"/>
      <c r="FL43" s="1222"/>
      <c r="FM43" s="1222"/>
      <c r="FN43" s="1222"/>
      <c r="FO43" s="1222"/>
      <c r="FP43" s="1222"/>
      <c r="FQ43" s="1222"/>
      <c r="FR43" s="1222"/>
      <c r="FS43" s="1222"/>
      <c r="FT43" s="1222"/>
      <c r="FU43" s="1222"/>
      <c r="FV43" s="1222"/>
      <c r="FW43" s="1222"/>
      <c r="FX43" s="1213"/>
      <c r="FY43" s="936"/>
      <c r="FZ43" s="936"/>
      <c r="GA43" s="936"/>
      <c r="GB43" s="936"/>
    </row>
    <row s="936" customFormat="1" customHeight="1" ht="24.75">
      <c r="A44" s="936" t="s">
        <v>22</v>
      </c>
      <c r="B44" s="951"/>
      <c r="C44" s="936"/>
      <c r="D44" s="936"/>
      <c r="E44" s="694" t="s">
        <v>105</v>
      </c>
      <c r="F44" s="2419" t="s">
        <v>1197</v>
      </c>
      <c r="G44" s="2592" t="s">
        <v>1376</v>
      </c>
      <c r="H44" s="1221" t="s">
        <v>1377</v>
      </c>
      <c r="I44" s="1990" t="s">
        <v>1258</v>
      </c>
      <c r="J44" s="1222"/>
      <c r="K44" s="1222"/>
      <c r="L44" s="1222"/>
      <c r="M44" s="1222"/>
      <c r="N44" s="1222"/>
      <c r="O44" s="1223"/>
      <c r="P44" s="1223"/>
      <c r="Q44" s="1223">
        <v>0</v>
      </c>
      <c r="R44" s="1223">
        <v>0</v>
      </c>
      <c r="S44" s="1223"/>
      <c r="T44" s="1223"/>
      <c r="U44" s="1223"/>
      <c r="V44" s="1223"/>
      <c r="W44" s="1223"/>
      <c r="X44" s="1223"/>
      <c r="Y44" s="1223"/>
      <c r="Z44" s="1223"/>
      <c r="AA44" s="1223"/>
      <c r="AB44" s="1223"/>
      <c r="AC44" s="1222"/>
      <c r="AD44" s="1222"/>
      <c r="AE44" s="1222"/>
      <c r="AF44" s="1222"/>
      <c r="AG44" s="1222"/>
      <c r="AH44" s="1222"/>
      <c r="AI44" s="1222"/>
      <c r="AJ44" s="1222"/>
      <c r="AK44" s="1222"/>
      <c r="AL44" s="1222"/>
      <c r="AM44" s="1222"/>
      <c r="AN44" s="1222"/>
      <c r="AO44" s="1222"/>
      <c r="AP44" s="1222"/>
      <c r="AQ44" s="1222"/>
      <c r="AR44" s="1222"/>
      <c r="AS44" s="1222"/>
      <c r="AT44" s="1222"/>
      <c r="AU44" s="1222"/>
      <c r="AV44" s="1222"/>
      <c r="AW44" s="1222"/>
      <c r="AX44" s="1222"/>
      <c r="AY44" s="1222"/>
      <c r="AZ44" s="1222"/>
      <c r="BA44" s="1222"/>
      <c r="BB44" s="1222"/>
      <c r="BC44" s="1222"/>
      <c r="BD44" s="1222"/>
      <c r="BE44" s="1222"/>
      <c r="BF44" s="1222"/>
      <c r="BG44" s="1222"/>
      <c r="BH44" s="1222"/>
      <c r="BI44" s="1222"/>
      <c r="BJ44" s="1222"/>
      <c r="BK44" s="1222"/>
      <c r="BL44" s="1222"/>
      <c r="BM44" s="1222"/>
      <c r="BN44" s="1222"/>
      <c r="BO44" s="1222"/>
      <c r="BP44" s="1222"/>
      <c r="BQ44" s="1222"/>
      <c r="BR44" s="1222"/>
      <c r="BS44" s="1222"/>
      <c r="BT44" s="1223"/>
      <c r="BU44" s="1223"/>
      <c r="BV44" s="1223"/>
      <c r="BW44" s="1223"/>
      <c r="BX44" s="1223"/>
      <c r="BY44" s="1223"/>
      <c r="BZ44" s="1223"/>
      <c r="CA44" s="1223"/>
      <c r="CB44" s="1223"/>
      <c r="CC44" s="1223"/>
      <c r="CD44" s="1223"/>
      <c r="CE44" s="1223"/>
      <c r="CF44" s="1223"/>
      <c r="CG44" s="1223"/>
      <c r="CH44" s="1223"/>
      <c r="CI44" s="1223"/>
      <c r="CJ44" s="1223"/>
      <c r="CK44" s="1223"/>
      <c r="CL44" s="1222"/>
      <c r="CM44" s="1222"/>
      <c r="CN44" s="1222"/>
      <c r="CO44" s="1222"/>
      <c r="CP44" s="1222"/>
      <c r="CQ44" s="1222"/>
      <c r="CR44" s="1222"/>
      <c r="CS44" s="1222"/>
      <c r="CT44" s="1222"/>
      <c r="CU44" s="1222"/>
      <c r="CV44" s="1222"/>
      <c r="CW44" s="1222"/>
      <c r="CX44" s="1222"/>
      <c r="CY44" s="1223"/>
      <c r="CZ44" s="1223"/>
      <c r="DA44" s="1223"/>
      <c r="DB44" s="1223"/>
      <c r="DC44" s="1223"/>
      <c r="DD44" s="1223"/>
      <c r="DE44" s="1223"/>
      <c r="DF44" s="1223"/>
      <c r="DG44" s="1223"/>
      <c r="DH44" s="1223"/>
      <c r="DI44" s="1223"/>
      <c r="DJ44" s="1223"/>
      <c r="DK44" s="1222"/>
      <c r="DL44" s="1222"/>
      <c r="DM44" s="1222"/>
      <c r="DN44" s="1222"/>
      <c r="DO44" s="1222"/>
      <c r="DP44" s="1222"/>
      <c r="DQ44" s="1222"/>
      <c r="DR44" s="1222"/>
      <c r="DS44" s="1222"/>
      <c r="DT44" s="1222"/>
      <c r="DU44" s="1222"/>
      <c r="DV44" s="1222"/>
      <c r="DW44" s="1222"/>
      <c r="DX44" s="1222"/>
      <c r="DY44" s="1222"/>
      <c r="DZ44" s="1222"/>
      <c r="EA44" s="1222"/>
      <c r="EB44" s="1222"/>
      <c r="EC44" s="1222"/>
      <c r="ED44" s="1222"/>
      <c r="EE44" s="1222"/>
      <c r="EF44" s="1222"/>
      <c r="EG44" s="1222"/>
      <c r="EH44" s="1222"/>
      <c r="EI44" s="1222"/>
      <c r="EJ44" s="1222"/>
      <c r="EK44" s="1222"/>
      <c r="EL44" s="1222"/>
      <c r="EM44" s="1222"/>
      <c r="EN44" s="1222"/>
      <c r="EO44" s="1222"/>
      <c r="EP44" s="1222"/>
      <c r="EQ44" s="1222"/>
      <c r="ER44" s="1222"/>
      <c r="ES44" s="1222"/>
      <c r="ET44" s="1222"/>
      <c r="EU44" s="1222"/>
      <c r="EV44" s="1222"/>
      <c r="EW44" s="1222"/>
      <c r="EX44" s="1222"/>
      <c r="EY44" s="1222"/>
      <c r="EZ44" s="1222"/>
      <c r="FA44" s="1222"/>
      <c r="FB44" s="1222"/>
      <c r="FC44" s="1222"/>
      <c r="FD44" s="1222"/>
      <c r="FE44" s="1222"/>
      <c r="FF44" s="1222"/>
      <c r="FG44" s="1222"/>
      <c r="FH44" s="1222"/>
      <c r="FI44" s="1222"/>
      <c r="FJ44" s="1222"/>
      <c r="FK44" s="1222"/>
      <c r="FL44" s="1222"/>
      <c r="FM44" s="1222"/>
      <c r="FN44" s="1222"/>
      <c r="FO44" s="1222"/>
      <c r="FP44" s="1222"/>
      <c r="FQ44" s="1222"/>
      <c r="FR44" s="1222"/>
      <c r="FS44" s="1222"/>
      <c r="FT44" s="1222"/>
      <c r="FU44" s="1222"/>
      <c r="FV44" s="1222"/>
      <c r="FW44" s="1222"/>
      <c r="FX44" s="1213"/>
      <c r="FY44" s="936"/>
      <c r="FZ44" s="936"/>
      <c r="GA44" s="936"/>
      <c r="GB44" s="936"/>
    </row>
    <row s="936" customFormat="1" customHeight="1" ht="24.75">
      <c r="A45" s="936" t="s">
        <v>22</v>
      </c>
      <c r="B45" s="951"/>
      <c r="C45" s="936"/>
      <c r="D45" s="936"/>
      <c r="E45" s="694" t="s">
        <v>105</v>
      </c>
      <c r="F45" s="2419" t="s">
        <v>1199</v>
      </c>
      <c r="G45" s="2592" t="s">
        <v>1376</v>
      </c>
      <c r="H45" s="1221" t="s">
        <v>1377</v>
      </c>
      <c r="I45" s="1990" t="s">
        <v>1259</v>
      </c>
      <c r="J45" s="1222"/>
      <c r="K45" s="1222"/>
      <c r="L45" s="1222"/>
      <c r="M45" s="1222"/>
      <c r="N45" s="1222"/>
      <c r="O45" s="1223"/>
      <c r="P45" s="1223"/>
      <c r="Q45" s="1223">
        <v>0</v>
      </c>
      <c r="R45" s="1223">
        <v>0</v>
      </c>
      <c r="S45" s="1223"/>
      <c r="T45" s="1223"/>
      <c r="U45" s="1223"/>
      <c r="V45" s="1223"/>
      <c r="W45" s="1223"/>
      <c r="X45" s="1223"/>
      <c r="Y45" s="1223"/>
      <c r="Z45" s="1223"/>
      <c r="AA45" s="1223"/>
      <c r="AB45" s="1223"/>
      <c r="AC45" s="1222"/>
      <c r="AD45" s="1222"/>
      <c r="AE45" s="1222"/>
      <c r="AF45" s="1222"/>
      <c r="AG45" s="1222"/>
      <c r="AH45" s="1222"/>
      <c r="AI45" s="1222"/>
      <c r="AJ45" s="1222"/>
      <c r="AK45" s="1222"/>
      <c r="AL45" s="1222"/>
      <c r="AM45" s="1222"/>
      <c r="AN45" s="1222"/>
      <c r="AO45" s="1222"/>
      <c r="AP45" s="1222"/>
      <c r="AQ45" s="1222"/>
      <c r="AR45" s="1222"/>
      <c r="AS45" s="1222"/>
      <c r="AT45" s="1222"/>
      <c r="AU45" s="1222"/>
      <c r="AV45" s="1222"/>
      <c r="AW45" s="1222"/>
      <c r="AX45" s="1222"/>
      <c r="AY45" s="1222"/>
      <c r="AZ45" s="1222"/>
      <c r="BA45" s="1222"/>
      <c r="BB45" s="1222"/>
      <c r="BC45" s="1222"/>
      <c r="BD45" s="1222"/>
      <c r="BE45" s="1222"/>
      <c r="BF45" s="1222"/>
      <c r="BG45" s="1222"/>
      <c r="BH45" s="1222"/>
      <c r="BI45" s="1222"/>
      <c r="BJ45" s="1222"/>
      <c r="BK45" s="1222"/>
      <c r="BL45" s="1222"/>
      <c r="BM45" s="1222"/>
      <c r="BN45" s="1222"/>
      <c r="BO45" s="1222"/>
      <c r="BP45" s="1222"/>
      <c r="BQ45" s="1222"/>
      <c r="BR45" s="1222"/>
      <c r="BS45" s="1222"/>
      <c r="BT45" s="1223"/>
      <c r="BU45" s="1223"/>
      <c r="BV45" s="1223"/>
      <c r="BW45" s="1223"/>
      <c r="BX45" s="1223"/>
      <c r="BY45" s="1223"/>
      <c r="BZ45" s="1223"/>
      <c r="CA45" s="1223"/>
      <c r="CB45" s="1223"/>
      <c r="CC45" s="1223"/>
      <c r="CD45" s="1223"/>
      <c r="CE45" s="1223"/>
      <c r="CF45" s="1223"/>
      <c r="CG45" s="1223"/>
      <c r="CH45" s="1223"/>
      <c r="CI45" s="1223"/>
      <c r="CJ45" s="1223"/>
      <c r="CK45" s="1223"/>
      <c r="CL45" s="1222"/>
      <c r="CM45" s="1222"/>
      <c r="CN45" s="1222"/>
      <c r="CO45" s="1222"/>
      <c r="CP45" s="1222"/>
      <c r="CQ45" s="1222"/>
      <c r="CR45" s="1222"/>
      <c r="CS45" s="1222"/>
      <c r="CT45" s="1222"/>
      <c r="CU45" s="1222"/>
      <c r="CV45" s="1222"/>
      <c r="CW45" s="1222"/>
      <c r="CX45" s="1222"/>
      <c r="CY45" s="1223"/>
      <c r="CZ45" s="1223"/>
      <c r="DA45" s="1223"/>
      <c r="DB45" s="1223"/>
      <c r="DC45" s="1223"/>
      <c r="DD45" s="1223"/>
      <c r="DE45" s="1223"/>
      <c r="DF45" s="1223"/>
      <c r="DG45" s="1223"/>
      <c r="DH45" s="1223"/>
      <c r="DI45" s="1223"/>
      <c r="DJ45" s="1223"/>
      <c r="DK45" s="1222"/>
      <c r="DL45" s="1222"/>
      <c r="DM45" s="1222"/>
      <c r="DN45" s="1222"/>
      <c r="DO45" s="1222"/>
      <c r="DP45" s="1222"/>
      <c r="DQ45" s="1222"/>
      <c r="DR45" s="1222"/>
      <c r="DS45" s="1222"/>
      <c r="DT45" s="1222"/>
      <c r="DU45" s="1222"/>
      <c r="DV45" s="1222"/>
      <c r="DW45" s="1222"/>
      <c r="DX45" s="1222"/>
      <c r="DY45" s="1222"/>
      <c r="DZ45" s="1222"/>
      <c r="EA45" s="1222"/>
      <c r="EB45" s="1222"/>
      <c r="EC45" s="1222"/>
      <c r="ED45" s="1222"/>
      <c r="EE45" s="1222"/>
      <c r="EF45" s="1222"/>
      <c r="EG45" s="1222"/>
      <c r="EH45" s="1222"/>
      <c r="EI45" s="1222"/>
      <c r="EJ45" s="1222"/>
      <c r="EK45" s="1222"/>
      <c r="EL45" s="1222"/>
      <c r="EM45" s="1222"/>
      <c r="EN45" s="1222"/>
      <c r="EO45" s="1222"/>
      <c r="EP45" s="1222"/>
      <c r="EQ45" s="1222"/>
      <c r="ER45" s="1222"/>
      <c r="ES45" s="1222"/>
      <c r="ET45" s="1222"/>
      <c r="EU45" s="1222"/>
      <c r="EV45" s="1222"/>
      <c r="EW45" s="1222"/>
      <c r="EX45" s="1222"/>
      <c r="EY45" s="1222"/>
      <c r="EZ45" s="1222"/>
      <c r="FA45" s="1222"/>
      <c r="FB45" s="1222"/>
      <c r="FC45" s="1222"/>
      <c r="FD45" s="1222"/>
      <c r="FE45" s="1222"/>
      <c r="FF45" s="1222"/>
      <c r="FG45" s="1222"/>
      <c r="FH45" s="1222"/>
      <c r="FI45" s="1222"/>
      <c r="FJ45" s="1222"/>
      <c r="FK45" s="1222"/>
      <c r="FL45" s="1222"/>
      <c r="FM45" s="1222"/>
      <c r="FN45" s="1222"/>
      <c r="FO45" s="1222"/>
      <c r="FP45" s="1222"/>
      <c r="FQ45" s="1222"/>
      <c r="FR45" s="1222"/>
      <c r="FS45" s="1222"/>
      <c r="FT45" s="1222"/>
      <c r="FU45" s="1222"/>
      <c r="FV45" s="1222"/>
      <c r="FW45" s="1222"/>
      <c r="FX45" s="1213"/>
      <c r="FY45" s="936"/>
      <c r="FZ45" s="936"/>
      <c r="GA45" s="936"/>
      <c r="GB45" s="936"/>
    </row>
    <row s="936" customFormat="1" customHeight="1" ht="24.75">
      <c r="A46" s="936" t="s">
        <v>22</v>
      </c>
      <c r="B46" s="951"/>
      <c r="C46" s="936"/>
      <c r="D46" s="936"/>
      <c r="E46" s="694" t="s">
        <v>105</v>
      </c>
      <c r="F46" s="2419" t="s">
        <v>1201</v>
      </c>
      <c r="G46" s="2592" t="s">
        <v>1376</v>
      </c>
      <c r="H46" s="1221" t="s">
        <v>1377</v>
      </c>
      <c r="I46" s="1990" t="s">
        <v>1274</v>
      </c>
      <c r="J46" s="1222"/>
      <c r="K46" s="1222"/>
      <c r="L46" s="1222"/>
      <c r="M46" s="1222"/>
      <c r="N46" s="1222"/>
      <c r="O46" s="1223"/>
      <c r="P46" s="1223"/>
      <c r="Q46" s="1223">
        <v>0</v>
      </c>
      <c r="R46" s="1223">
        <v>0</v>
      </c>
      <c r="S46" s="1223"/>
      <c r="T46" s="1223"/>
      <c r="U46" s="1223"/>
      <c r="V46" s="1223"/>
      <c r="W46" s="1223"/>
      <c r="X46" s="1223"/>
      <c r="Y46" s="1223"/>
      <c r="Z46" s="1223"/>
      <c r="AA46" s="1223"/>
      <c r="AB46" s="1223"/>
      <c r="AC46" s="1222"/>
      <c r="AD46" s="1222"/>
      <c r="AE46" s="1222"/>
      <c r="AF46" s="1222"/>
      <c r="AG46" s="1222"/>
      <c r="AH46" s="1222"/>
      <c r="AI46" s="1222"/>
      <c r="AJ46" s="1222"/>
      <c r="AK46" s="1222"/>
      <c r="AL46" s="1222"/>
      <c r="AM46" s="1222"/>
      <c r="AN46" s="1222"/>
      <c r="AO46" s="1222"/>
      <c r="AP46" s="1222"/>
      <c r="AQ46" s="1222"/>
      <c r="AR46" s="1222"/>
      <c r="AS46" s="1222"/>
      <c r="AT46" s="1222"/>
      <c r="AU46" s="1222"/>
      <c r="AV46" s="1222"/>
      <c r="AW46" s="1222"/>
      <c r="AX46" s="1222"/>
      <c r="AY46" s="1222"/>
      <c r="AZ46" s="1222"/>
      <c r="BA46" s="1222"/>
      <c r="BB46" s="1222"/>
      <c r="BC46" s="1222"/>
      <c r="BD46" s="1222"/>
      <c r="BE46" s="1222"/>
      <c r="BF46" s="1222"/>
      <c r="BG46" s="1222"/>
      <c r="BH46" s="1222"/>
      <c r="BI46" s="1222"/>
      <c r="BJ46" s="1222"/>
      <c r="BK46" s="1222"/>
      <c r="BL46" s="1222"/>
      <c r="BM46" s="1222"/>
      <c r="BN46" s="1222"/>
      <c r="BO46" s="1222"/>
      <c r="BP46" s="1222"/>
      <c r="BQ46" s="1222"/>
      <c r="BR46" s="1222"/>
      <c r="BS46" s="1222"/>
      <c r="BT46" s="1223"/>
      <c r="BU46" s="1223"/>
      <c r="BV46" s="1223"/>
      <c r="BW46" s="1223"/>
      <c r="BX46" s="1223"/>
      <c r="BY46" s="1223"/>
      <c r="BZ46" s="1223"/>
      <c r="CA46" s="1223"/>
      <c r="CB46" s="1223"/>
      <c r="CC46" s="1223"/>
      <c r="CD46" s="1223"/>
      <c r="CE46" s="1223"/>
      <c r="CF46" s="1223"/>
      <c r="CG46" s="1223"/>
      <c r="CH46" s="1223"/>
      <c r="CI46" s="1223"/>
      <c r="CJ46" s="1223"/>
      <c r="CK46" s="1223"/>
      <c r="CL46" s="1222"/>
      <c r="CM46" s="1222"/>
      <c r="CN46" s="1222"/>
      <c r="CO46" s="1222"/>
      <c r="CP46" s="1222"/>
      <c r="CQ46" s="1222"/>
      <c r="CR46" s="1222"/>
      <c r="CS46" s="1222"/>
      <c r="CT46" s="1222"/>
      <c r="CU46" s="1222"/>
      <c r="CV46" s="1222"/>
      <c r="CW46" s="1222"/>
      <c r="CX46" s="1222"/>
      <c r="CY46" s="1223"/>
      <c r="CZ46" s="1223"/>
      <c r="DA46" s="1223"/>
      <c r="DB46" s="1223"/>
      <c r="DC46" s="1223"/>
      <c r="DD46" s="1223"/>
      <c r="DE46" s="1223"/>
      <c r="DF46" s="1223"/>
      <c r="DG46" s="1223"/>
      <c r="DH46" s="1223"/>
      <c r="DI46" s="1223"/>
      <c r="DJ46" s="1223"/>
      <c r="DK46" s="1222"/>
      <c r="DL46" s="1222"/>
      <c r="DM46" s="1222"/>
      <c r="DN46" s="1222"/>
      <c r="DO46" s="1222"/>
      <c r="DP46" s="1222"/>
      <c r="DQ46" s="1222"/>
      <c r="DR46" s="1222"/>
      <c r="DS46" s="1222"/>
      <c r="DT46" s="1222"/>
      <c r="DU46" s="1222"/>
      <c r="DV46" s="1222"/>
      <c r="DW46" s="1222"/>
      <c r="DX46" s="1222"/>
      <c r="DY46" s="1222"/>
      <c r="DZ46" s="1222"/>
      <c r="EA46" s="1222"/>
      <c r="EB46" s="1222"/>
      <c r="EC46" s="1222"/>
      <c r="ED46" s="1222"/>
      <c r="EE46" s="1222"/>
      <c r="EF46" s="1222"/>
      <c r="EG46" s="1222"/>
      <c r="EH46" s="1222"/>
      <c r="EI46" s="1222"/>
      <c r="EJ46" s="1222"/>
      <c r="EK46" s="1222"/>
      <c r="EL46" s="1222"/>
      <c r="EM46" s="1222"/>
      <c r="EN46" s="1222"/>
      <c r="EO46" s="1222"/>
      <c r="EP46" s="1222"/>
      <c r="EQ46" s="1222"/>
      <c r="ER46" s="1222"/>
      <c r="ES46" s="1222"/>
      <c r="ET46" s="1222"/>
      <c r="EU46" s="1222"/>
      <c r="EV46" s="1222"/>
      <c r="EW46" s="1222"/>
      <c r="EX46" s="1222"/>
      <c r="EY46" s="1222"/>
      <c r="EZ46" s="1222"/>
      <c r="FA46" s="1222"/>
      <c r="FB46" s="1222"/>
      <c r="FC46" s="1222"/>
      <c r="FD46" s="1222"/>
      <c r="FE46" s="1222"/>
      <c r="FF46" s="1222"/>
      <c r="FG46" s="1222"/>
      <c r="FH46" s="1222"/>
      <c r="FI46" s="1222"/>
      <c r="FJ46" s="1222"/>
      <c r="FK46" s="1222"/>
      <c r="FL46" s="1222"/>
      <c r="FM46" s="1222"/>
      <c r="FN46" s="1222"/>
      <c r="FO46" s="1222"/>
      <c r="FP46" s="1222"/>
      <c r="FQ46" s="1222"/>
      <c r="FR46" s="1222"/>
      <c r="FS46" s="1222"/>
      <c r="FT46" s="1222"/>
      <c r="FU46" s="1222"/>
      <c r="FV46" s="1222"/>
      <c r="FW46" s="1222"/>
      <c r="FX46" s="1213"/>
      <c r="FY46" s="936"/>
      <c r="FZ46" s="936"/>
      <c r="GA46" s="936"/>
      <c r="GB46" s="936"/>
    </row>
    <row s="936" customFormat="1" customHeight="1" ht="24.75">
      <c r="A47" s="936" t="s">
        <v>22</v>
      </c>
      <c r="B47" s="951"/>
      <c r="C47" s="936"/>
      <c r="D47" s="936"/>
      <c r="E47" s="694" t="s">
        <v>105</v>
      </c>
      <c r="F47" s="2419" t="s">
        <v>1204</v>
      </c>
      <c r="G47" s="2592" t="s">
        <v>1376</v>
      </c>
      <c r="H47" s="1221" t="s">
        <v>1377</v>
      </c>
      <c r="I47" s="1990" t="s">
        <v>1275</v>
      </c>
      <c r="J47" s="1222"/>
      <c r="K47" s="1222"/>
      <c r="L47" s="1222"/>
      <c r="M47" s="1222"/>
      <c r="N47" s="1222"/>
      <c r="O47" s="1223"/>
      <c r="P47" s="1223"/>
      <c r="Q47" s="1223">
        <v>0</v>
      </c>
      <c r="R47" s="1223">
        <v>0</v>
      </c>
      <c r="S47" s="1223"/>
      <c r="T47" s="1223"/>
      <c r="U47" s="1223"/>
      <c r="V47" s="1223"/>
      <c r="W47" s="1223"/>
      <c r="X47" s="1223"/>
      <c r="Y47" s="1223"/>
      <c r="Z47" s="1223"/>
      <c r="AA47" s="1223"/>
      <c r="AB47" s="1223"/>
      <c r="AC47" s="1222"/>
      <c r="AD47" s="1222"/>
      <c r="AE47" s="1222"/>
      <c r="AF47" s="1222"/>
      <c r="AG47" s="1222"/>
      <c r="AH47" s="1222"/>
      <c r="AI47" s="1222"/>
      <c r="AJ47" s="1222"/>
      <c r="AK47" s="1222"/>
      <c r="AL47" s="1222"/>
      <c r="AM47" s="1222"/>
      <c r="AN47" s="1222"/>
      <c r="AO47" s="1222"/>
      <c r="AP47" s="1222"/>
      <c r="AQ47" s="1222"/>
      <c r="AR47" s="1222"/>
      <c r="AS47" s="1222"/>
      <c r="AT47" s="1222"/>
      <c r="AU47" s="1222"/>
      <c r="AV47" s="1222"/>
      <c r="AW47" s="1222"/>
      <c r="AX47" s="1222"/>
      <c r="AY47" s="1222"/>
      <c r="AZ47" s="1222"/>
      <c r="BA47" s="1222"/>
      <c r="BB47" s="1222"/>
      <c r="BC47" s="1222"/>
      <c r="BD47" s="1222"/>
      <c r="BE47" s="1222"/>
      <c r="BF47" s="1222"/>
      <c r="BG47" s="1222"/>
      <c r="BH47" s="1222"/>
      <c r="BI47" s="1222"/>
      <c r="BJ47" s="1222"/>
      <c r="BK47" s="1222"/>
      <c r="BL47" s="1222"/>
      <c r="BM47" s="1222"/>
      <c r="BN47" s="1222"/>
      <c r="BO47" s="1222"/>
      <c r="BP47" s="1222"/>
      <c r="BQ47" s="1222"/>
      <c r="BR47" s="1222"/>
      <c r="BS47" s="1222"/>
      <c r="BT47" s="1223"/>
      <c r="BU47" s="1223"/>
      <c r="BV47" s="1223"/>
      <c r="BW47" s="1223"/>
      <c r="BX47" s="1223"/>
      <c r="BY47" s="1223"/>
      <c r="BZ47" s="1223"/>
      <c r="CA47" s="1223"/>
      <c r="CB47" s="1223"/>
      <c r="CC47" s="1223"/>
      <c r="CD47" s="1223"/>
      <c r="CE47" s="1223"/>
      <c r="CF47" s="1223"/>
      <c r="CG47" s="1223"/>
      <c r="CH47" s="1223"/>
      <c r="CI47" s="1223"/>
      <c r="CJ47" s="1223"/>
      <c r="CK47" s="1223"/>
      <c r="CL47" s="1222"/>
      <c r="CM47" s="1222"/>
      <c r="CN47" s="1222"/>
      <c r="CO47" s="1222"/>
      <c r="CP47" s="1222"/>
      <c r="CQ47" s="1222"/>
      <c r="CR47" s="1222"/>
      <c r="CS47" s="1222"/>
      <c r="CT47" s="1222"/>
      <c r="CU47" s="1222"/>
      <c r="CV47" s="1222"/>
      <c r="CW47" s="1222"/>
      <c r="CX47" s="1222"/>
      <c r="CY47" s="1223"/>
      <c r="CZ47" s="1223"/>
      <c r="DA47" s="1223"/>
      <c r="DB47" s="1223"/>
      <c r="DC47" s="1223"/>
      <c r="DD47" s="1223"/>
      <c r="DE47" s="1223"/>
      <c r="DF47" s="1223"/>
      <c r="DG47" s="1223"/>
      <c r="DH47" s="1223"/>
      <c r="DI47" s="1223"/>
      <c r="DJ47" s="1223"/>
      <c r="DK47" s="1222"/>
      <c r="DL47" s="1222"/>
      <c r="DM47" s="1222"/>
      <c r="DN47" s="1222"/>
      <c r="DO47" s="1222"/>
      <c r="DP47" s="1222"/>
      <c r="DQ47" s="1222"/>
      <c r="DR47" s="1222"/>
      <c r="DS47" s="1222"/>
      <c r="DT47" s="1222"/>
      <c r="DU47" s="1222"/>
      <c r="DV47" s="1222"/>
      <c r="DW47" s="1222"/>
      <c r="DX47" s="1222"/>
      <c r="DY47" s="1222"/>
      <c r="DZ47" s="1222"/>
      <c r="EA47" s="1222"/>
      <c r="EB47" s="1222"/>
      <c r="EC47" s="1222"/>
      <c r="ED47" s="1222"/>
      <c r="EE47" s="1222"/>
      <c r="EF47" s="1222"/>
      <c r="EG47" s="1222"/>
      <c r="EH47" s="1222"/>
      <c r="EI47" s="1222"/>
      <c r="EJ47" s="1222"/>
      <c r="EK47" s="1222"/>
      <c r="EL47" s="1222"/>
      <c r="EM47" s="1222"/>
      <c r="EN47" s="1222"/>
      <c r="EO47" s="1222"/>
      <c r="EP47" s="1222"/>
      <c r="EQ47" s="1222"/>
      <c r="ER47" s="1222"/>
      <c r="ES47" s="1222"/>
      <c r="ET47" s="1222"/>
      <c r="EU47" s="1222"/>
      <c r="EV47" s="1222"/>
      <c r="EW47" s="1222"/>
      <c r="EX47" s="1222"/>
      <c r="EY47" s="1222"/>
      <c r="EZ47" s="1222"/>
      <c r="FA47" s="1222"/>
      <c r="FB47" s="1222"/>
      <c r="FC47" s="1222"/>
      <c r="FD47" s="1222"/>
      <c r="FE47" s="1222"/>
      <c r="FF47" s="1222"/>
      <c r="FG47" s="1222"/>
      <c r="FH47" s="1222"/>
      <c r="FI47" s="1222"/>
      <c r="FJ47" s="1222"/>
      <c r="FK47" s="1222"/>
      <c r="FL47" s="1222"/>
      <c r="FM47" s="1222"/>
      <c r="FN47" s="1222"/>
      <c r="FO47" s="1222"/>
      <c r="FP47" s="1222"/>
      <c r="FQ47" s="1222"/>
      <c r="FR47" s="1222"/>
      <c r="FS47" s="1222"/>
      <c r="FT47" s="1222"/>
      <c r="FU47" s="1222"/>
      <c r="FV47" s="1222"/>
      <c r="FW47" s="1222"/>
      <c r="FX47" s="1213"/>
      <c r="FY47" s="936"/>
      <c r="FZ47" s="936"/>
      <c r="GA47" s="936"/>
      <c r="GB47" s="936"/>
    </row>
    <row s="936" customFormat="1" customHeight="1" ht="24.75">
      <c r="A48" s="936" t="s">
        <v>22</v>
      </c>
      <c r="B48" s="951"/>
      <c r="C48" s="936"/>
      <c r="D48" s="936"/>
      <c r="E48" s="694" t="s">
        <v>105</v>
      </c>
      <c r="F48" s="2419" t="s">
        <v>1206</v>
      </c>
      <c r="G48" s="2592" t="s">
        <v>1376</v>
      </c>
      <c r="H48" s="1221" t="s">
        <v>1377</v>
      </c>
      <c r="I48" s="1990" t="s">
        <v>1180</v>
      </c>
      <c r="J48" s="1222"/>
      <c r="K48" s="1222"/>
      <c r="L48" s="1222"/>
      <c r="M48" s="1222"/>
      <c r="N48" s="1222"/>
      <c r="O48" s="1223"/>
      <c r="P48" s="1223"/>
      <c r="Q48" s="1223">
        <v>0</v>
      </c>
      <c r="R48" s="1223">
        <v>0</v>
      </c>
      <c r="S48" s="1223">
        <v>0.181673</v>
      </c>
      <c r="T48" s="1223">
        <v>0.1784</v>
      </c>
      <c r="U48" s="1223"/>
      <c r="V48" s="1223"/>
      <c r="W48" s="1223"/>
      <c r="X48" s="1223"/>
      <c r="Y48" s="1223"/>
      <c r="Z48" s="1223"/>
      <c r="AA48" s="1223"/>
      <c r="AB48" s="1223"/>
      <c r="AC48" s="1222"/>
      <c r="AD48" s="1222"/>
      <c r="AE48" s="1222"/>
      <c r="AF48" s="1222"/>
      <c r="AG48" s="1222"/>
      <c r="AH48" s="1222"/>
      <c r="AI48" s="1222"/>
      <c r="AJ48" s="1222"/>
      <c r="AK48" s="1222"/>
      <c r="AL48" s="1222"/>
      <c r="AM48" s="1222"/>
      <c r="AN48" s="1222"/>
      <c r="AO48" s="1222"/>
      <c r="AP48" s="1222"/>
      <c r="AQ48" s="1222"/>
      <c r="AR48" s="1222"/>
      <c r="AS48" s="1222"/>
      <c r="AT48" s="1222"/>
      <c r="AU48" s="1222"/>
      <c r="AV48" s="1222"/>
      <c r="AW48" s="1222"/>
      <c r="AX48" s="1222"/>
      <c r="AY48" s="1222"/>
      <c r="AZ48" s="1222"/>
      <c r="BA48" s="1222"/>
      <c r="BB48" s="1222"/>
      <c r="BC48" s="1222"/>
      <c r="BD48" s="1222"/>
      <c r="BE48" s="1222"/>
      <c r="BF48" s="1222"/>
      <c r="BG48" s="1222"/>
      <c r="BH48" s="1222"/>
      <c r="BI48" s="1222"/>
      <c r="BJ48" s="1222"/>
      <c r="BK48" s="1222"/>
      <c r="BL48" s="1222"/>
      <c r="BM48" s="1222"/>
      <c r="BN48" s="1222"/>
      <c r="BO48" s="1222"/>
      <c r="BP48" s="1222"/>
      <c r="BQ48" s="1222"/>
      <c r="BR48" s="1222"/>
      <c r="BS48" s="1222"/>
      <c r="BT48" s="1223"/>
      <c r="BU48" s="1223"/>
      <c r="BV48" s="1223"/>
      <c r="BW48" s="1223"/>
      <c r="BX48" s="1223"/>
      <c r="BY48" s="1223"/>
      <c r="BZ48" s="1223"/>
      <c r="CA48" s="1223"/>
      <c r="CB48" s="1223"/>
      <c r="CC48" s="1223"/>
      <c r="CD48" s="1223"/>
      <c r="CE48" s="1223"/>
      <c r="CF48" s="1223"/>
      <c r="CG48" s="1223"/>
      <c r="CH48" s="1223"/>
      <c r="CI48" s="1223"/>
      <c r="CJ48" s="1223"/>
      <c r="CK48" s="1223"/>
      <c r="CL48" s="1222"/>
      <c r="CM48" s="1222"/>
      <c r="CN48" s="1222"/>
      <c r="CO48" s="1222"/>
      <c r="CP48" s="1222"/>
      <c r="CQ48" s="1222"/>
      <c r="CR48" s="1222"/>
      <c r="CS48" s="1222"/>
      <c r="CT48" s="1222"/>
      <c r="CU48" s="1222"/>
      <c r="CV48" s="1222"/>
      <c r="CW48" s="1222"/>
      <c r="CX48" s="1222"/>
      <c r="CY48" s="1223"/>
      <c r="CZ48" s="1223"/>
      <c r="DA48" s="1223"/>
      <c r="DB48" s="1223"/>
      <c r="DC48" s="1223"/>
      <c r="DD48" s="1223"/>
      <c r="DE48" s="1223"/>
      <c r="DF48" s="1223"/>
      <c r="DG48" s="1223"/>
      <c r="DH48" s="1223"/>
      <c r="DI48" s="1223"/>
      <c r="DJ48" s="1223"/>
      <c r="DK48" s="1222"/>
      <c r="DL48" s="1222"/>
      <c r="DM48" s="1222"/>
      <c r="DN48" s="1222"/>
      <c r="DO48" s="1222"/>
      <c r="DP48" s="1222"/>
      <c r="DQ48" s="1222"/>
      <c r="DR48" s="1222"/>
      <c r="DS48" s="1222"/>
      <c r="DT48" s="1222"/>
      <c r="DU48" s="1222"/>
      <c r="DV48" s="1222"/>
      <c r="DW48" s="1222"/>
      <c r="DX48" s="1222"/>
      <c r="DY48" s="1222"/>
      <c r="DZ48" s="1222"/>
      <c r="EA48" s="1222"/>
      <c r="EB48" s="1222"/>
      <c r="EC48" s="1222"/>
      <c r="ED48" s="1222"/>
      <c r="EE48" s="1222"/>
      <c r="EF48" s="1222"/>
      <c r="EG48" s="1222"/>
      <c r="EH48" s="1222"/>
      <c r="EI48" s="1222"/>
      <c r="EJ48" s="1222"/>
      <c r="EK48" s="1222"/>
      <c r="EL48" s="1222"/>
      <c r="EM48" s="1222"/>
      <c r="EN48" s="1222"/>
      <c r="EO48" s="1222"/>
      <c r="EP48" s="1222"/>
      <c r="EQ48" s="1222"/>
      <c r="ER48" s="1222"/>
      <c r="ES48" s="1222"/>
      <c r="ET48" s="1222"/>
      <c r="EU48" s="1222"/>
      <c r="EV48" s="1222"/>
      <c r="EW48" s="1222"/>
      <c r="EX48" s="1222"/>
      <c r="EY48" s="1222"/>
      <c r="EZ48" s="1222"/>
      <c r="FA48" s="1222"/>
      <c r="FB48" s="1222"/>
      <c r="FC48" s="1222"/>
      <c r="FD48" s="1222"/>
      <c r="FE48" s="1222"/>
      <c r="FF48" s="1222"/>
      <c r="FG48" s="1222"/>
      <c r="FH48" s="1222"/>
      <c r="FI48" s="1222"/>
      <c r="FJ48" s="1222"/>
      <c r="FK48" s="1222"/>
      <c r="FL48" s="1222"/>
      <c r="FM48" s="1222"/>
      <c r="FN48" s="1222"/>
      <c r="FO48" s="1222"/>
      <c r="FP48" s="1222"/>
      <c r="FQ48" s="1222"/>
      <c r="FR48" s="1222"/>
      <c r="FS48" s="1222"/>
      <c r="FT48" s="1222"/>
      <c r="FU48" s="1222"/>
      <c r="FV48" s="1222"/>
      <c r="FW48" s="1222"/>
      <c r="FX48" s="1213"/>
      <c r="FY48" s="936"/>
      <c r="FZ48" s="936"/>
      <c r="GA48" s="936"/>
      <c r="GB48" s="936"/>
    </row>
    <row s="936" customFormat="1" customHeight="1" ht="24.75">
      <c r="A49" s="936" t="s">
        <v>22</v>
      </c>
      <c r="B49" s="951"/>
      <c r="C49" s="936"/>
      <c r="D49" s="936"/>
      <c r="E49" s="694" t="s">
        <v>105</v>
      </c>
      <c r="F49" s="2419" t="s">
        <v>1208</v>
      </c>
      <c r="G49" s="2592" t="s">
        <v>1376</v>
      </c>
      <c r="H49" s="1221" t="s">
        <v>1377</v>
      </c>
      <c r="I49" s="1990" t="s">
        <v>1187</v>
      </c>
      <c r="J49" s="1222"/>
      <c r="K49" s="1222"/>
      <c r="L49" s="1222"/>
      <c r="M49" s="1222"/>
      <c r="N49" s="1222"/>
      <c r="O49" s="1223"/>
      <c r="P49" s="1223"/>
      <c r="Q49" s="1223">
        <v>5.49</v>
      </c>
      <c r="R49" s="1223">
        <v>0</v>
      </c>
      <c r="S49" s="1223">
        <v>0.180844</v>
      </c>
      <c r="T49" s="1223">
        <v>0.173956</v>
      </c>
      <c r="U49" s="1223"/>
      <c r="V49" s="1223"/>
      <c r="W49" s="1223"/>
      <c r="X49" s="1223"/>
      <c r="Y49" s="1223"/>
      <c r="Z49" s="1223"/>
      <c r="AA49" s="1223"/>
      <c r="AB49" s="1223"/>
      <c r="AC49" s="1222"/>
      <c r="AD49" s="1222"/>
      <c r="AE49" s="1222"/>
      <c r="AF49" s="1222"/>
      <c r="AG49" s="1222"/>
      <c r="AH49" s="1222"/>
      <c r="AI49" s="1222"/>
      <c r="AJ49" s="1222"/>
      <c r="AK49" s="1222"/>
      <c r="AL49" s="1222"/>
      <c r="AM49" s="1222"/>
      <c r="AN49" s="1222"/>
      <c r="AO49" s="1222"/>
      <c r="AP49" s="1222"/>
      <c r="AQ49" s="1222"/>
      <c r="AR49" s="1222"/>
      <c r="AS49" s="1222"/>
      <c r="AT49" s="1222"/>
      <c r="AU49" s="1222"/>
      <c r="AV49" s="1222"/>
      <c r="AW49" s="1222"/>
      <c r="AX49" s="1222"/>
      <c r="AY49" s="1222"/>
      <c r="AZ49" s="1222"/>
      <c r="BA49" s="1222"/>
      <c r="BB49" s="1222"/>
      <c r="BC49" s="1222"/>
      <c r="BD49" s="1222"/>
      <c r="BE49" s="1222"/>
      <c r="BF49" s="1222"/>
      <c r="BG49" s="1222"/>
      <c r="BH49" s="1222"/>
      <c r="BI49" s="1222"/>
      <c r="BJ49" s="1222"/>
      <c r="BK49" s="1222"/>
      <c r="BL49" s="1222"/>
      <c r="BM49" s="1222"/>
      <c r="BN49" s="1222"/>
      <c r="BO49" s="1222"/>
      <c r="BP49" s="1222"/>
      <c r="BQ49" s="1222"/>
      <c r="BR49" s="1222"/>
      <c r="BS49" s="1222"/>
      <c r="BT49" s="1223"/>
      <c r="BU49" s="1223"/>
      <c r="BV49" s="1223"/>
      <c r="BW49" s="1223"/>
      <c r="BX49" s="1223"/>
      <c r="BY49" s="1223"/>
      <c r="BZ49" s="1223"/>
      <c r="CA49" s="1223"/>
      <c r="CB49" s="1223"/>
      <c r="CC49" s="1223"/>
      <c r="CD49" s="1223"/>
      <c r="CE49" s="1223"/>
      <c r="CF49" s="1223"/>
      <c r="CG49" s="1223"/>
      <c r="CH49" s="1223"/>
      <c r="CI49" s="1223"/>
      <c r="CJ49" s="1223"/>
      <c r="CK49" s="1223"/>
      <c r="CL49" s="1222"/>
      <c r="CM49" s="1222"/>
      <c r="CN49" s="1222"/>
      <c r="CO49" s="1222"/>
      <c r="CP49" s="1222"/>
      <c r="CQ49" s="1222"/>
      <c r="CR49" s="1222"/>
      <c r="CS49" s="1222"/>
      <c r="CT49" s="1222"/>
      <c r="CU49" s="1222"/>
      <c r="CV49" s="1222"/>
      <c r="CW49" s="1222"/>
      <c r="CX49" s="1222"/>
      <c r="CY49" s="1223"/>
      <c r="CZ49" s="1223"/>
      <c r="DA49" s="1223"/>
      <c r="DB49" s="1223"/>
      <c r="DC49" s="1223"/>
      <c r="DD49" s="1223"/>
      <c r="DE49" s="1223"/>
      <c r="DF49" s="1223"/>
      <c r="DG49" s="1223"/>
      <c r="DH49" s="1223"/>
      <c r="DI49" s="1223"/>
      <c r="DJ49" s="1223"/>
      <c r="DK49" s="1222"/>
      <c r="DL49" s="1222"/>
      <c r="DM49" s="1222"/>
      <c r="DN49" s="1222"/>
      <c r="DO49" s="1222"/>
      <c r="DP49" s="1222"/>
      <c r="DQ49" s="1222"/>
      <c r="DR49" s="1222"/>
      <c r="DS49" s="1222"/>
      <c r="DT49" s="1222"/>
      <c r="DU49" s="1222"/>
      <c r="DV49" s="1222"/>
      <c r="DW49" s="1222"/>
      <c r="DX49" s="1222"/>
      <c r="DY49" s="1222"/>
      <c r="DZ49" s="1222"/>
      <c r="EA49" s="1222"/>
      <c r="EB49" s="1222"/>
      <c r="EC49" s="1222"/>
      <c r="ED49" s="1222"/>
      <c r="EE49" s="1222"/>
      <c r="EF49" s="1222"/>
      <c r="EG49" s="1222"/>
      <c r="EH49" s="1222"/>
      <c r="EI49" s="1222"/>
      <c r="EJ49" s="1222"/>
      <c r="EK49" s="1222"/>
      <c r="EL49" s="1222"/>
      <c r="EM49" s="1222"/>
      <c r="EN49" s="1222"/>
      <c r="EO49" s="1222"/>
      <c r="EP49" s="1222"/>
      <c r="EQ49" s="1222"/>
      <c r="ER49" s="1222"/>
      <c r="ES49" s="1222"/>
      <c r="ET49" s="1222"/>
      <c r="EU49" s="1222"/>
      <c r="EV49" s="1222"/>
      <c r="EW49" s="1222"/>
      <c r="EX49" s="1222"/>
      <c r="EY49" s="1222"/>
      <c r="EZ49" s="1222"/>
      <c r="FA49" s="1222"/>
      <c r="FB49" s="1222"/>
      <c r="FC49" s="1222"/>
      <c r="FD49" s="1222"/>
      <c r="FE49" s="1222"/>
      <c r="FF49" s="1222"/>
      <c r="FG49" s="1222"/>
      <c r="FH49" s="1222"/>
      <c r="FI49" s="1222"/>
      <c r="FJ49" s="1222"/>
      <c r="FK49" s="1222"/>
      <c r="FL49" s="1222"/>
      <c r="FM49" s="1222"/>
      <c r="FN49" s="1222"/>
      <c r="FO49" s="1222"/>
      <c r="FP49" s="1222"/>
      <c r="FQ49" s="1222"/>
      <c r="FR49" s="1222"/>
      <c r="FS49" s="1222"/>
      <c r="FT49" s="1222"/>
      <c r="FU49" s="1222"/>
      <c r="FV49" s="1222"/>
      <c r="FW49" s="1222"/>
      <c r="FX49" s="1213"/>
      <c r="FY49" s="936"/>
      <c r="FZ49" s="936"/>
      <c r="GA49" s="936"/>
      <c r="GB49" s="936"/>
    </row>
    <row s="936" customFormat="1" customHeight="1" ht="24.75">
      <c r="A50" s="936" t="s">
        <v>22</v>
      </c>
      <c r="B50" s="951"/>
      <c r="C50" s="936"/>
      <c r="D50" s="936"/>
      <c r="E50" s="694" t="s">
        <v>105</v>
      </c>
      <c r="F50" s="2419" t="s">
        <v>1212</v>
      </c>
      <c r="G50" s="2592" t="s">
        <v>1376</v>
      </c>
      <c r="H50" s="1221" t="s">
        <v>1377</v>
      </c>
      <c r="I50" s="1990" t="s">
        <v>1261</v>
      </c>
      <c r="J50" s="1222"/>
      <c r="K50" s="1222"/>
      <c r="L50" s="1222"/>
      <c r="M50" s="1222"/>
      <c r="N50" s="1222"/>
      <c r="O50" s="1223"/>
      <c r="P50" s="1223"/>
      <c r="Q50" s="1223">
        <v>1.37</v>
      </c>
      <c r="R50" s="1223">
        <v>0</v>
      </c>
      <c r="S50" s="1223">
        <v>0.206946</v>
      </c>
      <c r="T50" s="1223">
        <v>0.17236</v>
      </c>
      <c r="U50" s="1223"/>
      <c r="V50" s="1223"/>
      <c r="W50" s="1223"/>
      <c r="X50" s="1223"/>
      <c r="Y50" s="1223"/>
      <c r="Z50" s="1223"/>
      <c r="AA50" s="1223"/>
      <c r="AB50" s="1223"/>
      <c r="AC50" s="1222"/>
      <c r="AD50" s="1222"/>
      <c r="AE50" s="1222"/>
      <c r="AF50" s="1222"/>
      <c r="AG50" s="1222"/>
      <c r="AH50" s="1222"/>
      <c r="AI50" s="1222"/>
      <c r="AJ50" s="1222"/>
      <c r="AK50" s="1222"/>
      <c r="AL50" s="1222"/>
      <c r="AM50" s="1222"/>
      <c r="AN50" s="1222"/>
      <c r="AO50" s="1222"/>
      <c r="AP50" s="1222"/>
      <c r="AQ50" s="1222"/>
      <c r="AR50" s="1222"/>
      <c r="AS50" s="1222"/>
      <c r="AT50" s="1222"/>
      <c r="AU50" s="1222"/>
      <c r="AV50" s="1222"/>
      <c r="AW50" s="1222"/>
      <c r="AX50" s="1222"/>
      <c r="AY50" s="1222"/>
      <c r="AZ50" s="1222"/>
      <c r="BA50" s="1222"/>
      <c r="BB50" s="1222"/>
      <c r="BC50" s="1222"/>
      <c r="BD50" s="1222"/>
      <c r="BE50" s="1222"/>
      <c r="BF50" s="1222"/>
      <c r="BG50" s="1222"/>
      <c r="BH50" s="1222"/>
      <c r="BI50" s="1222"/>
      <c r="BJ50" s="1222"/>
      <c r="BK50" s="1222"/>
      <c r="BL50" s="1222"/>
      <c r="BM50" s="1222"/>
      <c r="BN50" s="1222"/>
      <c r="BO50" s="1222"/>
      <c r="BP50" s="1222"/>
      <c r="BQ50" s="1222"/>
      <c r="BR50" s="1222"/>
      <c r="BS50" s="1222"/>
      <c r="BT50" s="1223"/>
      <c r="BU50" s="1223"/>
      <c r="BV50" s="1223"/>
      <c r="BW50" s="1223"/>
      <c r="BX50" s="1223"/>
      <c r="BY50" s="1223"/>
      <c r="BZ50" s="1223"/>
      <c r="CA50" s="1223"/>
      <c r="CB50" s="1223"/>
      <c r="CC50" s="1223"/>
      <c r="CD50" s="1223"/>
      <c r="CE50" s="1223"/>
      <c r="CF50" s="1223"/>
      <c r="CG50" s="1223"/>
      <c r="CH50" s="1223"/>
      <c r="CI50" s="1223"/>
      <c r="CJ50" s="1223"/>
      <c r="CK50" s="1223"/>
      <c r="CL50" s="1222"/>
      <c r="CM50" s="1222"/>
      <c r="CN50" s="1222"/>
      <c r="CO50" s="1222"/>
      <c r="CP50" s="1222"/>
      <c r="CQ50" s="1222"/>
      <c r="CR50" s="1222"/>
      <c r="CS50" s="1222"/>
      <c r="CT50" s="1222"/>
      <c r="CU50" s="1222"/>
      <c r="CV50" s="1222"/>
      <c r="CW50" s="1222"/>
      <c r="CX50" s="1222"/>
      <c r="CY50" s="1223"/>
      <c r="CZ50" s="1223"/>
      <c r="DA50" s="1223"/>
      <c r="DB50" s="1223"/>
      <c r="DC50" s="1223"/>
      <c r="DD50" s="1223"/>
      <c r="DE50" s="1223"/>
      <c r="DF50" s="1223"/>
      <c r="DG50" s="1223"/>
      <c r="DH50" s="1223"/>
      <c r="DI50" s="1223"/>
      <c r="DJ50" s="1223"/>
      <c r="DK50" s="1222"/>
      <c r="DL50" s="1222"/>
      <c r="DM50" s="1222"/>
      <c r="DN50" s="1222"/>
      <c r="DO50" s="1222"/>
      <c r="DP50" s="1222"/>
      <c r="DQ50" s="1222"/>
      <c r="DR50" s="1222"/>
      <c r="DS50" s="1222"/>
      <c r="DT50" s="1222"/>
      <c r="DU50" s="1222"/>
      <c r="DV50" s="1222"/>
      <c r="DW50" s="1222"/>
      <c r="DX50" s="1222"/>
      <c r="DY50" s="1222"/>
      <c r="DZ50" s="1222"/>
      <c r="EA50" s="1222"/>
      <c r="EB50" s="1222"/>
      <c r="EC50" s="1222"/>
      <c r="ED50" s="1222"/>
      <c r="EE50" s="1222"/>
      <c r="EF50" s="1222"/>
      <c r="EG50" s="1222"/>
      <c r="EH50" s="1222"/>
      <c r="EI50" s="1222"/>
      <c r="EJ50" s="1222"/>
      <c r="EK50" s="1222"/>
      <c r="EL50" s="1222"/>
      <c r="EM50" s="1222"/>
      <c r="EN50" s="1222"/>
      <c r="EO50" s="1222"/>
      <c r="EP50" s="1222"/>
      <c r="EQ50" s="1222"/>
      <c r="ER50" s="1222"/>
      <c r="ES50" s="1222"/>
      <c r="ET50" s="1222"/>
      <c r="EU50" s="1222"/>
      <c r="EV50" s="1222"/>
      <c r="EW50" s="1222"/>
      <c r="EX50" s="1222"/>
      <c r="EY50" s="1222"/>
      <c r="EZ50" s="1222"/>
      <c r="FA50" s="1222"/>
      <c r="FB50" s="1222"/>
      <c r="FC50" s="1222"/>
      <c r="FD50" s="1222"/>
      <c r="FE50" s="1222"/>
      <c r="FF50" s="1222"/>
      <c r="FG50" s="1222"/>
      <c r="FH50" s="1222"/>
      <c r="FI50" s="1222"/>
      <c r="FJ50" s="1222"/>
      <c r="FK50" s="1222"/>
      <c r="FL50" s="1222"/>
      <c r="FM50" s="1222"/>
      <c r="FN50" s="1222"/>
      <c r="FO50" s="1222"/>
      <c r="FP50" s="1222"/>
      <c r="FQ50" s="1222"/>
      <c r="FR50" s="1222"/>
      <c r="FS50" s="1222"/>
      <c r="FT50" s="1222"/>
      <c r="FU50" s="1222"/>
      <c r="FV50" s="1222"/>
      <c r="FW50" s="1222"/>
      <c r="FX50" s="1213"/>
      <c r="FY50" s="936"/>
      <c r="FZ50" s="936"/>
      <c r="GA50" s="936"/>
      <c r="GB50" s="936"/>
    </row>
    <row s="936" customFormat="1" customHeight="1" ht="24.75">
      <c r="A51" s="936" t="s">
        <v>22</v>
      </c>
      <c r="B51" s="951"/>
      <c r="C51" s="936"/>
      <c r="D51" s="936"/>
      <c r="E51" s="694" t="s">
        <v>105</v>
      </c>
      <c r="F51" s="2419" t="s">
        <v>1215</v>
      </c>
      <c r="G51" s="2592" t="s">
        <v>1376</v>
      </c>
      <c r="H51" s="1221" t="s">
        <v>1377</v>
      </c>
      <c r="I51" s="1990" t="s">
        <v>1260</v>
      </c>
      <c r="J51" s="1222"/>
      <c r="K51" s="1222"/>
      <c r="L51" s="1222"/>
      <c r="M51" s="1222"/>
      <c r="N51" s="1222"/>
      <c r="O51" s="1223"/>
      <c r="P51" s="1223"/>
      <c r="Q51" s="1223">
        <v>2.32</v>
      </c>
      <c r="R51" s="1223">
        <v>0</v>
      </c>
      <c r="S51" s="1223"/>
      <c r="T51" s="1223"/>
      <c r="U51" s="1223"/>
      <c r="V51" s="1223"/>
      <c r="W51" s="1223"/>
      <c r="X51" s="1223"/>
      <c r="Y51" s="1223"/>
      <c r="Z51" s="1223"/>
      <c r="AA51" s="1223"/>
      <c r="AB51" s="1223"/>
      <c r="AC51" s="1222"/>
      <c r="AD51" s="1222"/>
      <c r="AE51" s="1222"/>
      <c r="AF51" s="1222"/>
      <c r="AG51" s="1222"/>
      <c r="AH51" s="1222"/>
      <c r="AI51" s="1222"/>
      <c r="AJ51" s="1222"/>
      <c r="AK51" s="1222"/>
      <c r="AL51" s="1222"/>
      <c r="AM51" s="1222"/>
      <c r="AN51" s="1222"/>
      <c r="AO51" s="1222"/>
      <c r="AP51" s="1222"/>
      <c r="AQ51" s="1222"/>
      <c r="AR51" s="1222"/>
      <c r="AS51" s="1222"/>
      <c r="AT51" s="1222"/>
      <c r="AU51" s="1222"/>
      <c r="AV51" s="1222"/>
      <c r="AW51" s="1222"/>
      <c r="AX51" s="1222"/>
      <c r="AY51" s="1222"/>
      <c r="AZ51" s="1222"/>
      <c r="BA51" s="1222"/>
      <c r="BB51" s="1222"/>
      <c r="BC51" s="1222"/>
      <c r="BD51" s="1222"/>
      <c r="BE51" s="1222"/>
      <c r="BF51" s="1222"/>
      <c r="BG51" s="1222"/>
      <c r="BH51" s="1222"/>
      <c r="BI51" s="1222"/>
      <c r="BJ51" s="1222"/>
      <c r="BK51" s="1222"/>
      <c r="BL51" s="1222"/>
      <c r="BM51" s="1222"/>
      <c r="BN51" s="1222"/>
      <c r="BO51" s="1222"/>
      <c r="BP51" s="1222"/>
      <c r="BQ51" s="1222"/>
      <c r="BR51" s="1222"/>
      <c r="BS51" s="1222"/>
      <c r="BT51" s="1223"/>
      <c r="BU51" s="1223"/>
      <c r="BV51" s="1223"/>
      <c r="BW51" s="1223"/>
      <c r="BX51" s="1223"/>
      <c r="BY51" s="1223"/>
      <c r="BZ51" s="1223"/>
      <c r="CA51" s="1223"/>
      <c r="CB51" s="1223"/>
      <c r="CC51" s="1223"/>
      <c r="CD51" s="1223"/>
      <c r="CE51" s="1223"/>
      <c r="CF51" s="1223"/>
      <c r="CG51" s="1223"/>
      <c r="CH51" s="1223"/>
      <c r="CI51" s="1223"/>
      <c r="CJ51" s="1223"/>
      <c r="CK51" s="1223"/>
      <c r="CL51" s="1222"/>
      <c r="CM51" s="1222"/>
      <c r="CN51" s="1222"/>
      <c r="CO51" s="1222"/>
      <c r="CP51" s="1222"/>
      <c r="CQ51" s="1222"/>
      <c r="CR51" s="1222"/>
      <c r="CS51" s="1222"/>
      <c r="CT51" s="1222"/>
      <c r="CU51" s="1222"/>
      <c r="CV51" s="1222"/>
      <c r="CW51" s="1222"/>
      <c r="CX51" s="1222"/>
      <c r="CY51" s="1223"/>
      <c r="CZ51" s="1223"/>
      <c r="DA51" s="1223"/>
      <c r="DB51" s="1223"/>
      <c r="DC51" s="1223"/>
      <c r="DD51" s="1223"/>
      <c r="DE51" s="1223"/>
      <c r="DF51" s="1223"/>
      <c r="DG51" s="1223"/>
      <c r="DH51" s="1223"/>
      <c r="DI51" s="1223"/>
      <c r="DJ51" s="1223"/>
      <c r="DK51" s="1222"/>
      <c r="DL51" s="1222"/>
      <c r="DM51" s="1222"/>
      <c r="DN51" s="1222"/>
      <c r="DO51" s="1222"/>
      <c r="DP51" s="1222"/>
      <c r="DQ51" s="1222"/>
      <c r="DR51" s="1222"/>
      <c r="DS51" s="1222"/>
      <c r="DT51" s="1222"/>
      <c r="DU51" s="1222"/>
      <c r="DV51" s="1222"/>
      <c r="DW51" s="1222"/>
      <c r="DX51" s="1222"/>
      <c r="DY51" s="1222"/>
      <c r="DZ51" s="1222"/>
      <c r="EA51" s="1222"/>
      <c r="EB51" s="1222"/>
      <c r="EC51" s="1222"/>
      <c r="ED51" s="1222"/>
      <c r="EE51" s="1222"/>
      <c r="EF51" s="1222"/>
      <c r="EG51" s="1222"/>
      <c r="EH51" s="1222"/>
      <c r="EI51" s="1222"/>
      <c r="EJ51" s="1222"/>
      <c r="EK51" s="1222"/>
      <c r="EL51" s="1222"/>
      <c r="EM51" s="1222"/>
      <c r="EN51" s="1222"/>
      <c r="EO51" s="1222"/>
      <c r="EP51" s="1222"/>
      <c r="EQ51" s="1222"/>
      <c r="ER51" s="1222"/>
      <c r="ES51" s="1222"/>
      <c r="ET51" s="1222"/>
      <c r="EU51" s="1222"/>
      <c r="EV51" s="1222"/>
      <c r="EW51" s="1222"/>
      <c r="EX51" s="1222"/>
      <c r="EY51" s="1222"/>
      <c r="EZ51" s="1222"/>
      <c r="FA51" s="1222"/>
      <c r="FB51" s="1222"/>
      <c r="FC51" s="1222"/>
      <c r="FD51" s="1222"/>
      <c r="FE51" s="1222"/>
      <c r="FF51" s="1222"/>
      <c r="FG51" s="1222"/>
      <c r="FH51" s="1222"/>
      <c r="FI51" s="1222"/>
      <c r="FJ51" s="1222"/>
      <c r="FK51" s="1222"/>
      <c r="FL51" s="1222"/>
      <c r="FM51" s="1222"/>
      <c r="FN51" s="1222"/>
      <c r="FO51" s="1222"/>
      <c r="FP51" s="1222"/>
      <c r="FQ51" s="1222"/>
      <c r="FR51" s="1222"/>
      <c r="FS51" s="1222"/>
      <c r="FT51" s="1222"/>
      <c r="FU51" s="1222"/>
      <c r="FV51" s="1222"/>
      <c r="FW51" s="1222"/>
      <c r="FX51" s="1213"/>
      <c r="FY51" s="936"/>
      <c r="FZ51" s="936"/>
      <c r="GA51" s="936"/>
      <c r="GB51" s="936"/>
    </row>
    <row s="936" customFormat="1" customHeight="1" ht="24.75">
      <c r="A52" s="936" t="s">
        <v>22</v>
      </c>
      <c r="B52" s="951"/>
      <c r="C52" s="936"/>
      <c r="D52" s="936"/>
      <c r="E52" s="694" t="s">
        <v>105</v>
      </c>
      <c r="F52" s="2419" t="s">
        <v>1217</v>
      </c>
      <c r="G52" s="2592" t="s">
        <v>1376</v>
      </c>
      <c r="H52" s="1221" t="s">
        <v>1377</v>
      </c>
      <c r="I52" s="1990" t="s">
        <v>1266</v>
      </c>
      <c r="J52" s="1222"/>
      <c r="K52" s="1222"/>
      <c r="L52" s="1222"/>
      <c r="M52" s="1222"/>
      <c r="N52" s="1222"/>
      <c r="O52" s="1223"/>
      <c r="P52" s="1223"/>
      <c r="Q52" s="1223">
        <v>0</v>
      </c>
      <c r="R52" s="1223">
        <v>0</v>
      </c>
      <c r="S52" s="1223"/>
      <c r="T52" s="1223"/>
      <c r="U52" s="1223"/>
      <c r="V52" s="1223"/>
      <c r="W52" s="1223"/>
      <c r="X52" s="1223"/>
      <c r="Y52" s="1223"/>
      <c r="Z52" s="1223"/>
      <c r="AA52" s="1223"/>
      <c r="AB52" s="1223"/>
      <c r="AC52" s="1222"/>
      <c r="AD52" s="1222"/>
      <c r="AE52" s="1222"/>
      <c r="AF52" s="1222"/>
      <c r="AG52" s="1222"/>
      <c r="AH52" s="1222"/>
      <c r="AI52" s="1222"/>
      <c r="AJ52" s="1222"/>
      <c r="AK52" s="1222"/>
      <c r="AL52" s="1222"/>
      <c r="AM52" s="1222"/>
      <c r="AN52" s="1222"/>
      <c r="AO52" s="1222"/>
      <c r="AP52" s="1222"/>
      <c r="AQ52" s="1222"/>
      <c r="AR52" s="1222"/>
      <c r="AS52" s="1222"/>
      <c r="AT52" s="1222"/>
      <c r="AU52" s="1222"/>
      <c r="AV52" s="1222"/>
      <c r="AW52" s="1222"/>
      <c r="AX52" s="1222"/>
      <c r="AY52" s="1222"/>
      <c r="AZ52" s="1222"/>
      <c r="BA52" s="1222"/>
      <c r="BB52" s="1222"/>
      <c r="BC52" s="1222"/>
      <c r="BD52" s="1222"/>
      <c r="BE52" s="1222"/>
      <c r="BF52" s="1222"/>
      <c r="BG52" s="1222"/>
      <c r="BH52" s="1222"/>
      <c r="BI52" s="1222"/>
      <c r="BJ52" s="1222"/>
      <c r="BK52" s="1222"/>
      <c r="BL52" s="1222"/>
      <c r="BM52" s="1222"/>
      <c r="BN52" s="1222"/>
      <c r="BO52" s="1222"/>
      <c r="BP52" s="1222"/>
      <c r="BQ52" s="1222"/>
      <c r="BR52" s="1222"/>
      <c r="BS52" s="1222"/>
      <c r="BT52" s="1223"/>
      <c r="BU52" s="1223"/>
      <c r="BV52" s="1223"/>
      <c r="BW52" s="1223"/>
      <c r="BX52" s="1223"/>
      <c r="BY52" s="1223"/>
      <c r="BZ52" s="1223"/>
      <c r="CA52" s="1223"/>
      <c r="CB52" s="1223"/>
      <c r="CC52" s="1223"/>
      <c r="CD52" s="1223"/>
      <c r="CE52" s="1223"/>
      <c r="CF52" s="1223"/>
      <c r="CG52" s="1223"/>
      <c r="CH52" s="1223"/>
      <c r="CI52" s="1223"/>
      <c r="CJ52" s="1223"/>
      <c r="CK52" s="1223"/>
      <c r="CL52" s="1222"/>
      <c r="CM52" s="1222"/>
      <c r="CN52" s="1222"/>
      <c r="CO52" s="1222"/>
      <c r="CP52" s="1222"/>
      <c r="CQ52" s="1222"/>
      <c r="CR52" s="1222"/>
      <c r="CS52" s="1222"/>
      <c r="CT52" s="1222"/>
      <c r="CU52" s="1222"/>
      <c r="CV52" s="1222"/>
      <c r="CW52" s="1222"/>
      <c r="CX52" s="1222"/>
      <c r="CY52" s="1223"/>
      <c r="CZ52" s="1223"/>
      <c r="DA52" s="1223"/>
      <c r="DB52" s="1223"/>
      <c r="DC52" s="1223"/>
      <c r="DD52" s="1223"/>
      <c r="DE52" s="1223"/>
      <c r="DF52" s="1223"/>
      <c r="DG52" s="1223"/>
      <c r="DH52" s="1223"/>
      <c r="DI52" s="1223"/>
      <c r="DJ52" s="1223"/>
      <c r="DK52" s="1222"/>
      <c r="DL52" s="1222"/>
      <c r="DM52" s="1222"/>
      <c r="DN52" s="1222"/>
      <c r="DO52" s="1222"/>
      <c r="DP52" s="1222"/>
      <c r="DQ52" s="1222"/>
      <c r="DR52" s="1222"/>
      <c r="DS52" s="1222"/>
      <c r="DT52" s="1222"/>
      <c r="DU52" s="1222"/>
      <c r="DV52" s="1222"/>
      <c r="DW52" s="1222"/>
      <c r="DX52" s="1222"/>
      <c r="DY52" s="1222"/>
      <c r="DZ52" s="1222"/>
      <c r="EA52" s="1222"/>
      <c r="EB52" s="1222"/>
      <c r="EC52" s="1222"/>
      <c r="ED52" s="1222"/>
      <c r="EE52" s="1222"/>
      <c r="EF52" s="1222"/>
      <c r="EG52" s="1222"/>
      <c r="EH52" s="1222"/>
      <c r="EI52" s="1222"/>
      <c r="EJ52" s="1222"/>
      <c r="EK52" s="1222"/>
      <c r="EL52" s="1222"/>
      <c r="EM52" s="1222"/>
      <c r="EN52" s="1222"/>
      <c r="EO52" s="1222"/>
      <c r="EP52" s="1222"/>
      <c r="EQ52" s="1222"/>
      <c r="ER52" s="1222"/>
      <c r="ES52" s="1222"/>
      <c r="ET52" s="1222"/>
      <c r="EU52" s="1222"/>
      <c r="EV52" s="1222"/>
      <c r="EW52" s="1222"/>
      <c r="EX52" s="1222"/>
      <c r="EY52" s="1222"/>
      <c r="EZ52" s="1222"/>
      <c r="FA52" s="1222"/>
      <c r="FB52" s="1222"/>
      <c r="FC52" s="1222"/>
      <c r="FD52" s="1222"/>
      <c r="FE52" s="1222"/>
      <c r="FF52" s="1222"/>
      <c r="FG52" s="1222"/>
      <c r="FH52" s="1222"/>
      <c r="FI52" s="1222"/>
      <c r="FJ52" s="1222"/>
      <c r="FK52" s="1222"/>
      <c r="FL52" s="1222"/>
      <c r="FM52" s="1222"/>
      <c r="FN52" s="1222"/>
      <c r="FO52" s="1222"/>
      <c r="FP52" s="1222"/>
      <c r="FQ52" s="1222"/>
      <c r="FR52" s="1222"/>
      <c r="FS52" s="1222"/>
      <c r="FT52" s="1222"/>
      <c r="FU52" s="1222"/>
      <c r="FV52" s="1222"/>
      <c r="FW52" s="1222"/>
      <c r="FX52" s="1213"/>
      <c r="FY52" s="936"/>
      <c r="FZ52" s="936"/>
      <c r="GA52" s="936"/>
      <c r="GB52" s="936"/>
    </row>
    <row s="936" customFormat="1" customHeight="1" ht="24.75">
      <c r="A53" s="936" t="s">
        <v>22</v>
      </c>
      <c r="B53" s="951"/>
      <c r="C53" s="936"/>
      <c r="D53" s="936"/>
      <c r="E53" s="694" t="s">
        <v>105</v>
      </c>
      <c r="F53" s="2419" t="s">
        <v>1219</v>
      </c>
      <c r="G53" s="2592" t="s">
        <v>1376</v>
      </c>
      <c r="H53" s="1221" t="s">
        <v>1377</v>
      </c>
      <c r="I53" s="1990" t="s">
        <v>1378</v>
      </c>
      <c r="J53" s="1222"/>
      <c r="K53" s="1222"/>
      <c r="L53" s="1222"/>
      <c r="M53" s="1222"/>
      <c r="N53" s="1222"/>
      <c r="O53" s="1223"/>
      <c r="P53" s="1223"/>
      <c r="Q53" s="1223">
        <v>0</v>
      </c>
      <c r="R53" s="1223">
        <v>0</v>
      </c>
      <c r="S53" s="1223"/>
      <c r="T53" s="1223"/>
      <c r="U53" s="1223"/>
      <c r="V53" s="1223"/>
      <c r="W53" s="1223"/>
      <c r="X53" s="1223"/>
      <c r="Y53" s="1223"/>
      <c r="Z53" s="1223"/>
      <c r="AA53" s="1223"/>
      <c r="AB53" s="1223"/>
      <c r="AC53" s="1222"/>
      <c r="AD53" s="1222"/>
      <c r="AE53" s="1222"/>
      <c r="AF53" s="1222"/>
      <c r="AG53" s="1222"/>
      <c r="AH53" s="1222"/>
      <c r="AI53" s="1222"/>
      <c r="AJ53" s="1222"/>
      <c r="AK53" s="1222"/>
      <c r="AL53" s="1222"/>
      <c r="AM53" s="1222"/>
      <c r="AN53" s="1222"/>
      <c r="AO53" s="1222"/>
      <c r="AP53" s="1222"/>
      <c r="AQ53" s="1222"/>
      <c r="AR53" s="1222"/>
      <c r="AS53" s="1222"/>
      <c r="AT53" s="1222"/>
      <c r="AU53" s="1222"/>
      <c r="AV53" s="1222"/>
      <c r="AW53" s="1222"/>
      <c r="AX53" s="1222"/>
      <c r="AY53" s="1222"/>
      <c r="AZ53" s="1222"/>
      <c r="BA53" s="1222"/>
      <c r="BB53" s="1222"/>
      <c r="BC53" s="1222"/>
      <c r="BD53" s="1222"/>
      <c r="BE53" s="1222"/>
      <c r="BF53" s="1222"/>
      <c r="BG53" s="1222"/>
      <c r="BH53" s="1222"/>
      <c r="BI53" s="1222"/>
      <c r="BJ53" s="1222"/>
      <c r="BK53" s="1222"/>
      <c r="BL53" s="1222"/>
      <c r="BM53" s="1222"/>
      <c r="BN53" s="1222"/>
      <c r="BO53" s="1222"/>
      <c r="BP53" s="1222"/>
      <c r="BQ53" s="1222"/>
      <c r="BR53" s="1222"/>
      <c r="BS53" s="1222"/>
      <c r="BT53" s="1223"/>
      <c r="BU53" s="1223"/>
      <c r="BV53" s="1223"/>
      <c r="BW53" s="1223"/>
      <c r="BX53" s="1223"/>
      <c r="BY53" s="1223"/>
      <c r="BZ53" s="1223"/>
      <c r="CA53" s="1223"/>
      <c r="CB53" s="1223"/>
      <c r="CC53" s="1223"/>
      <c r="CD53" s="1223"/>
      <c r="CE53" s="1223"/>
      <c r="CF53" s="1223"/>
      <c r="CG53" s="1223"/>
      <c r="CH53" s="1223"/>
      <c r="CI53" s="1223"/>
      <c r="CJ53" s="1223"/>
      <c r="CK53" s="1223"/>
      <c r="CL53" s="1222"/>
      <c r="CM53" s="1222"/>
      <c r="CN53" s="1222"/>
      <c r="CO53" s="1222"/>
      <c r="CP53" s="1222"/>
      <c r="CQ53" s="1222"/>
      <c r="CR53" s="1222"/>
      <c r="CS53" s="1222"/>
      <c r="CT53" s="1222"/>
      <c r="CU53" s="1222"/>
      <c r="CV53" s="1222"/>
      <c r="CW53" s="1222"/>
      <c r="CX53" s="1222"/>
      <c r="CY53" s="1223"/>
      <c r="CZ53" s="1223"/>
      <c r="DA53" s="1223"/>
      <c r="DB53" s="1223"/>
      <c r="DC53" s="1223"/>
      <c r="DD53" s="1223"/>
      <c r="DE53" s="1223"/>
      <c r="DF53" s="1223"/>
      <c r="DG53" s="1223"/>
      <c r="DH53" s="1223"/>
      <c r="DI53" s="1223"/>
      <c r="DJ53" s="1223"/>
      <c r="DK53" s="1222"/>
      <c r="DL53" s="1222"/>
      <c r="DM53" s="1222"/>
      <c r="DN53" s="1222"/>
      <c r="DO53" s="1222"/>
      <c r="DP53" s="1222"/>
      <c r="DQ53" s="1222"/>
      <c r="DR53" s="1222"/>
      <c r="DS53" s="1222"/>
      <c r="DT53" s="1222"/>
      <c r="DU53" s="1222"/>
      <c r="DV53" s="1222"/>
      <c r="DW53" s="1222"/>
      <c r="DX53" s="1222"/>
      <c r="DY53" s="1222"/>
      <c r="DZ53" s="1222"/>
      <c r="EA53" s="1222"/>
      <c r="EB53" s="1222"/>
      <c r="EC53" s="1222"/>
      <c r="ED53" s="1222"/>
      <c r="EE53" s="1222"/>
      <c r="EF53" s="1222"/>
      <c r="EG53" s="1222"/>
      <c r="EH53" s="1222"/>
      <c r="EI53" s="1222"/>
      <c r="EJ53" s="1222"/>
      <c r="EK53" s="1222"/>
      <c r="EL53" s="1222"/>
      <c r="EM53" s="1222"/>
      <c r="EN53" s="1222"/>
      <c r="EO53" s="1222"/>
      <c r="EP53" s="1222"/>
      <c r="EQ53" s="1222"/>
      <c r="ER53" s="1222"/>
      <c r="ES53" s="1222"/>
      <c r="ET53" s="1222"/>
      <c r="EU53" s="1222"/>
      <c r="EV53" s="1222"/>
      <c r="EW53" s="1222"/>
      <c r="EX53" s="1222"/>
      <c r="EY53" s="1222"/>
      <c r="EZ53" s="1222"/>
      <c r="FA53" s="1222"/>
      <c r="FB53" s="1222"/>
      <c r="FC53" s="1222"/>
      <c r="FD53" s="1222"/>
      <c r="FE53" s="1222"/>
      <c r="FF53" s="1222"/>
      <c r="FG53" s="1222"/>
      <c r="FH53" s="1222"/>
      <c r="FI53" s="1222"/>
      <c r="FJ53" s="1222"/>
      <c r="FK53" s="1222"/>
      <c r="FL53" s="1222"/>
      <c r="FM53" s="1222"/>
      <c r="FN53" s="1222"/>
      <c r="FO53" s="1222"/>
      <c r="FP53" s="1222"/>
      <c r="FQ53" s="1222"/>
      <c r="FR53" s="1222"/>
      <c r="FS53" s="1222"/>
      <c r="FT53" s="1222"/>
      <c r="FU53" s="1222"/>
      <c r="FV53" s="1222"/>
      <c r="FW53" s="1222"/>
      <c r="FX53" s="1213"/>
      <c r="FY53" s="936"/>
      <c r="FZ53" s="936"/>
      <c r="GA53" s="936"/>
      <c r="GB53" s="936"/>
    </row>
    <row s="936" customFormat="1" customHeight="1" ht="24.75">
      <c r="A54" s="936" t="s">
        <v>22</v>
      </c>
      <c r="B54" s="951"/>
      <c r="C54" s="936"/>
      <c r="D54" s="936"/>
      <c r="E54" s="694" t="s">
        <v>105</v>
      </c>
      <c r="F54" s="2419" t="s">
        <v>1379</v>
      </c>
      <c r="G54" s="2592" t="s">
        <v>1376</v>
      </c>
      <c r="H54" s="1221" t="s">
        <v>1377</v>
      </c>
      <c r="I54" s="1990" t="s">
        <v>1380</v>
      </c>
      <c r="J54" s="1222"/>
      <c r="K54" s="1222"/>
      <c r="L54" s="1222"/>
      <c r="M54" s="1222"/>
      <c r="N54" s="1222"/>
      <c r="O54" s="1223"/>
      <c r="P54" s="1223"/>
      <c r="Q54" s="1223">
        <v>0</v>
      </c>
      <c r="R54" s="1223">
        <v>0</v>
      </c>
      <c r="S54" s="1223"/>
      <c r="T54" s="1223"/>
      <c r="U54" s="1223"/>
      <c r="V54" s="1223"/>
      <c r="W54" s="1223"/>
      <c r="X54" s="1223"/>
      <c r="Y54" s="1223"/>
      <c r="Z54" s="1223"/>
      <c r="AA54" s="1223"/>
      <c r="AB54" s="1223"/>
      <c r="AC54" s="1222"/>
      <c r="AD54" s="1222"/>
      <c r="AE54" s="1222"/>
      <c r="AF54" s="1222"/>
      <c r="AG54" s="1222"/>
      <c r="AH54" s="1222"/>
      <c r="AI54" s="1222"/>
      <c r="AJ54" s="1222"/>
      <c r="AK54" s="1222"/>
      <c r="AL54" s="1222"/>
      <c r="AM54" s="1222"/>
      <c r="AN54" s="1222"/>
      <c r="AO54" s="1222"/>
      <c r="AP54" s="1222"/>
      <c r="AQ54" s="1222"/>
      <c r="AR54" s="1222"/>
      <c r="AS54" s="1222"/>
      <c r="AT54" s="1222"/>
      <c r="AU54" s="1222"/>
      <c r="AV54" s="1222"/>
      <c r="AW54" s="1222"/>
      <c r="AX54" s="1222"/>
      <c r="AY54" s="1222"/>
      <c r="AZ54" s="1222"/>
      <c r="BA54" s="1222"/>
      <c r="BB54" s="1222"/>
      <c r="BC54" s="1222"/>
      <c r="BD54" s="1222"/>
      <c r="BE54" s="1222"/>
      <c r="BF54" s="1222"/>
      <c r="BG54" s="1222"/>
      <c r="BH54" s="1222"/>
      <c r="BI54" s="1222"/>
      <c r="BJ54" s="1222"/>
      <c r="BK54" s="1222"/>
      <c r="BL54" s="1222"/>
      <c r="BM54" s="1222"/>
      <c r="BN54" s="1222"/>
      <c r="BO54" s="1222"/>
      <c r="BP54" s="1222"/>
      <c r="BQ54" s="1222"/>
      <c r="BR54" s="1222"/>
      <c r="BS54" s="1222"/>
      <c r="BT54" s="1223"/>
      <c r="BU54" s="1223"/>
      <c r="BV54" s="1223"/>
      <c r="BW54" s="1223"/>
      <c r="BX54" s="1223"/>
      <c r="BY54" s="1223"/>
      <c r="BZ54" s="1223"/>
      <c r="CA54" s="1223"/>
      <c r="CB54" s="1223"/>
      <c r="CC54" s="1223"/>
      <c r="CD54" s="1223"/>
      <c r="CE54" s="1223"/>
      <c r="CF54" s="1223"/>
      <c r="CG54" s="1223"/>
      <c r="CH54" s="1223"/>
      <c r="CI54" s="1223"/>
      <c r="CJ54" s="1223"/>
      <c r="CK54" s="1223"/>
      <c r="CL54" s="1222"/>
      <c r="CM54" s="1222"/>
      <c r="CN54" s="1222"/>
      <c r="CO54" s="1222"/>
      <c r="CP54" s="1222"/>
      <c r="CQ54" s="1222"/>
      <c r="CR54" s="1222"/>
      <c r="CS54" s="1222"/>
      <c r="CT54" s="1222"/>
      <c r="CU54" s="1222"/>
      <c r="CV54" s="1222"/>
      <c r="CW54" s="1222"/>
      <c r="CX54" s="1222"/>
      <c r="CY54" s="1223"/>
      <c r="CZ54" s="1223"/>
      <c r="DA54" s="1223"/>
      <c r="DB54" s="1223"/>
      <c r="DC54" s="1223"/>
      <c r="DD54" s="1223"/>
      <c r="DE54" s="1223"/>
      <c r="DF54" s="1223"/>
      <c r="DG54" s="1223"/>
      <c r="DH54" s="1223"/>
      <c r="DI54" s="1223"/>
      <c r="DJ54" s="1223"/>
      <c r="DK54" s="1222"/>
      <c r="DL54" s="1222"/>
      <c r="DM54" s="1222"/>
      <c r="DN54" s="1222"/>
      <c r="DO54" s="1222"/>
      <c r="DP54" s="1222"/>
      <c r="DQ54" s="1222"/>
      <c r="DR54" s="1222"/>
      <c r="DS54" s="1222"/>
      <c r="DT54" s="1222"/>
      <c r="DU54" s="1222"/>
      <c r="DV54" s="1222"/>
      <c r="DW54" s="1222"/>
      <c r="DX54" s="1222"/>
      <c r="DY54" s="1222"/>
      <c r="DZ54" s="1222"/>
      <c r="EA54" s="1222"/>
      <c r="EB54" s="1222"/>
      <c r="EC54" s="1222"/>
      <c r="ED54" s="1222"/>
      <c r="EE54" s="1222"/>
      <c r="EF54" s="1222"/>
      <c r="EG54" s="1222"/>
      <c r="EH54" s="1222"/>
      <c r="EI54" s="1222"/>
      <c r="EJ54" s="1222"/>
      <c r="EK54" s="1222"/>
      <c r="EL54" s="1222"/>
      <c r="EM54" s="1222"/>
      <c r="EN54" s="1222"/>
      <c r="EO54" s="1222"/>
      <c r="EP54" s="1222"/>
      <c r="EQ54" s="1222"/>
      <c r="ER54" s="1222"/>
      <c r="ES54" s="1222"/>
      <c r="ET54" s="1222"/>
      <c r="EU54" s="1222"/>
      <c r="EV54" s="1222"/>
      <c r="EW54" s="1222"/>
      <c r="EX54" s="1222"/>
      <c r="EY54" s="1222"/>
      <c r="EZ54" s="1222"/>
      <c r="FA54" s="1222"/>
      <c r="FB54" s="1222"/>
      <c r="FC54" s="1222"/>
      <c r="FD54" s="1222"/>
      <c r="FE54" s="1222"/>
      <c r="FF54" s="1222"/>
      <c r="FG54" s="1222"/>
      <c r="FH54" s="1222"/>
      <c r="FI54" s="1222"/>
      <c r="FJ54" s="1222"/>
      <c r="FK54" s="1222"/>
      <c r="FL54" s="1222"/>
      <c r="FM54" s="1222"/>
      <c r="FN54" s="1222"/>
      <c r="FO54" s="1222"/>
      <c r="FP54" s="1222"/>
      <c r="FQ54" s="1222"/>
      <c r="FR54" s="1222"/>
      <c r="FS54" s="1222"/>
      <c r="FT54" s="1222"/>
      <c r="FU54" s="1222"/>
      <c r="FV54" s="1222"/>
      <c r="FW54" s="1222"/>
      <c r="FX54" s="1213"/>
      <c r="FY54" s="936"/>
      <c r="FZ54" s="936"/>
      <c r="GA54" s="936"/>
      <c r="GB54" s="936"/>
    </row>
    <row s="936" customFormat="1" customHeight="1" ht="24.75">
      <c r="A55" s="936" t="s">
        <v>22</v>
      </c>
      <c r="B55" s="951"/>
      <c r="C55" s="936"/>
      <c r="D55" s="936"/>
      <c r="E55" s="694" t="s">
        <v>105</v>
      </c>
      <c r="F55" s="2419" t="s">
        <v>1381</v>
      </c>
      <c r="G55" s="2592" t="s">
        <v>1376</v>
      </c>
      <c r="H55" s="1221" t="s">
        <v>1377</v>
      </c>
      <c r="I55" s="1990" t="s">
        <v>1382</v>
      </c>
      <c r="J55" s="1222"/>
      <c r="K55" s="1222"/>
      <c r="L55" s="1222"/>
      <c r="M55" s="1222"/>
      <c r="N55" s="1222"/>
      <c r="O55" s="1223"/>
      <c r="P55" s="1223"/>
      <c r="Q55" s="1223">
        <v>0</v>
      </c>
      <c r="R55" s="1223">
        <v>0</v>
      </c>
      <c r="S55" s="1223"/>
      <c r="T55" s="1223"/>
      <c r="U55" s="1223"/>
      <c r="V55" s="1223"/>
      <c r="W55" s="1223"/>
      <c r="X55" s="1223"/>
      <c r="Y55" s="1223"/>
      <c r="Z55" s="1223"/>
      <c r="AA55" s="1223"/>
      <c r="AB55" s="1223"/>
      <c r="AC55" s="1222"/>
      <c r="AD55" s="1222"/>
      <c r="AE55" s="1222"/>
      <c r="AF55" s="1222"/>
      <c r="AG55" s="1222"/>
      <c r="AH55" s="1222"/>
      <c r="AI55" s="1222"/>
      <c r="AJ55" s="1222"/>
      <c r="AK55" s="1222"/>
      <c r="AL55" s="1222"/>
      <c r="AM55" s="1222"/>
      <c r="AN55" s="1222"/>
      <c r="AO55" s="1222"/>
      <c r="AP55" s="1222"/>
      <c r="AQ55" s="1222"/>
      <c r="AR55" s="1222"/>
      <c r="AS55" s="1222"/>
      <c r="AT55" s="1222"/>
      <c r="AU55" s="1222"/>
      <c r="AV55" s="1222"/>
      <c r="AW55" s="1222"/>
      <c r="AX55" s="1222"/>
      <c r="AY55" s="1222"/>
      <c r="AZ55" s="1222"/>
      <c r="BA55" s="1222"/>
      <c r="BB55" s="1222"/>
      <c r="BC55" s="1222"/>
      <c r="BD55" s="1222"/>
      <c r="BE55" s="1222"/>
      <c r="BF55" s="1222"/>
      <c r="BG55" s="1222"/>
      <c r="BH55" s="1222"/>
      <c r="BI55" s="1222"/>
      <c r="BJ55" s="1222"/>
      <c r="BK55" s="1222"/>
      <c r="BL55" s="1222"/>
      <c r="BM55" s="1222"/>
      <c r="BN55" s="1222"/>
      <c r="BO55" s="1222"/>
      <c r="BP55" s="1222"/>
      <c r="BQ55" s="1222"/>
      <c r="BR55" s="1222"/>
      <c r="BS55" s="1222"/>
      <c r="BT55" s="1223"/>
      <c r="BU55" s="1223"/>
      <c r="BV55" s="1223"/>
      <c r="BW55" s="1223"/>
      <c r="BX55" s="1223"/>
      <c r="BY55" s="1223"/>
      <c r="BZ55" s="1223"/>
      <c r="CA55" s="1223"/>
      <c r="CB55" s="1223"/>
      <c r="CC55" s="1223"/>
      <c r="CD55" s="1223"/>
      <c r="CE55" s="1223"/>
      <c r="CF55" s="1223"/>
      <c r="CG55" s="1223"/>
      <c r="CH55" s="1223"/>
      <c r="CI55" s="1223"/>
      <c r="CJ55" s="1223"/>
      <c r="CK55" s="1223"/>
      <c r="CL55" s="1222"/>
      <c r="CM55" s="1222"/>
      <c r="CN55" s="1222"/>
      <c r="CO55" s="1222"/>
      <c r="CP55" s="1222"/>
      <c r="CQ55" s="1222"/>
      <c r="CR55" s="1222"/>
      <c r="CS55" s="1222"/>
      <c r="CT55" s="1222"/>
      <c r="CU55" s="1222"/>
      <c r="CV55" s="1222"/>
      <c r="CW55" s="1222"/>
      <c r="CX55" s="1222"/>
      <c r="CY55" s="1223"/>
      <c r="CZ55" s="1223"/>
      <c r="DA55" s="1223"/>
      <c r="DB55" s="1223"/>
      <c r="DC55" s="1223"/>
      <c r="DD55" s="1223"/>
      <c r="DE55" s="1223"/>
      <c r="DF55" s="1223"/>
      <c r="DG55" s="1223"/>
      <c r="DH55" s="1223"/>
      <c r="DI55" s="1223"/>
      <c r="DJ55" s="1223"/>
      <c r="DK55" s="1222"/>
      <c r="DL55" s="1222"/>
      <c r="DM55" s="1222"/>
      <c r="DN55" s="1222"/>
      <c r="DO55" s="1222"/>
      <c r="DP55" s="1222"/>
      <c r="DQ55" s="1222"/>
      <c r="DR55" s="1222"/>
      <c r="DS55" s="1222"/>
      <c r="DT55" s="1222"/>
      <c r="DU55" s="1222"/>
      <c r="DV55" s="1222"/>
      <c r="DW55" s="1222"/>
      <c r="DX55" s="1222"/>
      <c r="DY55" s="1222"/>
      <c r="DZ55" s="1222"/>
      <c r="EA55" s="1222"/>
      <c r="EB55" s="1222"/>
      <c r="EC55" s="1222"/>
      <c r="ED55" s="1222"/>
      <c r="EE55" s="1222"/>
      <c r="EF55" s="1222"/>
      <c r="EG55" s="1222"/>
      <c r="EH55" s="1222"/>
      <c r="EI55" s="1222"/>
      <c r="EJ55" s="1222"/>
      <c r="EK55" s="1222"/>
      <c r="EL55" s="1222"/>
      <c r="EM55" s="1222"/>
      <c r="EN55" s="1222"/>
      <c r="EO55" s="1222"/>
      <c r="EP55" s="1222"/>
      <c r="EQ55" s="1222"/>
      <c r="ER55" s="1222"/>
      <c r="ES55" s="1222"/>
      <c r="ET55" s="1222"/>
      <c r="EU55" s="1222"/>
      <c r="EV55" s="1222"/>
      <c r="EW55" s="1222"/>
      <c r="EX55" s="1222"/>
      <c r="EY55" s="1222"/>
      <c r="EZ55" s="1222"/>
      <c r="FA55" s="1222"/>
      <c r="FB55" s="1222"/>
      <c r="FC55" s="1222"/>
      <c r="FD55" s="1222"/>
      <c r="FE55" s="1222"/>
      <c r="FF55" s="1222"/>
      <c r="FG55" s="1222"/>
      <c r="FH55" s="1222"/>
      <c r="FI55" s="1222"/>
      <c r="FJ55" s="1222"/>
      <c r="FK55" s="1222"/>
      <c r="FL55" s="1222"/>
      <c r="FM55" s="1222"/>
      <c r="FN55" s="1222"/>
      <c r="FO55" s="1222"/>
      <c r="FP55" s="1222"/>
      <c r="FQ55" s="1222"/>
      <c r="FR55" s="1222"/>
      <c r="FS55" s="1222"/>
      <c r="FT55" s="1222"/>
      <c r="FU55" s="1222"/>
      <c r="FV55" s="1222"/>
      <c r="FW55" s="1222"/>
      <c r="FX55" s="1213"/>
      <c r="FY55" s="936"/>
      <c r="FZ55" s="936"/>
      <c r="GA55" s="936"/>
      <c r="GB55" s="936"/>
    </row>
    <row s="936" customFormat="1" customHeight="1" ht="24.75">
      <c r="A56" s="936" t="s">
        <v>22</v>
      </c>
      <c r="B56" s="951"/>
      <c r="C56" s="936"/>
      <c r="D56" s="936"/>
      <c r="E56" s="694" t="s">
        <v>105</v>
      </c>
      <c r="F56" s="2419" t="s">
        <v>1383</v>
      </c>
      <c r="G56" s="2592" t="s">
        <v>1376</v>
      </c>
      <c r="H56" s="1221" t="s">
        <v>1377</v>
      </c>
      <c r="I56" s="1990" t="s">
        <v>1141</v>
      </c>
      <c r="J56" s="1222"/>
      <c r="K56" s="1222"/>
      <c r="L56" s="1222"/>
      <c r="M56" s="1222"/>
      <c r="N56" s="1222"/>
      <c r="O56" s="1223"/>
      <c r="P56" s="1223"/>
      <c r="Q56" s="1223">
        <v>0</v>
      </c>
      <c r="R56" s="1223">
        <v>0</v>
      </c>
      <c r="S56" s="1223"/>
      <c r="T56" s="1223"/>
      <c r="U56" s="1223"/>
      <c r="V56" s="1223"/>
      <c r="W56" s="1223"/>
      <c r="X56" s="1223"/>
      <c r="Y56" s="1223"/>
      <c r="Z56" s="1223"/>
      <c r="AA56" s="1223"/>
      <c r="AB56" s="1223"/>
      <c r="AC56" s="1222"/>
      <c r="AD56" s="1222"/>
      <c r="AE56" s="1222"/>
      <c r="AF56" s="1222"/>
      <c r="AG56" s="1222"/>
      <c r="AH56" s="1222"/>
      <c r="AI56" s="1222"/>
      <c r="AJ56" s="1222"/>
      <c r="AK56" s="1222"/>
      <c r="AL56" s="1222"/>
      <c r="AM56" s="1222"/>
      <c r="AN56" s="1222"/>
      <c r="AO56" s="1222"/>
      <c r="AP56" s="1222"/>
      <c r="AQ56" s="1222"/>
      <c r="AR56" s="1222"/>
      <c r="AS56" s="1222"/>
      <c r="AT56" s="1222"/>
      <c r="AU56" s="1222"/>
      <c r="AV56" s="1222"/>
      <c r="AW56" s="1222"/>
      <c r="AX56" s="1222"/>
      <c r="AY56" s="1222"/>
      <c r="AZ56" s="1222"/>
      <c r="BA56" s="1222"/>
      <c r="BB56" s="1222"/>
      <c r="BC56" s="1222"/>
      <c r="BD56" s="1222"/>
      <c r="BE56" s="1222"/>
      <c r="BF56" s="1222"/>
      <c r="BG56" s="1222"/>
      <c r="BH56" s="1222"/>
      <c r="BI56" s="1222"/>
      <c r="BJ56" s="1222"/>
      <c r="BK56" s="1222"/>
      <c r="BL56" s="1222"/>
      <c r="BM56" s="1222"/>
      <c r="BN56" s="1222"/>
      <c r="BO56" s="1222"/>
      <c r="BP56" s="1222"/>
      <c r="BQ56" s="1222"/>
      <c r="BR56" s="1222"/>
      <c r="BS56" s="1222"/>
      <c r="BT56" s="1223"/>
      <c r="BU56" s="1223"/>
      <c r="BV56" s="1223"/>
      <c r="BW56" s="1223"/>
      <c r="BX56" s="1223"/>
      <c r="BY56" s="1223"/>
      <c r="BZ56" s="1223"/>
      <c r="CA56" s="1223"/>
      <c r="CB56" s="1223"/>
      <c r="CC56" s="1223"/>
      <c r="CD56" s="1223"/>
      <c r="CE56" s="1223"/>
      <c r="CF56" s="1223"/>
      <c r="CG56" s="1223"/>
      <c r="CH56" s="1223"/>
      <c r="CI56" s="1223"/>
      <c r="CJ56" s="1223"/>
      <c r="CK56" s="1223"/>
      <c r="CL56" s="1222"/>
      <c r="CM56" s="1222"/>
      <c r="CN56" s="1222"/>
      <c r="CO56" s="1222"/>
      <c r="CP56" s="1222"/>
      <c r="CQ56" s="1222"/>
      <c r="CR56" s="1222"/>
      <c r="CS56" s="1222"/>
      <c r="CT56" s="1222"/>
      <c r="CU56" s="1222"/>
      <c r="CV56" s="1222"/>
      <c r="CW56" s="1222"/>
      <c r="CX56" s="1222"/>
      <c r="CY56" s="1223"/>
      <c r="CZ56" s="1223"/>
      <c r="DA56" s="1223"/>
      <c r="DB56" s="1223"/>
      <c r="DC56" s="1223"/>
      <c r="DD56" s="1223"/>
      <c r="DE56" s="1223"/>
      <c r="DF56" s="1223"/>
      <c r="DG56" s="1223"/>
      <c r="DH56" s="1223"/>
      <c r="DI56" s="1223"/>
      <c r="DJ56" s="1223"/>
      <c r="DK56" s="1222"/>
      <c r="DL56" s="1222"/>
      <c r="DM56" s="1222"/>
      <c r="DN56" s="1222"/>
      <c r="DO56" s="1222"/>
      <c r="DP56" s="1222"/>
      <c r="DQ56" s="1222"/>
      <c r="DR56" s="1222"/>
      <c r="DS56" s="1222"/>
      <c r="DT56" s="1222"/>
      <c r="DU56" s="1222"/>
      <c r="DV56" s="1222"/>
      <c r="DW56" s="1222"/>
      <c r="DX56" s="1222"/>
      <c r="DY56" s="1222"/>
      <c r="DZ56" s="1222"/>
      <c r="EA56" s="1222"/>
      <c r="EB56" s="1222"/>
      <c r="EC56" s="1222"/>
      <c r="ED56" s="1222"/>
      <c r="EE56" s="1222"/>
      <c r="EF56" s="1222"/>
      <c r="EG56" s="1222"/>
      <c r="EH56" s="1222"/>
      <c r="EI56" s="1222"/>
      <c r="EJ56" s="1222"/>
      <c r="EK56" s="1222"/>
      <c r="EL56" s="1222"/>
      <c r="EM56" s="1222"/>
      <c r="EN56" s="1222"/>
      <c r="EO56" s="1222"/>
      <c r="EP56" s="1222"/>
      <c r="EQ56" s="1222"/>
      <c r="ER56" s="1222"/>
      <c r="ES56" s="1222"/>
      <c r="ET56" s="1222"/>
      <c r="EU56" s="1222"/>
      <c r="EV56" s="1222"/>
      <c r="EW56" s="1222"/>
      <c r="EX56" s="1222"/>
      <c r="EY56" s="1222"/>
      <c r="EZ56" s="1222"/>
      <c r="FA56" s="1222"/>
      <c r="FB56" s="1222"/>
      <c r="FC56" s="1222"/>
      <c r="FD56" s="1222"/>
      <c r="FE56" s="1222"/>
      <c r="FF56" s="1222"/>
      <c r="FG56" s="1222"/>
      <c r="FH56" s="1222"/>
      <c r="FI56" s="1222"/>
      <c r="FJ56" s="1222"/>
      <c r="FK56" s="1222"/>
      <c r="FL56" s="1222"/>
      <c r="FM56" s="1222"/>
      <c r="FN56" s="1222"/>
      <c r="FO56" s="1222"/>
      <c r="FP56" s="1222"/>
      <c r="FQ56" s="1222"/>
      <c r="FR56" s="1222"/>
      <c r="FS56" s="1222"/>
      <c r="FT56" s="1222"/>
      <c r="FU56" s="1222"/>
      <c r="FV56" s="1222"/>
      <c r="FW56" s="1222"/>
      <c r="FX56" s="1213"/>
      <c r="FY56" s="936"/>
      <c r="FZ56" s="936"/>
      <c r="GA56" s="936"/>
      <c r="GB56" s="936"/>
    </row>
    <row s="936" customFormat="1" customHeight="1" ht="24.75">
      <c r="A57" s="936" t="s">
        <v>22</v>
      </c>
      <c r="B57" s="951"/>
      <c r="C57" s="936"/>
      <c r="D57" s="936"/>
      <c r="E57" s="694" t="s">
        <v>105</v>
      </c>
      <c r="F57" s="2419" t="s">
        <v>1384</v>
      </c>
      <c r="G57" s="2592" t="s">
        <v>1376</v>
      </c>
      <c r="H57" s="1221" t="s">
        <v>1377</v>
      </c>
      <c r="I57" s="1990" t="s">
        <v>1121</v>
      </c>
      <c r="J57" s="1222"/>
      <c r="K57" s="1222"/>
      <c r="L57" s="1222"/>
      <c r="M57" s="1222"/>
      <c r="N57" s="1222"/>
      <c r="O57" s="1223"/>
      <c r="P57" s="1223"/>
      <c r="Q57" s="1223">
        <v>0</v>
      </c>
      <c r="R57" s="1223">
        <v>0</v>
      </c>
      <c r="S57" s="1223"/>
      <c r="T57" s="1223"/>
      <c r="U57" s="1223"/>
      <c r="V57" s="1223"/>
      <c r="W57" s="1223"/>
      <c r="X57" s="1223"/>
      <c r="Y57" s="1223"/>
      <c r="Z57" s="1223"/>
      <c r="AA57" s="1223"/>
      <c r="AB57" s="1223"/>
      <c r="AC57" s="1222"/>
      <c r="AD57" s="1222"/>
      <c r="AE57" s="1222"/>
      <c r="AF57" s="1222"/>
      <c r="AG57" s="1222"/>
      <c r="AH57" s="1222"/>
      <c r="AI57" s="1222"/>
      <c r="AJ57" s="1222"/>
      <c r="AK57" s="1222"/>
      <c r="AL57" s="1222"/>
      <c r="AM57" s="1222"/>
      <c r="AN57" s="1222"/>
      <c r="AO57" s="1222"/>
      <c r="AP57" s="1222"/>
      <c r="AQ57" s="1222"/>
      <c r="AR57" s="1222"/>
      <c r="AS57" s="1222"/>
      <c r="AT57" s="1222"/>
      <c r="AU57" s="1222"/>
      <c r="AV57" s="1222"/>
      <c r="AW57" s="1222"/>
      <c r="AX57" s="1222"/>
      <c r="AY57" s="1222"/>
      <c r="AZ57" s="1222"/>
      <c r="BA57" s="1222"/>
      <c r="BB57" s="1222"/>
      <c r="BC57" s="1222"/>
      <c r="BD57" s="1222"/>
      <c r="BE57" s="1222"/>
      <c r="BF57" s="1222"/>
      <c r="BG57" s="1222"/>
      <c r="BH57" s="1222"/>
      <c r="BI57" s="1222"/>
      <c r="BJ57" s="1222"/>
      <c r="BK57" s="1222"/>
      <c r="BL57" s="1222"/>
      <c r="BM57" s="1222"/>
      <c r="BN57" s="1222"/>
      <c r="BO57" s="1222"/>
      <c r="BP57" s="1222"/>
      <c r="BQ57" s="1222"/>
      <c r="BR57" s="1222"/>
      <c r="BS57" s="1222"/>
      <c r="BT57" s="1223"/>
      <c r="BU57" s="1223"/>
      <c r="BV57" s="1223"/>
      <c r="BW57" s="1223"/>
      <c r="BX57" s="1223"/>
      <c r="BY57" s="1223"/>
      <c r="BZ57" s="1223"/>
      <c r="CA57" s="1223"/>
      <c r="CB57" s="1223"/>
      <c r="CC57" s="1223"/>
      <c r="CD57" s="1223"/>
      <c r="CE57" s="1223"/>
      <c r="CF57" s="1223"/>
      <c r="CG57" s="1223"/>
      <c r="CH57" s="1223"/>
      <c r="CI57" s="1223"/>
      <c r="CJ57" s="1223"/>
      <c r="CK57" s="1223"/>
      <c r="CL57" s="1222"/>
      <c r="CM57" s="1222"/>
      <c r="CN57" s="1222"/>
      <c r="CO57" s="1222"/>
      <c r="CP57" s="1222"/>
      <c r="CQ57" s="1222"/>
      <c r="CR57" s="1222"/>
      <c r="CS57" s="1222"/>
      <c r="CT57" s="1222"/>
      <c r="CU57" s="1222"/>
      <c r="CV57" s="1222"/>
      <c r="CW57" s="1222"/>
      <c r="CX57" s="1222"/>
      <c r="CY57" s="1223"/>
      <c r="CZ57" s="1223"/>
      <c r="DA57" s="1223"/>
      <c r="DB57" s="1223"/>
      <c r="DC57" s="1223"/>
      <c r="DD57" s="1223"/>
      <c r="DE57" s="1223"/>
      <c r="DF57" s="1223"/>
      <c r="DG57" s="1223"/>
      <c r="DH57" s="1223"/>
      <c r="DI57" s="1223"/>
      <c r="DJ57" s="1223"/>
      <c r="DK57" s="1222"/>
      <c r="DL57" s="1222"/>
      <c r="DM57" s="1222"/>
      <c r="DN57" s="1222"/>
      <c r="DO57" s="1222"/>
      <c r="DP57" s="1222"/>
      <c r="DQ57" s="1222"/>
      <c r="DR57" s="1222"/>
      <c r="DS57" s="1222"/>
      <c r="DT57" s="1222"/>
      <c r="DU57" s="1222"/>
      <c r="DV57" s="1222"/>
      <c r="DW57" s="1222"/>
      <c r="DX57" s="1222"/>
      <c r="DY57" s="1222"/>
      <c r="DZ57" s="1222"/>
      <c r="EA57" s="1222"/>
      <c r="EB57" s="1222"/>
      <c r="EC57" s="1222"/>
      <c r="ED57" s="1222"/>
      <c r="EE57" s="1222"/>
      <c r="EF57" s="1222"/>
      <c r="EG57" s="1222"/>
      <c r="EH57" s="1222"/>
      <c r="EI57" s="1222"/>
      <c r="EJ57" s="1222"/>
      <c r="EK57" s="1222"/>
      <c r="EL57" s="1222"/>
      <c r="EM57" s="1222"/>
      <c r="EN57" s="1222"/>
      <c r="EO57" s="1222"/>
      <c r="EP57" s="1222"/>
      <c r="EQ57" s="1222"/>
      <c r="ER57" s="1222"/>
      <c r="ES57" s="1222"/>
      <c r="ET57" s="1222"/>
      <c r="EU57" s="1222"/>
      <c r="EV57" s="1222"/>
      <c r="EW57" s="1222"/>
      <c r="EX57" s="1222"/>
      <c r="EY57" s="1222"/>
      <c r="EZ57" s="1222"/>
      <c r="FA57" s="1222"/>
      <c r="FB57" s="1222"/>
      <c r="FC57" s="1222"/>
      <c r="FD57" s="1222"/>
      <c r="FE57" s="1222"/>
      <c r="FF57" s="1222"/>
      <c r="FG57" s="1222"/>
      <c r="FH57" s="1222"/>
      <c r="FI57" s="1222"/>
      <c r="FJ57" s="1222"/>
      <c r="FK57" s="1222"/>
      <c r="FL57" s="1222"/>
      <c r="FM57" s="1222"/>
      <c r="FN57" s="1222"/>
      <c r="FO57" s="1222"/>
      <c r="FP57" s="1222"/>
      <c r="FQ57" s="1222"/>
      <c r="FR57" s="1222"/>
      <c r="FS57" s="1222"/>
      <c r="FT57" s="1222"/>
      <c r="FU57" s="1222"/>
      <c r="FV57" s="1222"/>
      <c r="FW57" s="1222"/>
      <c r="FX57" s="1213"/>
      <c r="FY57" s="936"/>
      <c r="FZ57" s="936"/>
      <c r="GA57" s="936"/>
      <c r="GB57" s="936"/>
    </row>
    <row s="936" customFormat="1" customHeight="1" ht="24.75">
      <c r="A58" s="936" t="s">
        <v>22</v>
      </c>
      <c r="B58" s="951"/>
      <c r="C58" s="936"/>
      <c r="D58" s="936"/>
      <c r="E58" s="694" t="s">
        <v>105</v>
      </c>
      <c r="F58" s="2419" t="s">
        <v>1385</v>
      </c>
      <c r="G58" s="2592" t="s">
        <v>1376</v>
      </c>
      <c r="H58" s="1221" t="s">
        <v>1377</v>
      </c>
      <c r="I58" s="1990" t="s">
        <v>1198</v>
      </c>
      <c r="J58" s="1222"/>
      <c r="K58" s="1222"/>
      <c r="L58" s="1222"/>
      <c r="M58" s="1222"/>
      <c r="N58" s="1222"/>
      <c r="O58" s="1223"/>
      <c r="P58" s="1223"/>
      <c r="Q58" s="1223">
        <v>0</v>
      </c>
      <c r="R58" s="1223">
        <v>0</v>
      </c>
      <c r="S58" s="1223"/>
      <c r="T58" s="1223"/>
      <c r="U58" s="1223"/>
      <c r="V58" s="1223"/>
      <c r="W58" s="1223"/>
      <c r="X58" s="1223"/>
      <c r="Y58" s="1223"/>
      <c r="Z58" s="1223"/>
      <c r="AA58" s="1223"/>
      <c r="AB58" s="1223"/>
      <c r="AC58" s="1222"/>
      <c r="AD58" s="1222"/>
      <c r="AE58" s="1222"/>
      <c r="AF58" s="1222"/>
      <c r="AG58" s="1222"/>
      <c r="AH58" s="1222"/>
      <c r="AI58" s="1222"/>
      <c r="AJ58" s="1222"/>
      <c r="AK58" s="1222"/>
      <c r="AL58" s="1222"/>
      <c r="AM58" s="1222"/>
      <c r="AN58" s="1222"/>
      <c r="AO58" s="1222"/>
      <c r="AP58" s="1222"/>
      <c r="AQ58" s="1222"/>
      <c r="AR58" s="1222"/>
      <c r="AS58" s="1222"/>
      <c r="AT58" s="1222"/>
      <c r="AU58" s="1222"/>
      <c r="AV58" s="1222"/>
      <c r="AW58" s="1222"/>
      <c r="AX58" s="1222"/>
      <c r="AY58" s="1222"/>
      <c r="AZ58" s="1222"/>
      <c r="BA58" s="1222"/>
      <c r="BB58" s="1222"/>
      <c r="BC58" s="1222"/>
      <c r="BD58" s="1222"/>
      <c r="BE58" s="1222"/>
      <c r="BF58" s="1222"/>
      <c r="BG58" s="1222"/>
      <c r="BH58" s="1222"/>
      <c r="BI58" s="1222"/>
      <c r="BJ58" s="1222"/>
      <c r="BK58" s="1222"/>
      <c r="BL58" s="1222"/>
      <c r="BM58" s="1222"/>
      <c r="BN58" s="1222"/>
      <c r="BO58" s="1222"/>
      <c r="BP58" s="1222"/>
      <c r="BQ58" s="1222"/>
      <c r="BR58" s="1222"/>
      <c r="BS58" s="1222"/>
      <c r="BT58" s="1223"/>
      <c r="BU58" s="1223"/>
      <c r="BV58" s="1223"/>
      <c r="BW58" s="1223"/>
      <c r="BX58" s="1223"/>
      <c r="BY58" s="1223"/>
      <c r="BZ58" s="1223"/>
      <c r="CA58" s="1223"/>
      <c r="CB58" s="1223"/>
      <c r="CC58" s="1223"/>
      <c r="CD58" s="1223"/>
      <c r="CE58" s="1223"/>
      <c r="CF58" s="1223"/>
      <c r="CG58" s="1223"/>
      <c r="CH58" s="1223"/>
      <c r="CI58" s="1223"/>
      <c r="CJ58" s="1223"/>
      <c r="CK58" s="1223"/>
      <c r="CL58" s="1222"/>
      <c r="CM58" s="1222"/>
      <c r="CN58" s="1222"/>
      <c r="CO58" s="1222"/>
      <c r="CP58" s="1222"/>
      <c r="CQ58" s="1222"/>
      <c r="CR58" s="1222"/>
      <c r="CS58" s="1222"/>
      <c r="CT58" s="1222"/>
      <c r="CU58" s="1222"/>
      <c r="CV58" s="1222"/>
      <c r="CW58" s="1222"/>
      <c r="CX58" s="1222"/>
      <c r="CY58" s="1223"/>
      <c r="CZ58" s="1223"/>
      <c r="DA58" s="1223"/>
      <c r="DB58" s="1223"/>
      <c r="DC58" s="1223"/>
      <c r="DD58" s="1223"/>
      <c r="DE58" s="1223"/>
      <c r="DF58" s="1223"/>
      <c r="DG58" s="1223"/>
      <c r="DH58" s="1223"/>
      <c r="DI58" s="1223"/>
      <c r="DJ58" s="1223"/>
      <c r="DK58" s="1222"/>
      <c r="DL58" s="1222"/>
      <c r="DM58" s="1222"/>
      <c r="DN58" s="1222"/>
      <c r="DO58" s="1222"/>
      <c r="DP58" s="1222"/>
      <c r="DQ58" s="1222"/>
      <c r="DR58" s="1222"/>
      <c r="DS58" s="1222"/>
      <c r="DT58" s="1222"/>
      <c r="DU58" s="1222"/>
      <c r="DV58" s="1222"/>
      <c r="DW58" s="1222"/>
      <c r="DX58" s="1222"/>
      <c r="DY58" s="1222"/>
      <c r="DZ58" s="1222"/>
      <c r="EA58" s="1222"/>
      <c r="EB58" s="1222"/>
      <c r="EC58" s="1222"/>
      <c r="ED58" s="1222"/>
      <c r="EE58" s="1222"/>
      <c r="EF58" s="1222"/>
      <c r="EG58" s="1222"/>
      <c r="EH58" s="1222"/>
      <c r="EI58" s="1222"/>
      <c r="EJ58" s="1222"/>
      <c r="EK58" s="1222"/>
      <c r="EL58" s="1222"/>
      <c r="EM58" s="1222"/>
      <c r="EN58" s="1222"/>
      <c r="EO58" s="1222"/>
      <c r="EP58" s="1222"/>
      <c r="EQ58" s="1222"/>
      <c r="ER58" s="1222"/>
      <c r="ES58" s="1222"/>
      <c r="ET58" s="1222"/>
      <c r="EU58" s="1222"/>
      <c r="EV58" s="1222"/>
      <c r="EW58" s="1222"/>
      <c r="EX58" s="1222"/>
      <c r="EY58" s="1222"/>
      <c r="EZ58" s="1222"/>
      <c r="FA58" s="1222"/>
      <c r="FB58" s="1222"/>
      <c r="FC58" s="1222"/>
      <c r="FD58" s="1222"/>
      <c r="FE58" s="1222"/>
      <c r="FF58" s="1222"/>
      <c r="FG58" s="1222"/>
      <c r="FH58" s="1222"/>
      <c r="FI58" s="1222"/>
      <c r="FJ58" s="1222"/>
      <c r="FK58" s="1222"/>
      <c r="FL58" s="1222"/>
      <c r="FM58" s="1222"/>
      <c r="FN58" s="1222"/>
      <c r="FO58" s="1222"/>
      <c r="FP58" s="1222"/>
      <c r="FQ58" s="1222"/>
      <c r="FR58" s="1222"/>
      <c r="FS58" s="1222"/>
      <c r="FT58" s="1222"/>
      <c r="FU58" s="1222"/>
      <c r="FV58" s="1222"/>
      <c r="FW58" s="1222"/>
      <c r="FX58" s="1213"/>
      <c r="FY58" s="936"/>
      <c r="FZ58" s="936"/>
      <c r="GA58" s="936"/>
      <c r="GB58" s="936"/>
    </row>
    <row s="936" customFormat="1" customHeight="1" ht="24.75">
      <c r="A59" s="936" t="s">
        <v>22</v>
      </c>
      <c r="B59" s="951"/>
      <c r="C59" s="936"/>
      <c r="D59" s="936"/>
      <c r="E59" s="694" t="s">
        <v>105</v>
      </c>
      <c r="F59" s="2419" t="s">
        <v>1386</v>
      </c>
      <c r="G59" s="2592" t="s">
        <v>1376</v>
      </c>
      <c r="H59" s="1221" t="s">
        <v>1377</v>
      </c>
      <c r="I59" s="1990" t="s">
        <v>1200</v>
      </c>
      <c r="J59" s="1222"/>
      <c r="K59" s="1222"/>
      <c r="L59" s="1222"/>
      <c r="M59" s="1222"/>
      <c r="N59" s="1222"/>
      <c r="O59" s="1223"/>
      <c r="P59" s="1223"/>
      <c r="Q59" s="1223">
        <v>0</v>
      </c>
      <c r="R59" s="1223">
        <v>0</v>
      </c>
      <c r="S59" s="1223"/>
      <c r="T59" s="1223"/>
      <c r="U59" s="1223"/>
      <c r="V59" s="1223"/>
      <c r="W59" s="1223"/>
      <c r="X59" s="1223"/>
      <c r="Y59" s="1223"/>
      <c r="Z59" s="1223"/>
      <c r="AA59" s="1223"/>
      <c r="AB59" s="1223"/>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1222"/>
      <c r="BP59" s="1222"/>
      <c r="BQ59" s="1222"/>
      <c r="BR59" s="1222"/>
      <c r="BS59" s="1222"/>
      <c r="BT59" s="1223"/>
      <c r="BU59" s="1223"/>
      <c r="BV59" s="1223"/>
      <c r="BW59" s="1223"/>
      <c r="BX59" s="1223"/>
      <c r="BY59" s="1223"/>
      <c r="BZ59" s="1223"/>
      <c r="CA59" s="1223"/>
      <c r="CB59" s="1223"/>
      <c r="CC59" s="1223"/>
      <c r="CD59" s="1223"/>
      <c r="CE59" s="1223"/>
      <c r="CF59" s="1223"/>
      <c r="CG59" s="1223"/>
      <c r="CH59" s="1223"/>
      <c r="CI59" s="1223"/>
      <c r="CJ59" s="1223"/>
      <c r="CK59" s="1223"/>
      <c r="CL59" s="1222"/>
      <c r="CM59" s="1222"/>
      <c r="CN59" s="1222"/>
      <c r="CO59" s="1222"/>
      <c r="CP59" s="1222"/>
      <c r="CQ59" s="1222"/>
      <c r="CR59" s="1222"/>
      <c r="CS59" s="1222"/>
      <c r="CT59" s="1222"/>
      <c r="CU59" s="1222"/>
      <c r="CV59" s="1222"/>
      <c r="CW59" s="1222"/>
      <c r="CX59" s="1222"/>
      <c r="CY59" s="1223"/>
      <c r="CZ59" s="1223"/>
      <c r="DA59" s="1223"/>
      <c r="DB59" s="1223"/>
      <c r="DC59" s="1223"/>
      <c r="DD59" s="1223"/>
      <c r="DE59" s="1223"/>
      <c r="DF59" s="1223"/>
      <c r="DG59" s="1223"/>
      <c r="DH59" s="1223"/>
      <c r="DI59" s="1223"/>
      <c r="DJ59" s="1223"/>
      <c r="DK59" s="1222"/>
      <c r="DL59" s="1222"/>
      <c r="DM59" s="1222"/>
      <c r="DN59" s="1222"/>
      <c r="DO59" s="1222"/>
      <c r="DP59" s="1222"/>
      <c r="DQ59" s="1222"/>
      <c r="DR59" s="1222"/>
      <c r="DS59" s="1222"/>
      <c r="DT59" s="1222"/>
      <c r="DU59" s="1222"/>
      <c r="DV59" s="1222"/>
      <c r="DW59" s="1222"/>
      <c r="DX59" s="1222"/>
      <c r="DY59" s="1222"/>
      <c r="DZ59" s="1222"/>
      <c r="EA59" s="1222"/>
      <c r="EB59" s="1222"/>
      <c r="EC59" s="1222"/>
      <c r="ED59" s="1222"/>
      <c r="EE59" s="1222"/>
      <c r="EF59" s="1222"/>
      <c r="EG59" s="1222"/>
      <c r="EH59" s="1222"/>
      <c r="EI59" s="1222"/>
      <c r="EJ59" s="1222"/>
      <c r="EK59" s="1222"/>
      <c r="EL59" s="1222"/>
      <c r="EM59" s="1222"/>
      <c r="EN59" s="1222"/>
      <c r="EO59" s="1222"/>
      <c r="EP59" s="1222"/>
      <c r="EQ59" s="1222"/>
      <c r="ER59" s="1222"/>
      <c r="ES59" s="1222"/>
      <c r="ET59" s="1222"/>
      <c r="EU59" s="1222"/>
      <c r="EV59" s="1222"/>
      <c r="EW59" s="1222"/>
      <c r="EX59" s="1222"/>
      <c r="EY59" s="1222"/>
      <c r="EZ59" s="1222"/>
      <c r="FA59" s="1222"/>
      <c r="FB59" s="1222"/>
      <c r="FC59" s="1222"/>
      <c r="FD59" s="1222"/>
      <c r="FE59" s="1222"/>
      <c r="FF59" s="1222"/>
      <c r="FG59" s="1222"/>
      <c r="FH59" s="1222"/>
      <c r="FI59" s="1222"/>
      <c r="FJ59" s="1222"/>
      <c r="FK59" s="1222"/>
      <c r="FL59" s="1222"/>
      <c r="FM59" s="1222"/>
      <c r="FN59" s="1222"/>
      <c r="FO59" s="1222"/>
      <c r="FP59" s="1222"/>
      <c r="FQ59" s="1222"/>
      <c r="FR59" s="1222"/>
      <c r="FS59" s="1222"/>
      <c r="FT59" s="1222"/>
      <c r="FU59" s="1222"/>
      <c r="FV59" s="1222"/>
      <c r="FW59" s="1222"/>
      <c r="FX59" s="1213"/>
      <c r="FY59" s="936"/>
      <c r="FZ59" s="936"/>
      <c r="GA59" s="936"/>
      <c r="GB59" s="936"/>
    </row>
    <row s="936" customFormat="1" customHeight="1" ht="12">
      <c r="A60" s="936" t="s">
        <v>1088</v>
      </c>
      <c r="B60" s="951"/>
      <c r="C60" s="936"/>
      <c r="D60" s="936"/>
      <c r="E60" s="936"/>
      <c r="F60" s="2718"/>
      <c r="G60" s="2719" t="s">
        <v>1387</v>
      </c>
      <c r="H60" s="2720"/>
      <c r="I60" s="2721"/>
      <c r="J60" s="2722"/>
      <c r="K60" s="2723"/>
      <c r="L60" s="2724"/>
      <c r="M60" s="2725"/>
      <c r="N60" s="2726"/>
      <c r="O60" s="2727"/>
      <c r="P60" s="2728"/>
      <c r="Q60" s="2729"/>
      <c r="R60" s="2730"/>
      <c r="S60" s="2731"/>
      <c r="T60" s="2732"/>
      <c r="U60" s="2733"/>
      <c r="V60" s="2734"/>
      <c r="W60" s="2735"/>
      <c r="X60" s="2736"/>
      <c r="Y60" s="2737"/>
      <c r="Z60" s="2738"/>
      <c r="AA60" s="2739"/>
      <c r="AB60" s="2740"/>
      <c r="AC60" s="2741"/>
      <c r="AD60" s="2742"/>
      <c r="AE60" s="2743"/>
      <c r="AF60" s="2744"/>
      <c r="AG60" s="2745"/>
      <c r="AH60" s="2746"/>
      <c r="AI60" s="2747"/>
      <c r="AJ60" s="2748"/>
      <c r="AK60" s="2749"/>
      <c r="AL60" s="2750"/>
      <c r="AM60" s="2751"/>
      <c r="AN60" s="2752"/>
      <c r="AO60" s="2753"/>
      <c r="AP60" s="2754"/>
      <c r="AQ60" s="2755"/>
      <c r="AR60" s="2756"/>
      <c r="AS60" s="2757"/>
      <c r="AT60" s="2758"/>
      <c r="AU60" s="2759"/>
      <c r="AV60" s="2760"/>
      <c r="AW60" s="2761"/>
      <c r="AX60" s="2762"/>
      <c r="AY60" s="2763"/>
      <c r="AZ60" s="2764"/>
      <c r="BA60" s="2765"/>
      <c r="BB60" s="2766"/>
      <c r="BC60" s="2767"/>
      <c r="BD60" s="2768"/>
      <c r="BE60" s="2769"/>
      <c r="BF60" s="2770"/>
      <c r="BG60" s="2771"/>
      <c r="BH60" s="2772"/>
      <c r="BI60" s="2773"/>
      <c r="BJ60" s="2774"/>
      <c r="BK60" s="2775"/>
      <c r="BL60" s="2776"/>
      <c r="BM60" s="2777"/>
      <c r="BN60" s="2778"/>
      <c r="BO60" s="2779"/>
      <c r="BP60" s="2780"/>
      <c r="BQ60" s="2781"/>
      <c r="BR60" s="2782"/>
      <c r="BS60" s="2783"/>
      <c r="BT60" s="2784"/>
      <c r="BU60" s="2785"/>
      <c r="BV60" s="2786"/>
      <c r="BW60" s="2787"/>
      <c r="BX60" s="2788"/>
      <c r="BY60" s="2789"/>
      <c r="BZ60" s="2790"/>
      <c r="CA60" s="2791"/>
      <c r="CB60" s="2792"/>
      <c r="CC60" s="2793"/>
      <c r="CD60" s="2794"/>
      <c r="CE60" s="2795"/>
      <c r="CF60" s="2796"/>
      <c r="CG60" s="2797"/>
      <c r="CH60" s="2798"/>
      <c r="CI60" s="2799"/>
      <c r="CJ60" s="2800"/>
      <c r="CK60" s="2801"/>
      <c r="CL60" s="2802"/>
      <c r="CM60" s="2803"/>
      <c r="CN60" s="2804"/>
      <c r="CO60" s="2805"/>
      <c r="CP60" s="2806"/>
      <c r="CQ60" s="2807"/>
      <c r="CR60" s="2808"/>
      <c r="CS60" s="2809"/>
      <c r="CT60" s="2810"/>
      <c r="CU60" s="2811"/>
      <c r="CV60" s="2812"/>
      <c r="CW60" s="2813"/>
      <c r="CX60" s="2814"/>
      <c r="CY60" s="2815"/>
      <c r="CZ60" s="2816"/>
      <c r="DA60" s="2817"/>
      <c r="DB60" s="2818"/>
      <c r="DC60" s="2819"/>
      <c r="DD60" s="2820"/>
      <c r="DE60" s="2821"/>
      <c r="DF60" s="2822"/>
      <c r="DG60" s="2823"/>
      <c r="DH60" s="2824"/>
      <c r="DI60" s="2825"/>
      <c r="DJ60" s="2826"/>
      <c r="DK60" s="2827"/>
      <c r="DL60" s="2828"/>
      <c r="DM60" s="2829"/>
      <c r="DN60" s="2830"/>
      <c r="DO60" s="2831"/>
      <c r="DP60" s="2832"/>
      <c r="DQ60" s="2833"/>
      <c r="DR60" s="2834"/>
      <c r="DS60" s="2835"/>
      <c r="DT60" s="2836"/>
      <c r="DU60" s="2837"/>
      <c r="DV60" s="2838"/>
      <c r="DW60" s="2839"/>
      <c r="DX60" s="2840"/>
      <c r="DY60" s="2841"/>
      <c r="DZ60" s="2842"/>
      <c r="EA60" s="2843"/>
      <c r="EB60" s="2844"/>
      <c r="EC60" s="2845"/>
      <c r="ED60" s="2846"/>
      <c r="EE60" s="2847"/>
      <c r="EF60" s="2848"/>
      <c r="EG60" s="2849"/>
      <c r="EH60" s="2850"/>
      <c r="EI60" s="2851"/>
      <c r="EJ60" s="2852"/>
      <c r="EK60" s="2853"/>
      <c r="EL60" s="2854"/>
      <c r="EM60" s="2855"/>
      <c r="EN60" s="2856"/>
      <c r="EO60" s="2857"/>
      <c r="EP60" s="2858"/>
      <c r="EQ60" s="2859"/>
      <c r="ER60" s="2860"/>
      <c r="ES60" s="2861"/>
      <c r="ET60" s="2862"/>
      <c r="EU60" s="2863"/>
      <c r="EV60" s="2864"/>
      <c r="EW60" s="2865"/>
      <c r="EX60" s="2866"/>
      <c r="EY60" s="2867"/>
      <c r="EZ60" s="2868"/>
      <c r="FA60" s="2869"/>
      <c r="FB60" s="2870"/>
      <c r="FC60" s="2871"/>
      <c r="FD60" s="2872"/>
      <c r="FE60" s="2873"/>
      <c r="FF60" s="2874"/>
      <c r="FG60" s="2875"/>
      <c r="FH60" s="2876"/>
      <c r="FI60" s="2877"/>
      <c r="FJ60" s="2878"/>
      <c r="FK60" s="2879"/>
      <c r="FL60" s="2880"/>
      <c r="FM60" s="2881"/>
      <c r="FN60" s="2882"/>
      <c r="FO60" s="2883"/>
      <c r="FP60" s="2884"/>
      <c r="FQ60" s="2885"/>
      <c r="FR60" s="2886"/>
      <c r="FS60" s="2887"/>
      <c r="FT60" s="2888"/>
      <c r="FU60" s="2889"/>
      <c r="FV60" s="2890"/>
      <c r="FW60" s="2891"/>
      <c r="FX60" s="1833"/>
      <c r="FY60" s="1073"/>
      <c r="FZ60" s="1073"/>
      <c r="GA60" s="1073"/>
      <c r="GB60" s="1073"/>
    </row>
    <row s="936" customFormat="1" customHeight="1" ht="12.75">
      <c r="A61" s="952"/>
      <c r="B61" s="952"/>
      <c r="C61" s="952"/>
      <c r="D61" s="952"/>
      <c r="E61" s="952"/>
      <c r="F61" s="950"/>
      <c r="G61" s="950"/>
      <c r="H61" s="950"/>
      <c r="I61" s="950"/>
      <c r="J61" s="950"/>
      <c r="K61" s="950"/>
      <c r="L61" s="950"/>
      <c r="M61" s="950"/>
      <c r="N61" s="950"/>
      <c r="O61" s="950"/>
      <c r="P61" s="950"/>
      <c r="Q61" s="950"/>
      <c r="R61" s="950"/>
      <c r="S61" s="953"/>
      <c r="T61" s="953"/>
      <c r="U61" s="950"/>
      <c r="V61" s="950"/>
      <c r="W61" s="950"/>
      <c r="X61" s="950"/>
      <c r="Y61" s="950"/>
      <c r="Z61" s="950"/>
      <c r="AA61" s="950"/>
      <c r="AB61" s="950"/>
      <c r="AC61" s="950"/>
      <c r="AD61" s="950"/>
      <c r="AE61" s="950"/>
      <c r="AF61" s="950"/>
      <c r="AG61" s="950"/>
      <c r="AH61" s="950"/>
      <c r="AI61" s="950"/>
      <c r="AJ61" s="950"/>
      <c r="AK61" s="950"/>
      <c r="AL61" s="950"/>
      <c r="AM61" s="950"/>
      <c r="AN61" s="950"/>
      <c r="AO61" s="950"/>
      <c r="AP61" s="950"/>
      <c r="AQ61" s="950"/>
      <c r="AR61" s="950"/>
      <c r="AS61" s="950"/>
      <c r="AT61" s="950"/>
      <c r="AU61" s="950"/>
      <c r="AV61" s="950"/>
      <c r="AW61" s="950"/>
      <c r="AX61" s="950"/>
      <c r="AY61" s="950"/>
      <c r="AZ61" s="950"/>
      <c r="BA61" s="950"/>
      <c r="BB61" s="950"/>
      <c r="BC61" s="950"/>
      <c r="BD61" s="950"/>
      <c r="BE61" s="950"/>
      <c r="BF61" s="950"/>
      <c r="BG61" s="950"/>
      <c r="BH61" s="950"/>
      <c r="BI61" s="950"/>
      <c r="BJ61" s="950"/>
      <c r="BK61" s="950"/>
      <c r="BL61" s="950"/>
      <c r="BM61" s="950"/>
      <c r="BN61" s="950"/>
      <c r="BO61" s="950"/>
      <c r="BP61" s="950"/>
      <c r="BQ61" s="950"/>
      <c r="BR61" s="950"/>
      <c r="BS61" s="950"/>
      <c r="BT61" s="950"/>
      <c r="BU61" s="950"/>
      <c r="BV61" s="950"/>
      <c r="BW61" s="950"/>
      <c r="BX61" s="950"/>
      <c r="BY61" s="950"/>
      <c r="BZ61" s="950"/>
      <c r="CA61" s="950"/>
      <c r="CB61" s="950"/>
      <c r="CC61" s="950"/>
      <c r="CD61" s="950"/>
      <c r="CE61" s="950"/>
      <c r="CF61" s="950"/>
      <c r="CG61" s="950"/>
      <c r="CH61" s="950"/>
      <c r="CI61" s="950"/>
      <c r="CJ61" s="950"/>
      <c r="CK61" s="950"/>
      <c r="CL61" s="950"/>
      <c r="CM61" s="950"/>
      <c r="CN61" s="950"/>
      <c r="CO61" s="950"/>
      <c r="CP61" s="950"/>
      <c r="CQ61" s="950"/>
      <c r="CR61" s="950"/>
      <c r="CS61" s="950"/>
      <c r="CT61" s="950"/>
      <c r="CU61" s="950"/>
      <c r="CV61" s="950"/>
      <c r="CW61" s="950"/>
      <c r="CX61" s="950"/>
      <c r="CY61" s="950"/>
      <c r="CZ61" s="950"/>
      <c r="DA61" s="950"/>
      <c r="DB61" s="950"/>
      <c r="DC61" s="950"/>
      <c r="DD61" s="950"/>
      <c r="DE61" s="950"/>
      <c r="DF61" s="950"/>
      <c r="DG61" s="950"/>
      <c r="DH61" s="950"/>
      <c r="DI61" s="950"/>
      <c r="DJ61" s="950"/>
      <c r="DK61" s="950"/>
      <c r="DL61" s="950"/>
      <c r="DM61" s="950"/>
      <c r="DN61" s="950"/>
      <c r="DO61" s="950"/>
      <c r="DP61" s="950"/>
      <c r="DQ61" s="950"/>
      <c r="DR61" s="950"/>
      <c r="DS61" s="950"/>
      <c r="DT61" s="950"/>
      <c r="DU61" s="950"/>
      <c r="DV61" s="950"/>
      <c r="DW61" s="950"/>
      <c r="DX61" s="950"/>
      <c r="DY61" s="950"/>
      <c r="DZ61" s="950"/>
      <c r="EA61" s="950"/>
      <c r="EB61" s="950"/>
      <c r="EC61" s="950"/>
      <c r="ED61" s="950"/>
      <c r="EE61" s="950"/>
      <c r="EF61" s="950"/>
      <c r="EG61" s="950"/>
      <c r="EH61" s="950"/>
      <c r="EI61" s="950"/>
      <c r="EJ61" s="950"/>
      <c r="EK61" s="950"/>
      <c r="EL61" s="950"/>
      <c r="EM61" s="950"/>
      <c r="EN61" s="950"/>
      <c r="EO61" s="950"/>
      <c r="EP61" s="950"/>
      <c r="EQ61" s="950"/>
      <c r="ER61" s="950"/>
      <c r="ES61" s="950"/>
      <c r="ET61" s="950"/>
      <c r="EU61" s="950"/>
      <c r="EV61" s="950"/>
      <c r="EW61" s="950"/>
      <c r="EX61" s="950"/>
      <c r="EY61" s="950"/>
      <c r="EZ61" s="950"/>
      <c r="FA61" s="950"/>
      <c r="FB61" s="950"/>
      <c r="FC61" s="950"/>
      <c r="FD61" s="950"/>
      <c r="FE61" s="950"/>
      <c r="FF61" s="950"/>
      <c r="FG61" s="950"/>
      <c r="FH61" s="950"/>
      <c r="FI61" s="950"/>
      <c r="FJ61" s="950"/>
      <c r="FK61" s="950"/>
      <c r="FL61" s="950"/>
      <c r="FM61" s="950"/>
      <c r="FN61" s="950"/>
      <c r="FO61" s="950"/>
      <c r="FP61" s="950"/>
      <c r="FQ61" s="950"/>
      <c r="FR61" s="950"/>
      <c r="FS61" s="950"/>
      <c r="FT61" s="950"/>
      <c r="FU61" s="950"/>
      <c r="FV61" s="950"/>
      <c r="FW61" s="950"/>
      <c r="FX61" s="952"/>
      <c r="FY61" s="952"/>
      <c r="FZ61" s="952"/>
      <c r="GA61" s="952"/>
      <c r="GB61" s="952"/>
      <c r="GC61" s="933">
        <v>12</v>
      </c>
    </row>
    <row s="936" customFormat="1" customHeight="1" ht="12.75">
      <c r="A62" s="952"/>
      <c r="B62" s="952"/>
      <c r="C62" s="952"/>
      <c r="D62" s="952"/>
      <c r="E62" s="952"/>
      <c r="FX62" s="952"/>
      <c r="FY62" s="952"/>
      <c r="FZ62" s="952"/>
      <c r="GA62" s="952"/>
      <c r="GB62" s="952"/>
      <c r="GC62" s="933">
        <v>12</v>
      </c>
    </row>
    <row s="1074" customFormat="1" customHeight="1" ht="12.75">
      <c r="A63" s="1073"/>
      <c r="B63" s="1073"/>
      <c r="C63" s="1073"/>
      <c r="D63" s="1073"/>
      <c r="E63" s="1073"/>
      <c r="O63" s="1075"/>
      <c r="P63" s="1075"/>
      <c r="Q63" s="1075"/>
      <c r="R63" s="1075"/>
      <c r="S63" s="1075"/>
      <c r="T63" s="1075"/>
      <c r="U63" s="1075"/>
      <c r="V63" s="1075"/>
      <c r="W63" s="1075"/>
      <c r="X63" s="1075"/>
      <c r="Y63" s="1075"/>
      <c r="Z63" s="1075"/>
      <c r="AA63" s="1075"/>
      <c r="AB63" s="1075"/>
      <c r="AC63" s="1075"/>
      <c r="AD63" s="1075"/>
      <c r="AE63" s="1075"/>
      <c r="AF63" s="1075"/>
      <c r="AG63" s="1075"/>
      <c r="AH63" s="1075"/>
      <c r="AI63" s="1075"/>
      <c r="AJ63" s="1075"/>
      <c r="AK63" s="1075"/>
      <c r="AL63" s="1075"/>
      <c r="AM63" s="1075"/>
      <c r="AN63" s="1075"/>
      <c r="AO63" s="1075"/>
      <c r="AP63" s="1075"/>
      <c r="AQ63" s="1075"/>
      <c r="AR63" s="1075"/>
      <c r="AS63" s="1075"/>
      <c r="AT63" s="1075"/>
      <c r="AU63" s="1075"/>
      <c r="AV63" s="1075"/>
      <c r="AW63" s="1075"/>
      <c r="AX63" s="1075"/>
      <c r="AY63" s="1075"/>
      <c r="AZ63" s="1075"/>
      <c r="BA63" s="1075"/>
      <c r="BB63" s="1075"/>
      <c r="BC63" s="1075"/>
      <c r="BD63" s="1075"/>
      <c r="BE63" s="1075"/>
      <c r="BF63" s="1075"/>
      <c r="BG63" s="1075"/>
      <c r="BH63" s="1075"/>
      <c r="BI63" s="1075"/>
      <c r="BJ63" s="1075"/>
      <c r="BK63" s="1075"/>
      <c r="BL63" s="1075"/>
      <c r="BM63" s="1075"/>
      <c r="BN63" s="1075"/>
      <c r="BO63" s="1075"/>
      <c r="BP63" s="1075"/>
      <c r="BQ63" s="1075"/>
      <c r="BR63" s="1075"/>
      <c r="BS63" s="1075"/>
      <c r="BT63" s="1076"/>
      <c r="BU63" s="1076"/>
      <c r="BV63" s="1076"/>
      <c r="BW63" s="1076"/>
      <c r="BX63" s="1076"/>
      <c r="BY63" s="1076"/>
      <c r="BZ63" s="1076"/>
      <c r="CA63" s="1076"/>
      <c r="CB63" s="1076"/>
      <c r="CC63" s="1076"/>
      <c r="CD63" s="1076"/>
      <c r="CE63" s="1076"/>
      <c r="CF63" s="1076"/>
      <c r="CG63" s="1076"/>
      <c r="CH63" s="1076"/>
      <c r="CI63" s="1076"/>
      <c r="CJ63" s="1076"/>
      <c r="CK63" s="1076"/>
      <c r="CL63" s="1076"/>
      <c r="CM63" s="1076"/>
      <c r="CN63" s="1076"/>
      <c r="CO63" s="1076"/>
      <c r="CP63" s="1076"/>
      <c r="CQ63" s="1076"/>
      <c r="CR63" s="1076"/>
      <c r="CS63" s="1076"/>
      <c r="CT63" s="1076"/>
      <c r="CU63" s="1076"/>
      <c r="CV63" s="1076"/>
      <c r="CW63" s="1076"/>
      <c r="CX63" s="1076"/>
      <c r="CY63" s="1076"/>
      <c r="CZ63" s="1076"/>
      <c r="DA63" s="1076"/>
      <c r="DB63" s="1076"/>
      <c r="DC63" s="1076"/>
      <c r="DD63" s="1076"/>
      <c r="DE63" s="1076"/>
      <c r="DF63" s="1076"/>
      <c r="DG63" s="1076"/>
      <c r="DH63" s="1076"/>
      <c r="DI63" s="1076"/>
      <c r="DJ63" s="1076"/>
      <c r="DK63" s="1076"/>
      <c r="DL63" s="1076"/>
      <c r="DM63" s="1076"/>
      <c r="DN63" s="1076"/>
      <c r="DO63" s="1076"/>
      <c r="DP63" s="1076"/>
      <c r="DQ63" s="1076"/>
      <c r="DR63" s="1076"/>
      <c r="DS63" s="1076"/>
      <c r="DT63" s="1076"/>
      <c r="DU63" s="1076"/>
      <c r="DV63" s="1076"/>
      <c r="DW63" s="1076"/>
      <c r="DX63" s="1076"/>
      <c r="FX63" s="1073"/>
      <c r="FY63" s="1073"/>
      <c r="FZ63" s="1073"/>
      <c r="GA63" s="1073"/>
      <c r="GB63" s="1073"/>
      <c r="GC63" s="1074">
        <v>12</v>
      </c>
    </row>
    <row customHeight="1" ht="12.75">
      <c r="S64" s="949"/>
      <c r="T64" s="949"/>
      <c r="U64" s="949"/>
      <c r="V64" s="949"/>
      <c r="W64" s="949"/>
      <c r="X64" s="949"/>
      <c r="Y64" s="949"/>
      <c r="Z64" s="949"/>
      <c r="AA64" s="949"/>
      <c r="AB64" s="949"/>
      <c r="FX64" s="949"/>
      <c r="FY64" s="949"/>
      <c r="FZ64" s="949"/>
      <c r="GA64" s="949"/>
      <c r="GB64" s="949"/>
      <c r="GC64" s="937">
        <v>12</v>
      </c>
    </row>
    <row customHeight="1" ht="12" hidden="1">
      <c r="A65" s="937" t="s">
        <v>83</v>
      </c>
      <c r="B65" s="947">
        <v>0</v>
      </c>
      <c r="C65" s="937">
        <v>0</v>
      </c>
      <c r="D65" s="937">
        <v>0</v>
      </c>
      <c r="E65" s="937">
        <v>3</v>
      </c>
      <c r="F65" s="937">
        <v>6</v>
      </c>
      <c r="G65" s="937">
        <v>18</v>
      </c>
      <c r="H65" s="937">
        <v>27</v>
      </c>
      <c r="I65" s="937">
        <v>18</v>
      </c>
      <c r="J65" s="937">
        <v>0</v>
      </c>
      <c r="K65" s="937">
        <v>0</v>
      </c>
      <c r="L65" s="937">
        <v>0</v>
      </c>
      <c r="M65" s="937">
        <v>0</v>
      </c>
      <c r="N65" s="937">
        <v>0</v>
      </c>
      <c r="O65" s="937">
        <v>0</v>
      </c>
      <c r="P65" s="937">
        <v>0</v>
      </c>
      <c r="Q65" s="937">
        <v>0</v>
      </c>
      <c r="R65" s="937">
        <v>0</v>
      </c>
      <c r="S65" s="937">
        <v>0</v>
      </c>
      <c r="T65" s="937">
        <v>0</v>
      </c>
      <c r="U65" s="937">
        <v>0</v>
      </c>
      <c r="V65" s="937">
        <v>0</v>
      </c>
      <c r="W65" s="937">
        <v>0</v>
      </c>
      <c r="X65" s="937">
        <v>0</v>
      </c>
      <c r="Y65" s="937">
        <v>0</v>
      </c>
      <c r="Z65" s="937">
        <v>0</v>
      </c>
      <c r="AA65" s="937">
        <v>0</v>
      </c>
      <c r="AB65" s="937">
        <v>0</v>
      </c>
      <c r="AC65" s="937">
        <v>0</v>
      </c>
      <c r="AD65" s="937">
        <v>0</v>
      </c>
      <c r="AE65" s="937">
        <v>0</v>
      </c>
      <c r="AF65" s="937">
        <v>0</v>
      </c>
      <c r="AG65" s="937">
        <v>0</v>
      </c>
      <c r="AH65" s="937">
        <v>0</v>
      </c>
      <c r="AI65" s="937">
        <v>0</v>
      </c>
      <c r="AJ65" s="937">
        <v>0</v>
      </c>
      <c r="AK65" s="937">
        <v>0</v>
      </c>
      <c r="AL65" s="937">
        <v>0</v>
      </c>
      <c r="AM65" s="937">
        <v>0</v>
      </c>
      <c r="AN65" s="937">
        <v>0</v>
      </c>
      <c r="AO65" s="937">
        <v>0</v>
      </c>
      <c r="AP65" s="937">
        <v>0</v>
      </c>
      <c r="AQ65" s="937">
        <v>0</v>
      </c>
      <c r="AR65" s="937">
        <v>0</v>
      </c>
      <c r="AS65" s="937">
        <v>0</v>
      </c>
      <c r="AT65" s="937">
        <v>0</v>
      </c>
      <c r="AU65" s="937">
        <v>0</v>
      </c>
      <c r="AV65" s="937">
        <v>0</v>
      </c>
      <c r="AW65" s="937">
        <v>0</v>
      </c>
      <c r="AX65" s="937">
        <v>0</v>
      </c>
      <c r="AY65" s="937">
        <v>0</v>
      </c>
      <c r="AZ65" s="937">
        <v>0</v>
      </c>
      <c r="BA65" s="937">
        <v>0</v>
      </c>
      <c r="BB65" s="937">
        <v>0</v>
      </c>
      <c r="BC65" s="937">
        <v>0</v>
      </c>
      <c r="BD65" s="937">
        <v>0</v>
      </c>
      <c r="BE65" s="937">
        <v>0</v>
      </c>
      <c r="BF65" s="937">
        <v>0</v>
      </c>
      <c r="BG65" s="937">
        <v>0</v>
      </c>
      <c r="BH65" s="937">
        <v>0</v>
      </c>
      <c r="BI65" s="937">
        <v>0</v>
      </c>
      <c r="BJ65" s="937">
        <v>0</v>
      </c>
      <c r="BK65" s="937">
        <v>0</v>
      </c>
      <c r="BL65" s="937">
        <v>0</v>
      </c>
      <c r="BM65" s="937">
        <v>0</v>
      </c>
      <c r="BN65" s="937">
        <v>0</v>
      </c>
      <c r="BO65" s="937">
        <v>0</v>
      </c>
      <c r="BP65" s="937">
        <v>0</v>
      </c>
      <c r="BQ65" s="937">
        <v>0</v>
      </c>
      <c r="BR65" s="937">
        <v>0</v>
      </c>
      <c r="BS65" s="937">
        <v>0</v>
      </c>
      <c r="BT65" s="937">
        <v>0</v>
      </c>
      <c r="BU65" s="937">
        <v>0</v>
      </c>
      <c r="BV65" s="937">
        <v>0</v>
      </c>
      <c r="BW65" s="937">
        <v>0</v>
      </c>
      <c r="BX65" s="937">
        <v>0</v>
      </c>
      <c r="BY65" s="937">
        <v>0</v>
      </c>
      <c r="BZ65" s="937">
        <v>0</v>
      </c>
      <c r="CA65" s="937">
        <v>0</v>
      </c>
      <c r="CB65" s="937">
        <v>0</v>
      </c>
      <c r="CC65" s="937">
        <v>0</v>
      </c>
      <c r="CD65" s="937">
        <v>0</v>
      </c>
      <c r="CE65" s="937">
        <v>0</v>
      </c>
      <c r="CF65" s="937">
        <v>0</v>
      </c>
      <c r="CG65" s="937">
        <v>0</v>
      </c>
      <c r="CH65" s="937">
        <v>0</v>
      </c>
      <c r="CI65" s="937">
        <v>0</v>
      </c>
      <c r="CJ65" s="937">
        <v>0</v>
      </c>
      <c r="CK65" s="937">
        <v>0</v>
      </c>
      <c r="CL65" s="937">
        <v>0</v>
      </c>
      <c r="CM65" s="937">
        <v>0</v>
      </c>
      <c r="CN65" s="937">
        <v>0</v>
      </c>
      <c r="CO65" s="937">
        <v>0</v>
      </c>
      <c r="CP65" s="937">
        <v>0</v>
      </c>
      <c r="CQ65" s="937">
        <v>0</v>
      </c>
      <c r="CR65" s="937">
        <v>0</v>
      </c>
      <c r="CS65" s="937">
        <v>0</v>
      </c>
      <c r="CT65" s="937">
        <v>0</v>
      </c>
      <c r="CU65" s="937">
        <v>0</v>
      </c>
      <c r="CV65" s="937">
        <v>0</v>
      </c>
      <c r="CW65" s="937">
        <v>0</v>
      </c>
      <c r="CX65" s="937">
        <v>0</v>
      </c>
      <c r="CY65" s="937">
        <v>0</v>
      </c>
      <c r="CZ65" s="937">
        <v>0</v>
      </c>
      <c r="DA65" s="937">
        <v>0</v>
      </c>
      <c r="DB65" s="937">
        <v>0</v>
      </c>
      <c r="DC65" s="937">
        <v>0</v>
      </c>
      <c r="DD65" s="937">
        <v>0</v>
      </c>
      <c r="DE65" s="937">
        <v>0</v>
      </c>
      <c r="DF65" s="937">
        <v>0</v>
      </c>
      <c r="DG65" s="937">
        <v>0</v>
      </c>
      <c r="DH65" s="937">
        <v>0</v>
      </c>
      <c r="DI65" s="937">
        <v>0</v>
      </c>
      <c r="DJ65" s="937">
        <v>0</v>
      </c>
      <c r="DK65" s="937">
        <v>0</v>
      </c>
      <c r="DL65" s="937">
        <v>0</v>
      </c>
      <c r="DM65" s="937">
        <v>0</v>
      </c>
      <c r="DN65" s="937">
        <v>0</v>
      </c>
      <c r="DO65" s="937">
        <v>0</v>
      </c>
      <c r="DP65" s="937">
        <v>0</v>
      </c>
      <c r="DQ65" s="937">
        <v>0</v>
      </c>
      <c r="DR65" s="937">
        <v>0</v>
      </c>
      <c r="DS65" s="937">
        <v>0</v>
      </c>
      <c r="DT65" s="937">
        <v>0</v>
      </c>
      <c r="DU65" s="937">
        <v>0</v>
      </c>
      <c r="DV65" s="937">
        <v>0</v>
      </c>
      <c r="DW65" s="937">
        <v>0</v>
      </c>
      <c r="DX65" s="937">
        <v>0</v>
      </c>
      <c r="DY65" s="937">
        <v>0</v>
      </c>
      <c r="DZ65" s="937">
        <v>0</v>
      </c>
      <c r="EA65" s="937">
        <v>0</v>
      </c>
      <c r="EB65" s="937">
        <v>0</v>
      </c>
      <c r="EC65" s="937">
        <v>0</v>
      </c>
      <c r="ED65" s="937">
        <v>0</v>
      </c>
      <c r="EE65" s="937">
        <v>0</v>
      </c>
      <c r="EF65" s="937">
        <v>0</v>
      </c>
      <c r="EG65" s="937">
        <v>0</v>
      </c>
      <c r="EH65" s="937">
        <v>0</v>
      </c>
      <c r="EI65" s="937">
        <v>0</v>
      </c>
      <c r="EJ65" s="937">
        <v>0</v>
      </c>
      <c r="EK65" s="937">
        <v>0</v>
      </c>
      <c r="EL65" s="937">
        <v>0</v>
      </c>
      <c r="EM65" s="937">
        <v>0</v>
      </c>
      <c r="EN65" s="937">
        <v>0</v>
      </c>
      <c r="EO65" s="937">
        <v>0</v>
      </c>
      <c r="EP65" s="937">
        <v>0</v>
      </c>
      <c r="EQ65" s="937">
        <v>0</v>
      </c>
      <c r="ER65" s="937">
        <v>0</v>
      </c>
      <c r="ES65" s="937">
        <v>0</v>
      </c>
      <c r="ET65" s="937">
        <v>0</v>
      </c>
      <c r="EU65" s="937">
        <v>0</v>
      </c>
      <c r="EV65" s="937">
        <v>0</v>
      </c>
      <c r="EW65" s="937">
        <v>0</v>
      </c>
      <c r="EX65" s="937">
        <v>0</v>
      </c>
      <c r="EY65" s="937">
        <v>0</v>
      </c>
      <c r="EZ65" s="937">
        <v>0</v>
      </c>
      <c r="FA65" s="937">
        <v>0</v>
      </c>
      <c r="FB65" s="937">
        <v>0</v>
      </c>
      <c r="FC65" s="937">
        <v>0</v>
      </c>
      <c r="FD65" s="937">
        <v>0</v>
      </c>
      <c r="FE65" s="937">
        <v>0</v>
      </c>
      <c r="FF65" s="937">
        <v>0</v>
      </c>
      <c r="FG65" s="937">
        <v>0</v>
      </c>
      <c r="FH65" s="937">
        <v>0</v>
      </c>
      <c r="FI65" s="937">
        <v>0</v>
      </c>
      <c r="FJ65" s="937">
        <v>0</v>
      </c>
      <c r="FK65" s="937">
        <v>0</v>
      </c>
      <c r="FL65" s="937">
        <v>0</v>
      </c>
      <c r="FM65" s="937">
        <v>0</v>
      </c>
      <c r="FN65" s="937">
        <v>0</v>
      </c>
      <c r="FO65" s="937">
        <v>0</v>
      </c>
      <c r="FP65" s="937">
        <v>0</v>
      </c>
      <c r="FQ65" s="937">
        <v>0</v>
      </c>
      <c r="FR65" s="937">
        <v>0</v>
      </c>
      <c r="FS65" s="937">
        <v>0</v>
      </c>
      <c r="FT65" s="937">
        <v>0</v>
      </c>
      <c r="FU65" s="937">
        <v>0</v>
      </c>
      <c r="FV65" s="937">
        <v>0</v>
      </c>
      <c r="FW65" s="937">
        <v>0</v>
      </c>
      <c r="FX65" s="937">
        <v>8</v>
      </c>
      <c r="FY65" s="937">
        <v>8</v>
      </c>
      <c r="FZ65" s="937">
        <v>8</v>
      </c>
      <c r="GA65" s="937">
        <v>8</v>
      </c>
      <c r="GB65" s="937">
        <v>8</v>
      </c>
      <c r="GC65" s="93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749">
    <dataValidation type="decimal" allowBlank="1" showErrorMessage="1" errorTitle="Ошибка" error="Допускается ввод только действительных чисел!" sqref="DJ59">
      <formula1>-9.99999999999999E+23</formula1>
      <formula2>9.99999999999999E+23</formula2>
    </dataValidation>
    <dataValidation type="decimal" allowBlank="1" showErrorMessage="1" errorTitle="Ошибка" error="Допускается ввод только действительных чисел!" sqref="DI59">
      <formula1>-9.99999999999999E+23</formula1>
      <formula2>9.99999999999999E+23</formula2>
    </dataValidation>
    <dataValidation type="decimal" allowBlank="1" showErrorMessage="1" errorTitle="Ошибка" error="Допускается ввод только действительных чисел!" sqref="DH59">
      <formula1>-9.99999999999999E+23</formula1>
      <formula2>9.99999999999999E+23</formula2>
    </dataValidation>
    <dataValidation type="decimal" allowBlank="1" showErrorMessage="1" errorTitle="Ошибка" error="Допускается ввод только действительных чисел!" sqref="DG59">
      <formula1>-9.99999999999999E+23</formula1>
      <formula2>9.99999999999999E+23</formula2>
    </dataValidation>
    <dataValidation type="decimal" allowBlank="1" showErrorMessage="1" errorTitle="Ошибка" error="Допускается ввод только действительных чисел!" sqref="DF59">
      <formula1>-9.99999999999999E+23</formula1>
      <formula2>9.99999999999999E+23</formula2>
    </dataValidation>
    <dataValidation type="decimal" allowBlank="1" showErrorMessage="1" errorTitle="Ошибка" error="Допускается ввод только действительных чисел!" sqref="DE59">
      <formula1>-9.99999999999999E+23</formula1>
      <formula2>9.99999999999999E+23</formula2>
    </dataValidation>
    <dataValidation type="decimal" allowBlank="1" showErrorMessage="1" errorTitle="Ошибка" error="Допускается ввод только действительных чисел!" sqref="DD59">
      <formula1>-9.99999999999999E+23</formula1>
      <formula2>9.99999999999999E+23</formula2>
    </dataValidation>
    <dataValidation type="decimal" allowBlank="1" showErrorMessage="1" errorTitle="Ошибка" error="Допускается ввод только действительных чисел!" sqref="DC59">
      <formula1>-9.99999999999999E+23</formula1>
      <formula2>9.99999999999999E+23</formula2>
    </dataValidation>
    <dataValidation type="decimal" allowBlank="1" showErrorMessage="1" errorTitle="Ошибка" error="Допускается ввод только действительных чисел!" sqref="DB59">
      <formula1>-9.99999999999999E+23</formula1>
      <formula2>9.99999999999999E+23</formula2>
    </dataValidation>
    <dataValidation type="decimal" allowBlank="1" showErrorMessage="1" errorTitle="Ошибка" error="Допускается ввод только действительных чисел!" sqref="DA59">
      <formula1>-9.99999999999999E+23</formula1>
      <formula2>9.99999999999999E+23</formula2>
    </dataValidation>
    <dataValidation type="decimal" allowBlank="1" showErrorMessage="1" errorTitle="Ошибка" error="Допускается ввод только действительных чисел!" sqref="CZ59">
      <formula1>-9.99999999999999E+23</formula1>
      <formula2>9.99999999999999E+23</formula2>
    </dataValidation>
    <dataValidation type="decimal" allowBlank="1" showErrorMessage="1" errorTitle="Ошибка" error="Допускается ввод только действительных чисел!" sqref="CY59">
      <formula1>-9.99999999999999E+23</formula1>
      <formula2>9.99999999999999E+23</formula2>
    </dataValidation>
    <dataValidation type="decimal" allowBlank="1" showErrorMessage="1" errorTitle="Ошибка" error="Допускается ввод только действительных чисел!" sqref="CK59">
      <formula1>-9.99999999999999E+23</formula1>
      <formula2>9.99999999999999E+23</formula2>
    </dataValidation>
    <dataValidation type="decimal" allowBlank="1" showErrorMessage="1" errorTitle="Ошибка" error="Допускается ввод только действительных чисел!" sqref="CJ59">
      <formula1>-9.99999999999999E+23</formula1>
      <formula2>9.99999999999999E+23</formula2>
    </dataValidation>
    <dataValidation type="decimal" allowBlank="1" showErrorMessage="1" errorTitle="Ошибка" error="Допускается ввод только действительных чисел!" sqref="CI59">
      <formula1>-9.99999999999999E+23</formula1>
      <formula2>9.99999999999999E+23</formula2>
    </dataValidation>
    <dataValidation type="decimal" allowBlank="1" showErrorMessage="1" errorTitle="Ошибка" error="Допускается ввод только действительных чисел!" sqref="CH59">
      <formula1>-9.99999999999999E+23</formula1>
      <formula2>9.99999999999999E+23</formula2>
    </dataValidation>
    <dataValidation type="decimal" allowBlank="1" showErrorMessage="1" errorTitle="Ошибка" error="Допускается ввод только действительных чисел!" sqref="CG59">
      <formula1>-9.99999999999999E+23</formula1>
      <formula2>9.99999999999999E+23</formula2>
    </dataValidation>
    <dataValidation type="decimal" allowBlank="1" showErrorMessage="1" errorTitle="Ошибка" error="Допускается ввод только действительных чисел!" sqref="CF59">
      <formula1>-9.99999999999999E+23</formula1>
      <formula2>9.99999999999999E+23</formula2>
    </dataValidation>
    <dataValidation type="decimal" allowBlank="1" showErrorMessage="1" errorTitle="Ошибка" error="Допускается ввод только действительных чисел!" sqref="CE59">
      <formula1>-9.99999999999999E+23</formula1>
      <formula2>9.99999999999999E+23</formula2>
    </dataValidation>
    <dataValidation type="decimal" allowBlank="1" showErrorMessage="1" errorTitle="Ошибка" error="Допускается ввод только действительных чисел!" sqref="CD59">
      <formula1>-9.99999999999999E+23</formula1>
      <formula2>9.99999999999999E+23</formula2>
    </dataValidation>
    <dataValidation type="decimal" allowBlank="1" showErrorMessage="1" errorTitle="Ошибка" error="Допускается ввод только действительных чисел!" sqref="CC59">
      <formula1>-9.99999999999999E+23</formula1>
      <formula2>9.99999999999999E+23</formula2>
    </dataValidation>
    <dataValidation type="decimal" allowBlank="1" showErrorMessage="1" errorTitle="Ошибка" error="Допускается ввод только действительных чисел!" sqref="CB59">
      <formula1>-9.99999999999999E+23</formula1>
      <formula2>9.99999999999999E+23</formula2>
    </dataValidation>
    <dataValidation type="decimal" allowBlank="1" showErrorMessage="1" errorTitle="Ошибка" error="Допускается ввод только действительных чисел!" sqref="CA59">
      <formula1>-9.99999999999999E+23</formula1>
      <formula2>9.99999999999999E+23</formula2>
    </dataValidation>
    <dataValidation type="decimal" allowBlank="1" showErrorMessage="1" errorTitle="Ошибка" error="Допускается ввод только действительных чисел!" sqref="BZ59">
      <formula1>-9.99999999999999E+23</formula1>
      <formula2>9.99999999999999E+23</formula2>
    </dataValidation>
    <dataValidation type="decimal" allowBlank="1" showErrorMessage="1" errorTitle="Ошибка" error="Допускается ввод только действительных чисел!" sqref="BY59">
      <formula1>-9.99999999999999E+23</formula1>
      <formula2>9.99999999999999E+23</formula2>
    </dataValidation>
    <dataValidation type="decimal" allowBlank="1" showErrorMessage="1" errorTitle="Ошибка" error="Допускается ввод только действительных чисел!" sqref="BX59">
      <formula1>-9.99999999999999E+23</formula1>
      <formula2>9.99999999999999E+23</formula2>
    </dataValidation>
    <dataValidation type="decimal" allowBlank="1" showErrorMessage="1" errorTitle="Ошибка" error="Допускается ввод только действительных чисел!" sqref="BW59">
      <formula1>-9.99999999999999E+23</formula1>
      <formula2>9.99999999999999E+23</formula2>
    </dataValidation>
    <dataValidation type="decimal" allowBlank="1" showErrorMessage="1" errorTitle="Ошибка" error="Допускается ввод только действительных чисел!" sqref="BV59">
      <formula1>-9.99999999999999E+23</formula1>
      <formula2>9.99999999999999E+23</formula2>
    </dataValidation>
    <dataValidation type="decimal" allowBlank="1" showErrorMessage="1" errorTitle="Ошибка" error="Допускается ввод только действительных чисел!" sqref="BU59">
      <formula1>-9.99999999999999E+23</formula1>
      <formula2>9.99999999999999E+23</formula2>
    </dataValidation>
    <dataValidation type="decimal" allowBlank="1" showErrorMessage="1" errorTitle="Ошибка" error="Допускается ввод только действительных чисел!" sqref="BT59">
      <formula1>-9.99999999999999E+23</formula1>
      <formula2>9.99999999999999E+23</formula2>
    </dataValidation>
    <dataValidation type="decimal" allowBlank="1" showErrorMessage="1" errorTitle="Ошибка" error="Допускается ввод только действительных чисел!" sqref="AB59">
      <formula1>-9.99999999999999E+23</formula1>
      <formula2>9.99999999999999E+23</formula2>
    </dataValidation>
    <dataValidation type="decimal" allowBlank="1" showErrorMessage="1" errorTitle="Ошибка" error="Допускается ввод только действительных чисел!" sqref="AA59">
      <formula1>-9.99999999999999E+23</formula1>
      <formula2>9.99999999999999E+23</formula2>
    </dataValidation>
    <dataValidation type="decimal" allowBlank="1" showErrorMessage="1" errorTitle="Ошибка" error="Допускается ввод только действительных чисел!" sqref="Z59">
      <formula1>-9.99999999999999E+23</formula1>
      <formula2>9.99999999999999E+23</formula2>
    </dataValidation>
    <dataValidation type="decimal" allowBlank="1" showErrorMessage="1" errorTitle="Ошибка" error="Допускается ввод только действительных чисел!" sqref="Y59">
      <formula1>-9.99999999999999E+23</formula1>
      <formula2>9.99999999999999E+23</formula2>
    </dataValidation>
    <dataValidation type="decimal" allowBlank="1" showErrorMessage="1" errorTitle="Ошибка" error="Допускается ввод только действительных чисел!" sqref="X59">
      <formula1>-9.99999999999999E+23</formula1>
      <formula2>9.99999999999999E+23</formula2>
    </dataValidation>
    <dataValidation type="decimal" allowBlank="1" showErrorMessage="1" errorTitle="Ошибка" error="Допускается ввод только действительных чисел!" sqref="W59">
      <formula1>-9.99999999999999E+23</formula1>
      <formula2>9.99999999999999E+23</formula2>
    </dataValidation>
    <dataValidation type="decimal" allowBlank="1" showErrorMessage="1" errorTitle="Ошибка" error="Допускается ввод только действительных чисел!" sqref="V59">
      <formula1>-9.99999999999999E+23</formula1>
      <formula2>9.99999999999999E+23</formula2>
    </dataValidation>
    <dataValidation type="decimal" allowBlank="1" showErrorMessage="1" errorTitle="Ошибка" error="Допускается ввод только действительных чисел!" sqref="U59">
      <formula1>-9.99999999999999E+23</formula1>
      <formula2>9.99999999999999E+23</formula2>
    </dataValidation>
    <dataValidation type="decimal" allowBlank="1" showErrorMessage="1" errorTitle="Ошибка" error="Допускается ввод только действительных чисел!" sqref="T59">
      <formula1>-9.99999999999999E+23</formula1>
      <formula2>9.99999999999999E+23</formula2>
    </dataValidation>
    <dataValidation type="decimal" allowBlank="1" showErrorMessage="1" errorTitle="Ошибка" error="Допускается ввод только действительных чисел!" sqref="S59">
      <formula1>-9.99999999999999E+23</formula1>
      <formula2>9.99999999999999E+23</formula2>
    </dataValidation>
    <dataValidation type="decimal" allowBlank="1" showErrorMessage="1" errorTitle="Ошибка" error="Допускается ввод только действительных чисел!" sqref="R59">
      <formula1>-9.99999999999999E+23</formula1>
      <formula2>9.99999999999999E+23</formula2>
    </dataValidation>
    <dataValidation type="decimal" allowBlank="1" showErrorMessage="1" errorTitle="Ошибка" error="Допускается ввод только действительных чисел!" sqref="Q59">
      <formula1>-9.99999999999999E+23</formula1>
      <formula2>9.99999999999999E+23</formula2>
    </dataValidation>
    <dataValidation type="decimal" allowBlank="1" showErrorMessage="1" errorTitle="Ошибка" error="Допускается ввод только действительных чисел!" sqref="P59">
      <formula1>-9.99999999999999E+23</formula1>
      <formula2>9.99999999999999E+23</formula2>
    </dataValidation>
    <dataValidation type="decimal" allowBlank="1" showErrorMessage="1" errorTitle="Ошибка" error="Допускается ввод только действительных чисел!" sqref="O5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9">
      <formula1>900</formula1>
    </dataValidation>
    <dataValidation type="list" allowBlank="1" showInputMessage="1" showErrorMessage="1" errorTitle="Ошибка" error="Выберите значение из списка" prompt="Выберите значение из списка" sqref="H59">
      <formula1>QRE_METHOD_LIST</formula1>
    </dataValidation>
    <dataValidation type="decimal" allowBlank="1" showErrorMessage="1" errorTitle="Ошибка" error="Допускается ввод только действительных чисел!" sqref="DJ58">
      <formula1>-9.99999999999999E+23</formula1>
      <formula2>9.99999999999999E+23</formula2>
    </dataValidation>
    <dataValidation type="decimal" allowBlank="1" showErrorMessage="1" errorTitle="Ошибка" error="Допускается ввод только действительных чисел!" sqref="DI58">
      <formula1>-9.99999999999999E+23</formula1>
      <formula2>9.99999999999999E+23</formula2>
    </dataValidation>
    <dataValidation type="decimal" allowBlank="1" showErrorMessage="1" errorTitle="Ошибка" error="Допускается ввод только действительных чисел!" sqref="DH58">
      <formula1>-9.99999999999999E+23</formula1>
      <formula2>9.99999999999999E+23</formula2>
    </dataValidation>
    <dataValidation type="decimal" allowBlank="1" showErrorMessage="1" errorTitle="Ошибка" error="Допускается ввод только действительных чисел!" sqref="DG58">
      <formula1>-9.99999999999999E+23</formula1>
      <formula2>9.99999999999999E+23</formula2>
    </dataValidation>
    <dataValidation type="decimal" allowBlank="1" showErrorMessage="1" errorTitle="Ошибка" error="Допускается ввод только действительных чисел!" sqref="DF58">
      <formula1>-9.99999999999999E+23</formula1>
      <formula2>9.99999999999999E+23</formula2>
    </dataValidation>
    <dataValidation type="decimal" allowBlank="1" showErrorMessage="1" errorTitle="Ошибка" error="Допускается ввод только действительных чисел!" sqref="DE58">
      <formula1>-9.99999999999999E+23</formula1>
      <formula2>9.99999999999999E+23</formula2>
    </dataValidation>
    <dataValidation type="decimal" allowBlank="1" showErrorMessage="1" errorTitle="Ошибка" error="Допускается ввод только действительных чисел!" sqref="DD58">
      <formula1>-9.99999999999999E+23</formula1>
      <formula2>9.99999999999999E+23</formula2>
    </dataValidation>
    <dataValidation type="decimal" allowBlank="1" showErrorMessage="1" errorTitle="Ошибка" error="Допускается ввод только действительных чисел!" sqref="DC58">
      <formula1>-9.99999999999999E+23</formula1>
      <formula2>9.99999999999999E+23</formula2>
    </dataValidation>
    <dataValidation type="decimal" allowBlank="1" showErrorMessage="1" errorTitle="Ошибка" error="Допускается ввод только действительных чисел!" sqref="DB58">
      <formula1>-9.99999999999999E+23</formula1>
      <formula2>9.99999999999999E+23</formula2>
    </dataValidation>
    <dataValidation type="decimal" allowBlank="1" showErrorMessage="1" errorTitle="Ошибка" error="Допускается ввод только действительных чисел!" sqref="DA58">
      <formula1>-9.99999999999999E+23</formula1>
      <formula2>9.99999999999999E+23</formula2>
    </dataValidation>
    <dataValidation type="decimal" allowBlank="1" showErrorMessage="1" errorTitle="Ошибка" error="Допускается ввод только действительных чисел!" sqref="CZ58">
      <formula1>-9.99999999999999E+23</formula1>
      <formula2>9.99999999999999E+23</formula2>
    </dataValidation>
    <dataValidation type="decimal" allowBlank="1" showErrorMessage="1" errorTitle="Ошибка" error="Допускается ввод только действительных чисел!" sqref="CY58">
      <formula1>-9.99999999999999E+23</formula1>
      <formula2>9.99999999999999E+23</formula2>
    </dataValidation>
    <dataValidation type="decimal" allowBlank="1" showErrorMessage="1" errorTitle="Ошибка" error="Допускается ввод только действительных чисел!" sqref="CK58">
      <formula1>-9.99999999999999E+23</formula1>
      <formula2>9.99999999999999E+23</formula2>
    </dataValidation>
    <dataValidation type="decimal" allowBlank="1" showErrorMessage="1" errorTitle="Ошибка" error="Допускается ввод только действительных чисел!" sqref="CJ58">
      <formula1>-9.99999999999999E+23</formula1>
      <formula2>9.99999999999999E+23</formula2>
    </dataValidation>
    <dataValidation type="decimal" allowBlank="1" showErrorMessage="1" errorTitle="Ошибка" error="Допускается ввод только действительных чисел!" sqref="CI58">
      <formula1>-9.99999999999999E+23</formula1>
      <formula2>9.99999999999999E+23</formula2>
    </dataValidation>
    <dataValidation type="decimal" allowBlank="1" showErrorMessage="1" errorTitle="Ошибка" error="Допускается ввод только действительных чисел!" sqref="CH58">
      <formula1>-9.99999999999999E+23</formula1>
      <formula2>9.99999999999999E+23</formula2>
    </dataValidation>
    <dataValidation type="decimal" allowBlank="1" showErrorMessage="1" errorTitle="Ошибка" error="Допускается ввод только действительных чисел!" sqref="CG58">
      <formula1>-9.99999999999999E+23</formula1>
      <formula2>9.99999999999999E+23</formula2>
    </dataValidation>
    <dataValidation type="decimal" allowBlank="1" showErrorMessage="1" errorTitle="Ошибка" error="Допускается ввод только действительных чисел!" sqref="CF58">
      <formula1>-9.99999999999999E+23</formula1>
      <formula2>9.99999999999999E+23</formula2>
    </dataValidation>
    <dataValidation type="decimal" allowBlank="1" showErrorMessage="1" errorTitle="Ошибка" error="Допускается ввод только действительных чисел!" sqref="CE58">
      <formula1>-9.99999999999999E+23</formula1>
      <formula2>9.99999999999999E+23</formula2>
    </dataValidation>
    <dataValidation type="decimal" allowBlank="1" showErrorMessage="1" errorTitle="Ошибка" error="Допускается ввод только действительных чисел!" sqref="CD58">
      <formula1>-9.99999999999999E+23</formula1>
      <formula2>9.99999999999999E+23</formula2>
    </dataValidation>
    <dataValidation type="decimal" allowBlank="1" showErrorMessage="1" errorTitle="Ошибка" error="Допускается ввод только действительных чисел!" sqref="CC58">
      <formula1>-9.99999999999999E+23</formula1>
      <formula2>9.99999999999999E+23</formula2>
    </dataValidation>
    <dataValidation type="decimal" allowBlank="1" showErrorMessage="1" errorTitle="Ошибка" error="Допускается ввод только действительных чисел!" sqref="CB58">
      <formula1>-9.99999999999999E+23</formula1>
      <formula2>9.99999999999999E+23</formula2>
    </dataValidation>
    <dataValidation type="decimal" allowBlank="1" showErrorMessage="1" errorTitle="Ошибка" error="Допускается ввод только действительных чисел!" sqref="CA58">
      <formula1>-9.99999999999999E+23</formula1>
      <formula2>9.99999999999999E+23</formula2>
    </dataValidation>
    <dataValidation type="decimal" allowBlank="1" showErrorMessage="1" errorTitle="Ошибка" error="Допускается ввод только действительных чисел!" sqref="BZ58">
      <formula1>-9.99999999999999E+23</formula1>
      <formula2>9.99999999999999E+23</formula2>
    </dataValidation>
    <dataValidation type="decimal" allowBlank="1" showErrorMessage="1" errorTitle="Ошибка" error="Допускается ввод только действительных чисел!" sqref="BY58">
      <formula1>-9.99999999999999E+23</formula1>
      <formula2>9.99999999999999E+23</formula2>
    </dataValidation>
    <dataValidation type="decimal" allowBlank="1" showErrorMessage="1" errorTitle="Ошибка" error="Допускается ввод только действительных чисел!" sqref="BX58">
      <formula1>-9.99999999999999E+23</formula1>
      <formula2>9.99999999999999E+23</formula2>
    </dataValidation>
    <dataValidation type="decimal" allowBlank="1" showErrorMessage="1" errorTitle="Ошибка" error="Допускается ввод только действительных чисел!" sqref="BW58">
      <formula1>-9.99999999999999E+23</formula1>
      <formula2>9.99999999999999E+23</formula2>
    </dataValidation>
    <dataValidation type="decimal" allowBlank="1" showErrorMessage="1" errorTitle="Ошибка" error="Допускается ввод только действительных чисел!" sqref="BV58">
      <formula1>-9.99999999999999E+23</formula1>
      <formula2>9.99999999999999E+23</formula2>
    </dataValidation>
    <dataValidation type="decimal" allowBlank="1" showErrorMessage="1" errorTitle="Ошибка" error="Допускается ввод только действительных чисел!" sqref="BU58">
      <formula1>-9.99999999999999E+23</formula1>
      <formula2>9.99999999999999E+23</formula2>
    </dataValidation>
    <dataValidation type="decimal" allowBlank="1" showErrorMessage="1" errorTitle="Ошибка" error="Допускается ввод только действительных чисел!" sqref="BT58">
      <formula1>-9.99999999999999E+23</formula1>
      <formula2>9.99999999999999E+23</formula2>
    </dataValidation>
    <dataValidation type="decimal" allowBlank="1" showErrorMessage="1" errorTitle="Ошибка" error="Допускается ввод только действительных чисел!" sqref="AB58">
      <formula1>-9.99999999999999E+23</formula1>
      <formula2>9.99999999999999E+23</formula2>
    </dataValidation>
    <dataValidation type="decimal" allowBlank="1" showErrorMessage="1" errorTitle="Ошибка" error="Допускается ввод только действительных чисел!" sqref="AA58">
      <formula1>-9.99999999999999E+23</formula1>
      <formula2>9.99999999999999E+23</formula2>
    </dataValidation>
    <dataValidation type="decimal" allowBlank="1" showErrorMessage="1" errorTitle="Ошибка" error="Допускается ввод только действительных чисел!" sqref="Z58">
      <formula1>-9.99999999999999E+23</formula1>
      <formula2>9.99999999999999E+23</formula2>
    </dataValidation>
    <dataValidation type="decimal" allowBlank="1" showErrorMessage="1" errorTitle="Ошибка" error="Допускается ввод только действительных чисел!" sqref="Y58">
      <formula1>-9.99999999999999E+23</formula1>
      <formula2>9.99999999999999E+23</formula2>
    </dataValidation>
    <dataValidation type="decimal" allowBlank="1" showErrorMessage="1" errorTitle="Ошибка" error="Допускается ввод только действительных чисел!" sqref="X58">
      <formula1>-9.99999999999999E+23</formula1>
      <formula2>9.99999999999999E+23</formula2>
    </dataValidation>
    <dataValidation type="decimal" allowBlank="1" showErrorMessage="1" errorTitle="Ошибка" error="Допускается ввод только действительных чисел!" sqref="W58">
      <formula1>-9.99999999999999E+23</formula1>
      <formula2>9.99999999999999E+23</formula2>
    </dataValidation>
    <dataValidation type="decimal" allowBlank="1" showErrorMessage="1" errorTitle="Ошибка" error="Допускается ввод только действительных чисел!" sqref="V58">
      <formula1>-9.99999999999999E+23</formula1>
      <formula2>9.99999999999999E+23</formula2>
    </dataValidation>
    <dataValidation type="decimal" allowBlank="1" showErrorMessage="1" errorTitle="Ошибка" error="Допускается ввод только действительных чисел!" sqref="U58">
      <formula1>-9.99999999999999E+23</formula1>
      <formula2>9.99999999999999E+23</formula2>
    </dataValidation>
    <dataValidation type="decimal" allowBlank="1" showErrorMessage="1" errorTitle="Ошибка" error="Допускается ввод только действительных чисел!" sqref="T58">
      <formula1>-9.99999999999999E+23</formula1>
      <formula2>9.99999999999999E+23</formula2>
    </dataValidation>
    <dataValidation type="decimal" allowBlank="1" showErrorMessage="1" errorTitle="Ошибка" error="Допускается ввод только действительных чисел!" sqref="S58">
      <formula1>-9.99999999999999E+23</formula1>
      <formula2>9.99999999999999E+23</formula2>
    </dataValidation>
    <dataValidation type="decimal" allowBlank="1" showErrorMessage="1" errorTitle="Ошибка" error="Допускается ввод только действительных чисел!" sqref="R58">
      <formula1>-9.99999999999999E+23</formula1>
      <formula2>9.99999999999999E+23</formula2>
    </dataValidation>
    <dataValidation type="decimal" allowBlank="1" showErrorMessage="1" errorTitle="Ошибка" error="Допускается ввод только действительных чисел!" sqref="Q58">
      <formula1>-9.99999999999999E+23</formula1>
      <formula2>9.99999999999999E+23</formula2>
    </dataValidation>
    <dataValidation type="decimal" allowBlank="1" showErrorMessage="1" errorTitle="Ошибка" error="Допускается ввод только действительных чисел!" sqref="P58">
      <formula1>-9.99999999999999E+23</formula1>
      <formula2>9.99999999999999E+23</formula2>
    </dataValidation>
    <dataValidation type="decimal" allowBlank="1" showErrorMessage="1" errorTitle="Ошибка" error="Допускается ввод только действительных чисел!" sqref="O5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8">
      <formula1>900</formula1>
    </dataValidation>
    <dataValidation type="list" allowBlank="1" showInputMessage="1" showErrorMessage="1" errorTitle="Ошибка" error="Выберите значение из списка" prompt="Выберите значение из списка" sqref="H58">
      <formula1>QRE_METHOD_LIST</formula1>
    </dataValidation>
    <dataValidation type="decimal" allowBlank="1" showErrorMessage="1" errorTitle="Ошибка" error="Допускается ввод только действительных чисел!" sqref="DJ57">
      <formula1>-9.99999999999999E+23</formula1>
      <formula2>9.99999999999999E+23</formula2>
    </dataValidation>
    <dataValidation type="decimal" allowBlank="1" showErrorMessage="1" errorTitle="Ошибка" error="Допускается ввод только действительных чисел!" sqref="DI57">
      <formula1>-9.99999999999999E+23</formula1>
      <formula2>9.99999999999999E+23</formula2>
    </dataValidation>
    <dataValidation type="decimal" allowBlank="1" showErrorMessage="1" errorTitle="Ошибка" error="Допускается ввод только действительных чисел!" sqref="DH57">
      <formula1>-9.99999999999999E+23</formula1>
      <formula2>9.99999999999999E+23</formula2>
    </dataValidation>
    <dataValidation type="decimal" allowBlank="1" showErrorMessage="1" errorTitle="Ошибка" error="Допускается ввод только действительных чисел!" sqref="DG57">
      <formula1>-9.99999999999999E+23</formula1>
      <formula2>9.99999999999999E+23</formula2>
    </dataValidation>
    <dataValidation type="decimal" allowBlank="1" showErrorMessage="1" errorTitle="Ошибка" error="Допускается ввод только действительных чисел!" sqref="DF57">
      <formula1>-9.99999999999999E+23</formula1>
      <formula2>9.99999999999999E+23</formula2>
    </dataValidation>
    <dataValidation type="decimal" allowBlank="1" showErrorMessage="1" errorTitle="Ошибка" error="Допускается ввод только действительных чисел!" sqref="DE57">
      <formula1>-9.99999999999999E+23</formula1>
      <formula2>9.99999999999999E+23</formula2>
    </dataValidation>
    <dataValidation type="decimal" allowBlank="1" showErrorMessage="1" errorTitle="Ошибка" error="Допускается ввод только действительных чисел!" sqref="DD57">
      <formula1>-9.99999999999999E+23</formula1>
      <formula2>9.99999999999999E+23</formula2>
    </dataValidation>
    <dataValidation type="decimal" allowBlank="1" showErrorMessage="1" errorTitle="Ошибка" error="Допускается ввод только действительных чисел!" sqref="DC57">
      <formula1>-9.99999999999999E+23</formula1>
      <formula2>9.99999999999999E+23</formula2>
    </dataValidation>
    <dataValidation type="decimal" allowBlank="1" showErrorMessage="1" errorTitle="Ошибка" error="Допускается ввод только действительных чисел!" sqref="DB57">
      <formula1>-9.99999999999999E+23</formula1>
      <formula2>9.99999999999999E+23</formula2>
    </dataValidation>
    <dataValidation type="decimal" allowBlank="1" showErrorMessage="1" errorTitle="Ошибка" error="Допускается ввод только действительных чисел!" sqref="DA57">
      <formula1>-9.99999999999999E+23</formula1>
      <formula2>9.99999999999999E+23</formula2>
    </dataValidation>
    <dataValidation type="decimal" allowBlank="1" showErrorMessage="1" errorTitle="Ошибка" error="Допускается ввод только действительных чисел!" sqref="CZ57">
      <formula1>-9.99999999999999E+23</formula1>
      <formula2>9.99999999999999E+23</formula2>
    </dataValidation>
    <dataValidation type="decimal" allowBlank="1" showErrorMessage="1" errorTitle="Ошибка" error="Допускается ввод только действительных чисел!" sqref="CY57">
      <formula1>-9.99999999999999E+23</formula1>
      <formula2>9.99999999999999E+23</formula2>
    </dataValidation>
    <dataValidation type="decimal" allowBlank="1" showErrorMessage="1" errorTitle="Ошибка" error="Допускается ввод только действительных чисел!" sqref="CK57">
      <formula1>-9.99999999999999E+23</formula1>
      <formula2>9.99999999999999E+23</formula2>
    </dataValidation>
    <dataValidation type="decimal" allowBlank="1" showErrorMessage="1" errorTitle="Ошибка" error="Допускается ввод только действительных чисел!" sqref="CJ57">
      <formula1>-9.99999999999999E+23</formula1>
      <formula2>9.99999999999999E+23</formula2>
    </dataValidation>
    <dataValidation type="decimal" allowBlank="1" showErrorMessage="1" errorTitle="Ошибка" error="Допускается ввод только действительных чисел!" sqref="CI57">
      <formula1>-9.99999999999999E+23</formula1>
      <formula2>9.99999999999999E+23</formula2>
    </dataValidation>
    <dataValidation type="decimal" allowBlank="1" showErrorMessage="1" errorTitle="Ошибка" error="Допускается ввод только действительных чисел!" sqref="CH57">
      <formula1>-9.99999999999999E+23</formula1>
      <formula2>9.99999999999999E+23</formula2>
    </dataValidation>
    <dataValidation type="decimal" allowBlank="1" showErrorMessage="1" errorTitle="Ошибка" error="Допускается ввод только действительных чисел!" sqref="CG57">
      <formula1>-9.99999999999999E+23</formula1>
      <formula2>9.99999999999999E+23</formula2>
    </dataValidation>
    <dataValidation type="decimal" allowBlank="1" showErrorMessage="1" errorTitle="Ошибка" error="Допускается ввод только действительных чисел!" sqref="CF57">
      <formula1>-9.99999999999999E+23</formula1>
      <formula2>9.99999999999999E+23</formula2>
    </dataValidation>
    <dataValidation type="decimal" allowBlank="1" showErrorMessage="1" errorTitle="Ошибка" error="Допускается ввод только действительных чисел!" sqref="CE57">
      <formula1>-9.99999999999999E+23</formula1>
      <formula2>9.99999999999999E+23</formula2>
    </dataValidation>
    <dataValidation type="decimal" allowBlank="1" showErrorMessage="1" errorTitle="Ошибка" error="Допускается ввод только действительных чисел!" sqref="CD57">
      <formula1>-9.99999999999999E+23</formula1>
      <formula2>9.99999999999999E+23</formula2>
    </dataValidation>
    <dataValidation type="decimal" allowBlank="1" showErrorMessage="1" errorTitle="Ошибка" error="Допускается ввод только действительных чисел!" sqref="CC57">
      <formula1>-9.99999999999999E+23</formula1>
      <formula2>9.99999999999999E+23</formula2>
    </dataValidation>
    <dataValidation type="decimal" allowBlank="1" showErrorMessage="1" errorTitle="Ошибка" error="Допускается ввод только действительных чисел!" sqref="CB57">
      <formula1>-9.99999999999999E+23</formula1>
      <formula2>9.99999999999999E+23</formula2>
    </dataValidation>
    <dataValidation type="decimal" allowBlank="1" showErrorMessage="1" errorTitle="Ошибка" error="Допускается ввод только действительных чисел!" sqref="CA57">
      <formula1>-9.99999999999999E+23</formula1>
      <formula2>9.99999999999999E+23</formula2>
    </dataValidation>
    <dataValidation type="decimal" allowBlank="1" showErrorMessage="1" errorTitle="Ошибка" error="Допускается ввод только действительных чисел!" sqref="BZ57">
      <formula1>-9.99999999999999E+23</formula1>
      <formula2>9.99999999999999E+23</formula2>
    </dataValidation>
    <dataValidation type="decimal" allowBlank="1" showErrorMessage="1" errorTitle="Ошибка" error="Допускается ввод только действительных чисел!" sqref="BY57">
      <formula1>-9.99999999999999E+23</formula1>
      <formula2>9.99999999999999E+23</formula2>
    </dataValidation>
    <dataValidation type="decimal" allowBlank="1" showErrorMessage="1" errorTitle="Ошибка" error="Допускается ввод только действительных чисел!" sqref="BX57">
      <formula1>-9.99999999999999E+23</formula1>
      <formula2>9.99999999999999E+23</formula2>
    </dataValidation>
    <dataValidation type="decimal" allowBlank="1" showErrorMessage="1" errorTitle="Ошибка" error="Допускается ввод только действительных чисел!" sqref="BW57">
      <formula1>-9.99999999999999E+23</formula1>
      <formula2>9.99999999999999E+23</formula2>
    </dataValidation>
    <dataValidation type="decimal" allowBlank="1" showErrorMessage="1" errorTitle="Ошибка" error="Допускается ввод только действительных чисел!" sqref="BV57">
      <formula1>-9.99999999999999E+23</formula1>
      <formula2>9.99999999999999E+23</formula2>
    </dataValidation>
    <dataValidation type="decimal" allowBlank="1" showErrorMessage="1" errorTitle="Ошибка" error="Допускается ввод только действительных чисел!" sqref="BU57">
      <formula1>-9.99999999999999E+23</formula1>
      <formula2>9.99999999999999E+23</formula2>
    </dataValidation>
    <dataValidation type="decimal" allowBlank="1" showErrorMessage="1" errorTitle="Ошибка" error="Допускается ввод только действительных чисел!" sqref="BT57">
      <formula1>-9.99999999999999E+23</formula1>
      <formula2>9.99999999999999E+23</formula2>
    </dataValidation>
    <dataValidation type="decimal" allowBlank="1" showErrorMessage="1" errorTitle="Ошибка" error="Допускается ввод только действительных чисел!" sqref="AB57">
      <formula1>-9.99999999999999E+23</formula1>
      <formula2>9.99999999999999E+23</formula2>
    </dataValidation>
    <dataValidation type="decimal" allowBlank="1" showErrorMessage="1" errorTitle="Ошибка" error="Допускается ввод только действительных чисел!" sqref="AA57">
      <formula1>-9.99999999999999E+23</formula1>
      <formula2>9.99999999999999E+23</formula2>
    </dataValidation>
    <dataValidation type="decimal" allowBlank="1" showErrorMessage="1" errorTitle="Ошибка" error="Допускается ввод только действительных чисел!" sqref="Z57">
      <formula1>-9.99999999999999E+23</formula1>
      <formula2>9.99999999999999E+23</formula2>
    </dataValidation>
    <dataValidation type="decimal" allowBlank="1" showErrorMessage="1" errorTitle="Ошибка" error="Допускается ввод только действительных чисел!" sqref="Y57">
      <formula1>-9.99999999999999E+23</formula1>
      <formula2>9.99999999999999E+23</formula2>
    </dataValidation>
    <dataValidation type="decimal" allowBlank="1" showErrorMessage="1" errorTitle="Ошибка" error="Допускается ввод только действительных чисел!" sqref="X57">
      <formula1>-9.99999999999999E+23</formula1>
      <formula2>9.99999999999999E+23</formula2>
    </dataValidation>
    <dataValidation type="decimal" allowBlank="1" showErrorMessage="1" errorTitle="Ошибка" error="Допускается ввод только действительных чисел!" sqref="W57">
      <formula1>-9.99999999999999E+23</formula1>
      <formula2>9.99999999999999E+23</formula2>
    </dataValidation>
    <dataValidation type="decimal" allowBlank="1" showErrorMessage="1" errorTitle="Ошибка" error="Допускается ввод только действительных чисел!" sqref="V57">
      <formula1>-9.99999999999999E+23</formula1>
      <formula2>9.99999999999999E+23</formula2>
    </dataValidation>
    <dataValidation type="decimal" allowBlank="1" showErrorMessage="1" errorTitle="Ошибка" error="Допускается ввод только действительных чисел!" sqref="U57">
      <formula1>-9.99999999999999E+23</formula1>
      <formula2>9.99999999999999E+23</formula2>
    </dataValidation>
    <dataValidation type="decimal" allowBlank="1" showErrorMessage="1" errorTitle="Ошибка" error="Допускается ввод только действительных чисел!" sqref="T57">
      <formula1>-9.99999999999999E+23</formula1>
      <formula2>9.99999999999999E+23</formula2>
    </dataValidation>
    <dataValidation type="decimal" allowBlank="1" showErrorMessage="1" errorTitle="Ошибка" error="Допускается ввод только действительных чисел!" sqref="S57">
      <formula1>-9.99999999999999E+23</formula1>
      <formula2>9.99999999999999E+23</formula2>
    </dataValidation>
    <dataValidation type="decimal" allowBlank="1" showErrorMessage="1" errorTitle="Ошибка" error="Допускается ввод только действительных чисел!" sqref="R57">
      <formula1>-9.99999999999999E+23</formula1>
      <formula2>9.99999999999999E+23</formula2>
    </dataValidation>
    <dataValidation type="decimal" allowBlank="1" showErrorMessage="1" errorTitle="Ошибка" error="Допускается ввод только действительных чисел!" sqref="Q57">
      <formula1>-9.99999999999999E+23</formula1>
      <formula2>9.99999999999999E+23</formula2>
    </dataValidation>
    <dataValidation type="decimal" allowBlank="1" showErrorMessage="1" errorTitle="Ошибка" error="Допускается ввод только действительных чисел!" sqref="P57">
      <formula1>-9.99999999999999E+23</formula1>
      <formula2>9.99999999999999E+23</formula2>
    </dataValidation>
    <dataValidation type="decimal" allowBlank="1" showErrorMessage="1" errorTitle="Ошибка" error="Допускается ввод только действительных чисел!" sqref="O5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7">
      <formula1>900</formula1>
    </dataValidation>
    <dataValidation type="list" allowBlank="1" showInputMessage="1" showErrorMessage="1" errorTitle="Ошибка" error="Выберите значение из списка" prompt="Выберите значение из списка" sqref="H57">
      <formula1>QRE_METHOD_LIST</formula1>
    </dataValidation>
    <dataValidation type="decimal" allowBlank="1" showErrorMessage="1" errorTitle="Ошибка" error="Допускается ввод только действительных чисел!" sqref="DJ56">
      <formula1>-9.99999999999999E+23</formula1>
      <formula2>9.99999999999999E+23</formula2>
    </dataValidation>
    <dataValidation type="decimal" allowBlank="1" showErrorMessage="1" errorTitle="Ошибка" error="Допускается ввод только действительных чисел!" sqref="DI56">
      <formula1>-9.99999999999999E+23</formula1>
      <formula2>9.99999999999999E+23</formula2>
    </dataValidation>
    <dataValidation type="decimal" allowBlank="1" showErrorMessage="1" errorTitle="Ошибка" error="Допускается ввод только действительных чисел!" sqref="DH56">
      <formula1>-9.99999999999999E+23</formula1>
      <formula2>9.99999999999999E+23</formula2>
    </dataValidation>
    <dataValidation type="decimal" allowBlank="1" showErrorMessage="1" errorTitle="Ошибка" error="Допускается ввод только действительных чисел!" sqref="DG56">
      <formula1>-9.99999999999999E+23</formula1>
      <formula2>9.99999999999999E+23</formula2>
    </dataValidation>
    <dataValidation type="decimal" allowBlank="1" showErrorMessage="1" errorTitle="Ошибка" error="Допускается ввод только действительных чисел!" sqref="DF56">
      <formula1>-9.99999999999999E+23</formula1>
      <formula2>9.99999999999999E+23</formula2>
    </dataValidation>
    <dataValidation type="decimal" allowBlank="1" showErrorMessage="1" errorTitle="Ошибка" error="Допускается ввод только действительных чисел!" sqref="DE56">
      <formula1>-9.99999999999999E+23</formula1>
      <formula2>9.99999999999999E+23</formula2>
    </dataValidation>
    <dataValidation type="decimal" allowBlank="1" showErrorMessage="1" errorTitle="Ошибка" error="Допускается ввод только действительных чисел!" sqref="DD56">
      <formula1>-9.99999999999999E+23</formula1>
      <formula2>9.99999999999999E+23</formula2>
    </dataValidation>
    <dataValidation type="decimal" allowBlank="1" showErrorMessage="1" errorTitle="Ошибка" error="Допускается ввод только действительных чисел!" sqref="DC56">
      <formula1>-9.99999999999999E+23</formula1>
      <formula2>9.99999999999999E+23</formula2>
    </dataValidation>
    <dataValidation type="decimal" allowBlank="1" showErrorMessage="1" errorTitle="Ошибка" error="Допускается ввод только действительных чисел!" sqref="DB56">
      <formula1>-9.99999999999999E+23</formula1>
      <formula2>9.99999999999999E+23</formula2>
    </dataValidation>
    <dataValidation type="decimal" allowBlank="1" showErrorMessage="1" errorTitle="Ошибка" error="Допускается ввод только действительных чисел!" sqref="DA56">
      <formula1>-9.99999999999999E+23</formula1>
      <formula2>9.99999999999999E+23</formula2>
    </dataValidation>
    <dataValidation type="decimal" allowBlank="1" showErrorMessage="1" errorTitle="Ошибка" error="Допускается ввод только действительных чисел!" sqref="CZ56">
      <formula1>-9.99999999999999E+23</formula1>
      <formula2>9.99999999999999E+23</formula2>
    </dataValidation>
    <dataValidation type="decimal" allowBlank="1" showErrorMessage="1" errorTitle="Ошибка" error="Допускается ввод только действительных чисел!" sqref="CY56">
      <formula1>-9.99999999999999E+23</formula1>
      <formula2>9.99999999999999E+23</formula2>
    </dataValidation>
    <dataValidation type="decimal" allowBlank="1" showErrorMessage="1" errorTitle="Ошибка" error="Допускается ввод только действительных чисел!" sqref="CK56">
      <formula1>-9.99999999999999E+23</formula1>
      <formula2>9.99999999999999E+23</formula2>
    </dataValidation>
    <dataValidation type="decimal" allowBlank="1" showErrorMessage="1" errorTitle="Ошибка" error="Допускается ввод только действительных чисел!" sqref="CJ56">
      <formula1>-9.99999999999999E+23</formula1>
      <formula2>9.99999999999999E+23</formula2>
    </dataValidation>
    <dataValidation type="decimal" allowBlank="1" showErrorMessage="1" errorTitle="Ошибка" error="Допускается ввод только действительных чисел!" sqref="CI56">
      <formula1>-9.99999999999999E+23</formula1>
      <formula2>9.99999999999999E+23</formula2>
    </dataValidation>
    <dataValidation type="decimal" allowBlank="1" showErrorMessage="1" errorTitle="Ошибка" error="Допускается ввод только действительных чисел!" sqref="CH56">
      <formula1>-9.99999999999999E+23</formula1>
      <formula2>9.99999999999999E+23</formula2>
    </dataValidation>
    <dataValidation type="decimal" allowBlank="1" showErrorMessage="1" errorTitle="Ошибка" error="Допускается ввод только действительных чисел!" sqref="CG56">
      <formula1>-9.99999999999999E+23</formula1>
      <formula2>9.99999999999999E+23</formula2>
    </dataValidation>
    <dataValidation type="decimal" allowBlank="1" showErrorMessage="1" errorTitle="Ошибка" error="Допускается ввод только действительных чисел!" sqref="CF56">
      <formula1>-9.99999999999999E+23</formula1>
      <formula2>9.99999999999999E+23</formula2>
    </dataValidation>
    <dataValidation type="decimal" allowBlank="1" showErrorMessage="1" errorTitle="Ошибка" error="Допускается ввод только действительных чисел!" sqref="CE56">
      <formula1>-9.99999999999999E+23</formula1>
      <formula2>9.99999999999999E+23</formula2>
    </dataValidation>
    <dataValidation type="decimal" allowBlank="1" showErrorMessage="1" errorTitle="Ошибка" error="Допускается ввод только действительных чисел!" sqref="CD56">
      <formula1>-9.99999999999999E+23</formula1>
      <formula2>9.99999999999999E+23</formula2>
    </dataValidation>
    <dataValidation type="decimal" allowBlank="1" showErrorMessage="1" errorTitle="Ошибка" error="Допускается ввод только действительных чисел!" sqref="CC56">
      <formula1>-9.99999999999999E+23</formula1>
      <formula2>9.99999999999999E+23</formula2>
    </dataValidation>
    <dataValidation type="decimal" allowBlank="1" showErrorMessage="1" errorTitle="Ошибка" error="Допускается ввод только действительных чисел!" sqref="CB56">
      <formula1>-9.99999999999999E+23</formula1>
      <formula2>9.99999999999999E+23</formula2>
    </dataValidation>
    <dataValidation type="decimal" allowBlank="1" showErrorMessage="1" errorTitle="Ошибка" error="Допускается ввод только действительных чисел!" sqref="CA56">
      <formula1>-9.99999999999999E+23</formula1>
      <formula2>9.99999999999999E+23</formula2>
    </dataValidation>
    <dataValidation type="decimal" allowBlank="1" showErrorMessage="1" errorTitle="Ошибка" error="Допускается ввод только действительных чисел!" sqref="BZ56">
      <formula1>-9.99999999999999E+23</formula1>
      <formula2>9.99999999999999E+23</formula2>
    </dataValidation>
    <dataValidation type="decimal" allowBlank="1" showErrorMessage="1" errorTitle="Ошибка" error="Допускается ввод только действительных чисел!" sqref="BY56">
      <formula1>-9.99999999999999E+23</formula1>
      <formula2>9.99999999999999E+23</formula2>
    </dataValidation>
    <dataValidation type="decimal" allowBlank="1" showErrorMessage="1" errorTitle="Ошибка" error="Допускается ввод только действительных чисел!" sqref="BX56">
      <formula1>-9.99999999999999E+23</formula1>
      <formula2>9.99999999999999E+23</formula2>
    </dataValidation>
    <dataValidation type="decimal" allowBlank="1" showErrorMessage="1" errorTitle="Ошибка" error="Допускается ввод только действительных чисел!" sqref="BW56">
      <formula1>-9.99999999999999E+23</formula1>
      <formula2>9.99999999999999E+23</formula2>
    </dataValidation>
    <dataValidation type="decimal" allowBlank="1" showErrorMessage="1" errorTitle="Ошибка" error="Допускается ввод только действительных чисел!" sqref="BV56">
      <formula1>-9.99999999999999E+23</formula1>
      <formula2>9.99999999999999E+23</formula2>
    </dataValidation>
    <dataValidation type="decimal" allowBlank="1" showErrorMessage="1" errorTitle="Ошибка" error="Допускается ввод только действительных чисел!" sqref="BU56">
      <formula1>-9.99999999999999E+23</formula1>
      <formula2>9.99999999999999E+23</formula2>
    </dataValidation>
    <dataValidation type="decimal" allowBlank="1" showErrorMessage="1" errorTitle="Ошибка" error="Допускается ввод только действительных чисел!" sqref="BT56">
      <formula1>-9.99999999999999E+23</formula1>
      <formula2>9.99999999999999E+23</formula2>
    </dataValidation>
    <dataValidation type="decimal" allowBlank="1" showErrorMessage="1" errorTitle="Ошибка" error="Допускается ввод только действительных чисел!" sqref="AB56">
      <formula1>-9.99999999999999E+23</formula1>
      <formula2>9.99999999999999E+23</formula2>
    </dataValidation>
    <dataValidation type="decimal" allowBlank="1" showErrorMessage="1" errorTitle="Ошибка" error="Допускается ввод только действительных чисел!" sqref="AA56">
      <formula1>-9.99999999999999E+23</formula1>
      <formula2>9.99999999999999E+23</formula2>
    </dataValidation>
    <dataValidation type="decimal" allowBlank="1" showErrorMessage="1" errorTitle="Ошибка" error="Допускается ввод только действительных чисел!" sqref="Z56">
      <formula1>-9.99999999999999E+23</formula1>
      <formula2>9.99999999999999E+23</formula2>
    </dataValidation>
    <dataValidation type="decimal" allowBlank="1" showErrorMessage="1" errorTitle="Ошибка" error="Допускается ввод только действительных чисел!" sqref="Y56">
      <formula1>-9.99999999999999E+23</formula1>
      <formula2>9.99999999999999E+23</formula2>
    </dataValidation>
    <dataValidation type="decimal" allowBlank="1" showErrorMessage="1" errorTitle="Ошибка" error="Допускается ввод только действительных чисел!" sqref="X56">
      <formula1>-9.99999999999999E+23</formula1>
      <formula2>9.99999999999999E+23</formula2>
    </dataValidation>
    <dataValidation type="decimal" allowBlank="1" showErrorMessage="1" errorTitle="Ошибка" error="Допускается ввод только действительных чисел!" sqref="W56">
      <formula1>-9.99999999999999E+23</formula1>
      <formula2>9.99999999999999E+23</formula2>
    </dataValidation>
    <dataValidation type="decimal" allowBlank="1" showErrorMessage="1" errorTitle="Ошибка" error="Допускается ввод только действительных чисел!" sqref="V56">
      <formula1>-9.99999999999999E+23</formula1>
      <formula2>9.99999999999999E+23</formula2>
    </dataValidation>
    <dataValidation type="decimal" allowBlank="1" showErrorMessage="1" errorTitle="Ошибка" error="Допускается ввод только действительных чисел!" sqref="U56">
      <formula1>-9.99999999999999E+23</formula1>
      <formula2>9.99999999999999E+23</formula2>
    </dataValidation>
    <dataValidation type="decimal" allowBlank="1" showErrorMessage="1" errorTitle="Ошибка" error="Допускается ввод только действительных чисел!" sqref="T56">
      <formula1>-9.99999999999999E+23</formula1>
      <formula2>9.99999999999999E+23</formula2>
    </dataValidation>
    <dataValidation type="decimal" allowBlank="1" showErrorMessage="1" errorTitle="Ошибка" error="Допускается ввод только действительных чисел!" sqref="S56">
      <formula1>-9.99999999999999E+23</formula1>
      <formula2>9.99999999999999E+23</formula2>
    </dataValidation>
    <dataValidation type="decimal" allowBlank="1" showErrorMessage="1" errorTitle="Ошибка" error="Допускается ввод только действительных чисел!" sqref="R56">
      <formula1>-9.99999999999999E+23</formula1>
      <formula2>9.99999999999999E+23</formula2>
    </dataValidation>
    <dataValidation type="decimal" allowBlank="1" showErrorMessage="1" errorTitle="Ошибка" error="Допускается ввод только действительных чисел!" sqref="Q56">
      <formula1>-9.99999999999999E+23</formula1>
      <formula2>9.99999999999999E+23</formula2>
    </dataValidation>
    <dataValidation type="decimal" allowBlank="1" showErrorMessage="1" errorTitle="Ошибка" error="Допускается ввод только действительных чисел!" sqref="P56">
      <formula1>-9.99999999999999E+23</formula1>
      <formula2>9.99999999999999E+23</formula2>
    </dataValidation>
    <dataValidation type="decimal" allowBlank="1" showErrorMessage="1" errorTitle="Ошибка" error="Допускается ввод только действительных чисел!" sqref="O5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6">
      <formula1>900</formula1>
    </dataValidation>
    <dataValidation type="list" allowBlank="1" showInputMessage="1" showErrorMessage="1" errorTitle="Ошибка" error="Выберите значение из списка" prompt="Выберите значение из списка" sqref="H56">
      <formula1>QRE_METHOD_LIST</formula1>
    </dataValidation>
    <dataValidation type="decimal" allowBlank="1" showErrorMessage="1" errorTitle="Ошибка" error="Допускается ввод только действительных чисел!" sqref="DJ55">
      <formula1>-9.99999999999999E+23</formula1>
      <formula2>9.99999999999999E+23</formula2>
    </dataValidation>
    <dataValidation type="decimal" allowBlank="1" showErrorMessage="1" errorTitle="Ошибка" error="Допускается ввод только действительных чисел!" sqref="DI55">
      <formula1>-9.99999999999999E+23</formula1>
      <formula2>9.99999999999999E+23</formula2>
    </dataValidation>
    <dataValidation type="decimal" allowBlank="1" showErrorMessage="1" errorTitle="Ошибка" error="Допускается ввод только действительных чисел!" sqref="DH55">
      <formula1>-9.99999999999999E+23</formula1>
      <formula2>9.99999999999999E+23</formula2>
    </dataValidation>
    <dataValidation type="decimal" allowBlank="1" showErrorMessage="1" errorTitle="Ошибка" error="Допускается ввод только действительных чисел!" sqref="DG55">
      <formula1>-9.99999999999999E+23</formula1>
      <formula2>9.99999999999999E+23</formula2>
    </dataValidation>
    <dataValidation type="decimal" allowBlank="1" showErrorMessage="1" errorTitle="Ошибка" error="Допускается ввод только действительных чисел!" sqref="DF55">
      <formula1>-9.99999999999999E+23</formula1>
      <formula2>9.99999999999999E+23</formula2>
    </dataValidation>
    <dataValidation type="decimal" allowBlank="1" showErrorMessage="1" errorTitle="Ошибка" error="Допускается ввод только действительных чисел!" sqref="DE55">
      <formula1>-9.99999999999999E+23</formula1>
      <formula2>9.99999999999999E+23</formula2>
    </dataValidation>
    <dataValidation type="decimal" allowBlank="1" showErrorMessage="1" errorTitle="Ошибка" error="Допускается ввод только действительных чисел!" sqref="DD55">
      <formula1>-9.99999999999999E+23</formula1>
      <formula2>9.99999999999999E+23</formula2>
    </dataValidation>
    <dataValidation type="decimal" allowBlank="1" showErrorMessage="1" errorTitle="Ошибка" error="Допускается ввод только действительных чисел!" sqref="DC55">
      <formula1>-9.99999999999999E+23</formula1>
      <formula2>9.99999999999999E+23</formula2>
    </dataValidation>
    <dataValidation type="decimal" allowBlank="1" showErrorMessage="1" errorTitle="Ошибка" error="Допускается ввод только действительных чисел!" sqref="DB55">
      <formula1>-9.99999999999999E+23</formula1>
      <formula2>9.99999999999999E+23</formula2>
    </dataValidation>
    <dataValidation type="decimal" allowBlank="1" showErrorMessage="1" errorTitle="Ошибка" error="Допускается ввод только действительных чисел!" sqref="DA55">
      <formula1>-9.99999999999999E+23</formula1>
      <formula2>9.99999999999999E+23</formula2>
    </dataValidation>
    <dataValidation type="decimal" allowBlank="1" showErrorMessage="1" errorTitle="Ошибка" error="Допускается ввод только действительных чисел!" sqref="CZ55">
      <formula1>-9.99999999999999E+23</formula1>
      <formula2>9.99999999999999E+23</formula2>
    </dataValidation>
    <dataValidation type="decimal" allowBlank="1" showErrorMessage="1" errorTitle="Ошибка" error="Допускается ввод только действительных чисел!" sqref="CY55">
      <formula1>-9.99999999999999E+23</formula1>
      <formula2>9.99999999999999E+23</formula2>
    </dataValidation>
    <dataValidation type="decimal" allowBlank="1" showErrorMessage="1" errorTitle="Ошибка" error="Допускается ввод только действительных чисел!" sqref="CK55">
      <formula1>-9.99999999999999E+23</formula1>
      <formula2>9.99999999999999E+23</formula2>
    </dataValidation>
    <dataValidation type="decimal" allowBlank="1" showErrorMessage="1" errorTitle="Ошибка" error="Допускается ввод только действительных чисел!" sqref="CJ55">
      <formula1>-9.99999999999999E+23</formula1>
      <formula2>9.99999999999999E+23</formula2>
    </dataValidation>
    <dataValidation type="decimal" allowBlank="1" showErrorMessage="1" errorTitle="Ошибка" error="Допускается ввод только действительных чисел!" sqref="CI55">
      <formula1>-9.99999999999999E+23</formula1>
      <formula2>9.99999999999999E+23</formula2>
    </dataValidation>
    <dataValidation type="decimal" allowBlank="1" showErrorMessage="1" errorTitle="Ошибка" error="Допускается ввод только действительных чисел!" sqref="CH55">
      <formula1>-9.99999999999999E+23</formula1>
      <formula2>9.99999999999999E+23</formula2>
    </dataValidation>
    <dataValidation type="decimal" allowBlank="1" showErrorMessage="1" errorTitle="Ошибка" error="Допускается ввод только действительных чисел!" sqref="CG55">
      <formula1>-9.99999999999999E+23</formula1>
      <formula2>9.99999999999999E+23</formula2>
    </dataValidation>
    <dataValidation type="decimal" allowBlank="1" showErrorMessage="1" errorTitle="Ошибка" error="Допускается ввод только действительных чисел!" sqref="CF55">
      <formula1>-9.99999999999999E+23</formula1>
      <formula2>9.99999999999999E+23</formula2>
    </dataValidation>
    <dataValidation type="decimal" allowBlank="1" showErrorMessage="1" errorTitle="Ошибка" error="Допускается ввод только действительных чисел!" sqref="CE55">
      <formula1>-9.99999999999999E+23</formula1>
      <formula2>9.99999999999999E+23</formula2>
    </dataValidation>
    <dataValidation type="decimal" allowBlank="1" showErrorMessage="1" errorTitle="Ошибка" error="Допускается ввод только действительных чисел!" sqref="CD55">
      <formula1>-9.99999999999999E+23</formula1>
      <formula2>9.99999999999999E+23</formula2>
    </dataValidation>
    <dataValidation type="decimal" allowBlank="1" showErrorMessage="1" errorTitle="Ошибка" error="Допускается ввод только действительных чисел!" sqref="CC55">
      <formula1>-9.99999999999999E+23</formula1>
      <formula2>9.99999999999999E+23</formula2>
    </dataValidation>
    <dataValidation type="decimal" allowBlank="1" showErrorMessage="1" errorTitle="Ошибка" error="Допускается ввод только действительных чисел!" sqref="CB55">
      <formula1>-9.99999999999999E+23</formula1>
      <formula2>9.99999999999999E+23</formula2>
    </dataValidation>
    <dataValidation type="decimal" allowBlank="1" showErrorMessage="1" errorTitle="Ошибка" error="Допускается ввод только действительных чисел!" sqref="CA55">
      <formula1>-9.99999999999999E+23</formula1>
      <formula2>9.99999999999999E+23</formula2>
    </dataValidation>
    <dataValidation type="decimal" allowBlank="1" showErrorMessage="1" errorTitle="Ошибка" error="Допускается ввод только действительных чисел!" sqref="BZ55">
      <formula1>-9.99999999999999E+23</formula1>
      <formula2>9.99999999999999E+23</formula2>
    </dataValidation>
    <dataValidation type="decimal" allowBlank="1" showErrorMessage="1" errorTitle="Ошибка" error="Допускается ввод только действительных чисел!" sqref="BY55">
      <formula1>-9.99999999999999E+23</formula1>
      <formula2>9.99999999999999E+23</formula2>
    </dataValidation>
    <dataValidation type="decimal" allowBlank="1" showErrorMessage="1" errorTitle="Ошибка" error="Допускается ввод только действительных чисел!" sqref="BX55">
      <formula1>-9.99999999999999E+23</formula1>
      <formula2>9.99999999999999E+23</formula2>
    </dataValidation>
    <dataValidation type="decimal" allowBlank="1" showErrorMessage="1" errorTitle="Ошибка" error="Допускается ввод только действительных чисел!" sqref="BW55">
      <formula1>-9.99999999999999E+23</formula1>
      <formula2>9.99999999999999E+23</formula2>
    </dataValidation>
    <dataValidation type="decimal" allowBlank="1" showErrorMessage="1" errorTitle="Ошибка" error="Допускается ввод только действительных чисел!" sqref="BV55">
      <formula1>-9.99999999999999E+23</formula1>
      <formula2>9.99999999999999E+23</formula2>
    </dataValidation>
    <dataValidation type="decimal" allowBlank="1" showErrorMessage="1" errorTitle="Ошибка" error="Допускается ввод только действительных чисел!" sqref="BU55">
      <formula1>-9.99999999999999E+23</formula1>
      <formula2>9.99999999999999E+23</formula2>
    </dataValidation>
    <dataValidation type="decimal" allowBlank="1" showErrorMessage="1" errorTitle="Ошибка" error="Допускается ввод только действительных чисел!" sqref="BT55">
      <formula1>-9.99999999999999E+23</formula1>
      <formula2>9.99999999999999E+23</formula2>
    </dataValidation>
    <dataValidation type="decimal" allowBlank="1" showErrorMessage="1" errorTitle="Ошибка" error="Допускается ввод только действительных чисел!" sqref="AB55">
      <formula1>-9.99999999999999E+23</formula1>
      <formula2>9.99999999999999E+23</formula2>
    </dataValidation>
    <dataValidation type="decimal" allowBlank="1" showErrorMessage="1" errorTitle="Ошибка" error="Допускается ввод только действительных чисел!" sqref="AA55">
      <formula1>-9.99999999999999E+23</formula1>
      <formula2>9.99999999999999E+23</formula2>
    </dataValidation>
    <dataValidation type="decimal" allowBlank="1" showErrorMessage="1" errorTitle="Ошибка" error="Допускается ввод только действительных чисел!" sqref="Z55">
      <formula1>-9.99999999999999E+23</formula1>
      <formula2>9.99999999999999E+23</formula2>
    </dataValidation>
    <dataValidation type="decimal" allowBlank="1" showErrorMessage="1" errorTitle="Ошибка" error="Допускается ввод только действительных чисел!" sqref="Y55">
      <formula1>-9.99999999999999E+23</formula1>
      <formula2>9.99999999999999E+23</formula2>
    </dataValidation>
    <dataValidation type="decimal" allowBlank="1" showErrorMessage="1" errorTitle="Ошибка" error="Допускается ввод только действительных чисел!" sqref="X55">
      <formula1>-9.99999999999999E+23</formula1>
      <formula2>9.99999999999999E+23</formula2>
    </dataValidation>
    <dataValidation type="decimal" allowBlank="1" showErrorMessage="1" errorTitle="Ошибка" error="Допускается ввод только действительных чисел!" sqref="W55">
      <formula1>-9.99999999999999E+23</formula1>
      <formula2>9.99999999999999E+23</formula2>
    </dataValidation>
    <dataValidation type="decimal" allowBlank="1" showErrorMessage="1" errorTitle="Ошибка" error="Допускается ввод только действительных чисел!" sqref="V55">
      <formula1>-9.99999999999999E+23</formula1>
      <formula2>9.99999999999999E+23</formula2>
    </dataValidation>
    <dataValidation type="decimal" allowBlank="1" showErrorMessage="1" errorTitle="Ошибка" error="Допускается ввод только действительных чисел!" sqref="U55">
      <formula1>-9.99999999999999E+23</formula1>
      <formula2>9.99999999999999E+23</formula2>
    </dataValidation>
    <dataValidation type="decimal" allowBlank="1" showErrorMessage="1" errorTitle="Ошибка" error="Допускается ввод только действительных чисел!" sqref="T55">
      <formula1>-9.99999999999999E+23</formula1>
      <formula2>9.99999999999999E+23</formula2>
    </dataValidation>
    <dataValidation type="decimal" allowBlank="1" showErrorMessage="1" errorTitle="Ошибка" error="Допускается ввод только действительных чисел!" sqref="S55">
      <formula1>-9.99999999999999E+23</formula1>
      <formula2>9.99999999999999E+23</formula2>
    </dataValidation>
    <dataValidation type="decimal" allowBlank="1" showErrorMessage="1" errorTitle="Ошибка" error="Допускается ввод только действительных чисел!" sqref="R55">
      <formula1>-9.99999999999999E+23</formula1>
      <formula2>9.99999999999999E+23</formula2>
    </dataValidation>
    <dataValidation type="decimal" allowBlank="1" showErrorMessage="1" errorTitle="Ошибка" error="Допускается ввод только действительных чисел!" sqref="Q55">
      <formula1>-9.99999999999999E+23</formula1>
      <formula2>9.99999999999999E+23</formula2>
    </dataValidation>
    <dataValidation type="decimal" allowBlank="1" showErrorMessage="1" errorTitle="Ошибка" error="Допускается ввод только действительных чисел!" sqref="P55">
      <formula1>-9.99999999999999E+23</formula1>
      <formula2>9.99999999999999E+23</formula2>
    </dataValidation>
    <dataValidation type="decimal" allowBlank="1" showErrorMessage="1" errorTitle="Ошибка" error="Допускается ввод только действительных чисел!" sqref="O5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5">
      <formula1>900</formula1>
    </dataValidation>
    <dataValidation type="list" allowBlank="1" showInputMessage="1" showErrorMessage="1" errorTitle="Ошибка" error="Выберите значение из списка" prompt="Выберите значение из списка" sqref="H55">
      <formula1>QRE_METHOD_LIST</formula1>
    </dataValidation>
    <dataValidation type="decimal" allowBlank="1" showErrorMessage="1" errorTitle="Ошибка" error="Допускается ввод только действительных чисел!" sqref="DJ54">
      <formula1>-9.99999999999999E+23</formula1>
      <formula2>9.99999999999999E+23</formula2>
    </dataValidation>
    <dataValidation type="decimal" allowBlank="1" showErrorMessage="1" errorTitle="Ошибка" error="Допускается ввод только действительных чисел!" sqref="DI54">
      <formula1>-9.99999999999999E+23</formula1>
      <formula2>9.99999999999999E+23</formula2>
    </dataValidation>
    <dataValidation type="decimal" allowBlank="1" showErrorMessage="1" errorTitle="Ошибка" error="Допускается ввод только действительных чисел!" sqref="DH54">
      <formula1>-9.99999999999999E+23</formula1>
      <formula2>9.99999999999999E+23</formula2>
    </dataValidation>
    <dataValidation type="decimal" allowBlank="1" showErrorMessage="1" errorTitle="Ошибка" error="Допускается ввод только действительных чисел!" sqref="DG54">
      <formula1>-9.99999999999999E+23</formula1>
      <formula2>9.99999999999999E+23</formula2>
    </dataValidation>
    <dataValidation type="decimal" allowBlank="1" showErrorMessage="1" errorTitle="Ошибка" error="Допускается ввод только действительных чисел!" sqref="DF54">
      <formula1>-9.99999999999999E+23</formula1>
      <formula2>9.99999999999999E+23</formula2>
    </dataValidation>
    <dataValidation type="decimal" allowBlank="1" showErrorMessage="1" errorTitle="Ошибка" error="Допускается ввод только действительных чисел!" sqref="DE54">
      <formula1>-9.99999999999999E+23</formula1>
      <formula2>9.99999999999999E+23</formula2>
    </dataValidation>
    <dataValidation type="decimal" allowBlank="1" showErrorMessage="1" errorTitle="Ошибка" error="Допускается ввод только действительных чисел!" sqref="DD54">
      <formula1>-9.99999999999999E+23</formula1>
      <formula2>9.99999999999999E+23</formula2>
    </dataValidation>
    <dataValidation type="decimal" allowBlank="1" showErrorMessage="1" errorTitle="Ошибка" error="Допускается ввод только действительных чисел!" sqref="DC54">
      <formula1>-9.99999999999999E+23</formula1>
      <formula2>9.99999999999999E+23</formula2>
    </dataValidation>
    <dataValidation type="decimal" allowBlank="1" showErrorMessage="1" errorTitle="Ошибка" error="Допускается ввод только действительных чисел!" sqref="DB54">
      <formula1>-9.99999999999999E+23</formula1>
      <formula2>9.99999999999999E+23</formula2>
    </dataValidation>
    <dataValidation type="decimal" allowBlank="1" showErrorMessage="1" errorTitle="Ошибка" error="Допускается ввод только действительных чисел!" sqref="DA54">
      <formula1>-9.99999999999999E+23</formula1>
      <formula2>9.99999999999999E+23</formula2>
    </dataValidation>
    <dataValidation type="decimal" allowBlank="1" showErrorMessage="1" errorTitle="Ошибка" error="Допускается ввод только действительных чисел!" sqref="CZ54">
      <formula1>-9.99999999999999E+23</formula1>
      <formula2>9.99999999999999E+23</formula2>
    </dataValidation>
    <dataValidation type="decimal" allowBlank="1" showErrorMessage="1" errorTitle="Ошибка" error="Допускается ввод только действительных чисел!" sqref="CY54">
      <formula1>-9.99999999999999E+23</formula1>
      <formula2>9.99999999999999E+23</formula2>
    </dataValidation>
    <dataValidation type="decimal" allowBlank="1" showErrorMessage="1" errorTitle="Ошибка" error="Допускается ввод только действительных чисел!" sqref="CK54">
      <formula1>-9.99999999999999E+23</formula1>
      <formula2>9.99999999999999E+23</formula2>
    </dataValidation>
    <dataValidation type="decimal" allowBlank="1" showErrorMessage="1" errorTitle="Ошибка" error="Допускается ввод только действительных чисел!" sqref="CJ54">
      <formula1>-9.99999999999999E+23</formula1>
      <formula2>9.99999999999999E+23</formula2>
    </dataValidation>
    <dataValidation type="decimal" allowBlank="1" showErrorMessage="1" errorTitle="Ошибка" error="Допускается ввод только действительных чисел!" sqref="CI54">
      <formula1>-9.99999999999999E+23</formula1>
      <formula2>9.99999999999999E+23</formula2>
    </dataValidation>
    <dataValidation type="decimal" allowBlank="1" showErrorMessage="1" errorTitle="Ошибка" error="Допускается ввод только действительных чисел!" sqref="CH54">
      <formula1>-9.99999999999999E+23</formula1>
      <formula2>9.99999999999999E+23</formula2>
    </dataValidation>
    <dataValidation type="decimal" allowBlank="1" showErrorMessage="1" errorTitle="Ошибка" error="Допускается ввод только действительных чисел!" sqref="CG54">
      <formula1>-9.99999999999999E+23</formula1>
      <formula2>9.99999999999999E+23</formula2>
    </dataValidation>
    <dataValidation type="decimal" allowBlank="1" showErrorMessage="1" errorTitle="Ошибка" error="Допускается ввод только действительных чисел!" sqref="CF54">
      <formula1>-9.99999999999999E+23</formula1>
      <formula2>9.99999999999999E+23</formula2>
    </dataValidation>
    <dataValidation type="decimal" allowBlank="1" showErrorMessage="1" errorTitle="Ошибка" error="Допускается ввод только действительных чисел!" sqref="CE54">
      <formula1>-9.99999999999999E+23</formula1>
      <formula2>9.99999999999999E+23</formula2>
    </dataValidation>
    <dataValidation type="decimal" allowBlank="1" showErrorMessage="1" errorTitle="Ошибка" error="Допускается ввод только действительных чисел!" sqref="CD54">
      <formula1>-9.99999999999999E+23</formula1>
      <formula2>9.99999999999999E+23</formula2>
    </dataValidation>
    <dataValidation type="decimal" allowBlank="1" showErrorMessage="1" errorTitle="Ошибка" error="Допускается ввод только действительных чисел!" sqref="CC54">
      <formula1>-9.99999999999999E+23</formula1>
      <formula2>9.99999999999999E+23</formula2>
    </dataValidation>
    <dataValidation type="decimal" allowBlank="1" showErrorMessage="1" errorTitle="Ошибка" error="Допускается ввод только действительных чисел!" sqref="CB54">
      <formula1>-9.99999999999999E+23</formula1>
      <formula2>9.99999999999999E+23</formula2>
    </dataValidation>
    <dataValidation type="decimal" allowBlank="1" showErrorMessage="1" errorTitle="Ошибка" error="Допускается ввод только действительных чисел!" sqref="CA54">
      <formula1>-9.99999999999999E+23</formula1>
      <formula2>9.99999999999999E+23</formula2>
    </dataValidation>
    <dataValidation type="decimal" allowBlank="1" showErrorMessage="1" errorTitle="Ошибка" error="Допускается ввод только действительных чисел!" sqref="BZ54">
      <formula1>-9.99999999999999E+23</formula1>
      <formula2>9.99999999999999E+23</formula2>
    </dataValidation>
    <dataValidation type="decimal" allowBlank="1" showErrorMessage="1" errorTitle="Ошибка" error="Допускается ввод только действительных чисел!" sqref="BY54">
      <formula1>-9.99999999999999E+23</formula1>
      <formula2>9.99999999999999E+23</formula2>
    </dataValidation>
    <dataValidation type="decimal" allowBlank="1" showErrorMessage="1" errorTitle="Ошибка" error="Допускается ввод только действительных чисел!" sqref="BX54">
      <formula1>-9.99999999999999E+23</formula1>
      <formula2>9.99999999999999E+23</formula2>
    </dataValidation>
    <dataValidation type="decimal" allowBlank="1" showErrorMessage="1" errorTitle="Ошибка" error="Допускается ввод только действительных чисел!" sqref="BW54">
      <formula1>-9.99999999999999E+23</formula1>
      <formula2>9.99999999999999E+23</formula2>
    </dataValidation>
    <dataValidation type="decimal" allowBlank="1" showErrorMessage="1" errorTitle="Ошибка" error="Допускается ввод только действительных чисел!" sqref="BV54">
      <formula1>-9.99999999999999E+23</formula1>
      <formula2>9.99999999999999E+23</formula2>
    </dataValidation>
    <dataValidation type="decimal" allowBlank="1" showErrorMessage="1" errorTitle="Ошибка" error="Допускается ввод только действительных чисел!" sqref="BU54">
      <formula1>-9.99999999999999E+23</formula1>
      <formula2>9.99999999999999E+23</formula2>
    </dataValidation>
    <dataValidation type="decimal" allowBlank="1" showErrorMessage="1" errorTitle="Ошибка" error="Допускается ввод только действительных чисел!" sqref="BT54">
      <formula1>-9.99999999999999E+23</formula1>
      <formula2>9.99999999999999E+23</formula2>
    </dataValidation>
    <dataValidation type="decimal" allowBlank="1" showErrorMessage="1" errorTitle="Ошибка" error="Допускается ввод только действительных чисел!" sqref="AB54">
      <formula1>-9.99999999999999E+23</formula1>
      <formula2>9.99999999999999E+23</formula2>
    </dataValidation>
    <dataValidation type="decimal" allowBlank="1" showErrorMessage="1" errorTitle="Ошибка" error="Допускается ввод только действительных чисел!" sqref="AA54">
      <formula1>-9.99999999999999E+23</formula1>
      <formula2>9.99999999999999E+23</formula2>
    </dataValidation>
    <dataValidation type="decimal" allowBlank="1" showErrorMessage="1" errorTitle="Ошибка" error="Допускается ввод только действительных чисел!" sqref="Z54">
      <formula1>-9.99999999999999E+23</formula1>
      <formula2>9.99999999999999E+23</formula2>
    </dataValidation>
    <dataValidation type="decimal" allowBlank="1" showErrorMessage="1" errorTitle="Ошибка" error="Допускается ввод только действительных чисел!" sqref="Y54">
      <formula1>-9.99999999999999E+23</formula1>
      <formula2>9.99999999999999E+23</formula2>
    </dataValidation>
    <dataValidation type="decimal" allowBlank="1" showErrorMessage="1" errorTitle="Ошибка" error="Допускается ввод только действительных чисел!" sqref="X54">
      <formula1>-9.99999999999999E+23</formula1>
      <formula2>9.99999999999999E+23</formula2>
    </dataValidation>
    <dataValidation type="decimal" allowBlank="1" showErrorMessage="1" errorTitle="Ошибка" error="Допускается ввод только действительных чисел!" sqref="W54">
      <formula1>-9.99999999999999E+23</formula1>
      <formula2>9.99999999999999E+23</formula2>
    </dataValidation>
    <dataValidation type="decimal" allowBlank="1" showErrorMessage="1" errorTitle="Ошибка" error="Допускается ввод только действительных чисел!" sqref="V54">
      <formula1>-9.99999999999999E+23</formula1>
      <formula2>9.99999999999999E+23</formula2>
    </dataValidation>
    <dataValidation type="decimal" allowBlank="1" showErrorMessage="1" errorTitle="Ошибка" error="Допускается ввод только действительных чисел!" sqref="U54">
      <formula1>-9.99999999999999E+23</formula1>
      <formula2>9.99999999999999E+23</formula2>
    </dataValidation>
    <dataValidation type="decimal" allowBlank="1" showErrorMessage="1" errorTitle="Ошибка" error="Допускается ввод только действительных чисел!" sqref="T54">
      <formula1>-9.99999999999999E+23</formula1>
      <formula2>9.99999999999999E+23</formula2>
    </dataValidation>
    <dataValidation type="decimal" allowBlank="1" showErrorMessage="1" errorTitle="Ошибка" error="Допускается ввод только действительных чисел!" sqref="S54">
      <formula1>-9.99999999999999E+23</formula1>
      <formula2>9.99999999999999E+23</formula2>
    </dataValidation>
    <dataValidation type="decimal" allowBlank="1" showErrorMessage="1" errorTitle="Ошибка" error="Допускается ввод только действительных чисел!" sqref="R54">
      <formula1>-9.99999999999999E+23</formula1>
      <formula2>9.99999999999999E+23</formula2>
    </dataValidation>
    <dataValidation type="decimal" allowBlank="1" showErrorMessage="1" errorTitle="Ошибка" error="Допускается ввод только действительных чисел!" sqref="Q54">
      <formula1>-9.99999999999999E+23</formula1>
      <formula2>9.99999999999999E+23</formula2>
    </dataValidation>
    <dataValidation type="decimal" allowBlank="1" showErrorMessage="1" errorTitle="Ошибка" error="Допускается ввод только действительных чисел!" sqref="P54">
      <formula1>-9.99999999999999E+23</formula1>
      <formula2>9.99999999999999E+23</formula2>
    </dataValidation>
    <dataValidation type="decimal" allowBlank="1" showErrorMessage="1" errorTitle="Ошибка" error="Допускается ввод только действительных чисел!" sqref="O5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4">
      <formula1>900</formula1>
    </dataValidation>
    <dataValidation type="list" allowBlank="1" showInputMessage="1" showErrorMessage="1" errorTitle="Ошибка" error="Выберите значение из списка" prompt="Выберите значение из списка" sqref="H54">
      <formula1>QRE_METHOD_LIST</formula1>
    </dataValidation>
    <dataValidation type="decimal" allowBlank="1" showErrorMessage="1" errorTitle="Ошибка" error="Допускается ввод только действительных чисел!" sqref="DJ53">
      <formula1>-9.99999999999999E+23</formula1>
      <formula2>9.99999999999999E+23</formula2>
    </dataValidation>
    <dataValidation type="decimal" allowBlank="1" showErrorMessage="1" errorTitle="Ошибка" error="Допускается ввод только действительных чисел!" sqref="DI53">
      <formula1>-9.99999999999999E+23</formula1>
      <formula2>9.99999999999999E+23</formula2>
    </dataValidation>
    <dataValidation type="decimal" allowBlank="1" showErrorMessage="1" errorTitle="Ошибка" error="Допускается ввод только действительных чисел!" sqref="DH53">
      <formula1>-9.99999999999999E+23</formula1>
      <formula2>9.99999999999999E+23</formula2>
    </dataValidation>
    <dataValidation type="decimal" allowBlank="1" showErrorMessage="1" errorTitle="Ошибка" error="Допускается ввод только действительных чисел!" sqref="DG53">
      <formula1>-9.99999999999999E+23</formula1>
      <formula2>9.99999999999999E+23</formula2>
    </dataValidation>
    <dataValidation type="decimal" allowBlank="1" showErrorMessage="1" errorTitle="Ошибка" error="Допускается ввод только действительных чисел!" sqref="DF53">
      <formula1>-9.99999999999999E+23</formula1>
      <formula2>9.99999999999999E+23</formula2>
    </dataValidation>
    <dataValidation type="decimal" allowBlank="1" showErrorMessage="1" errorTitle="Ошибка" error="Допускается ввод только действительных чисел!" sqref="DE53">
      <formula1>-9.99999999999999E+23</formula1>
      <formula2>9.99999999999999E+23</formula2>
    </dataValidation>
    <dataValidation type="decimal" allowBlank="1" showErrorMessage="1" errorTitle="Ошибка" error="Допускается ввод только действительных чисел!" sqref="DD53">
      <formula1>-9.99999999999999E+23</formula1>
      <formula2>9.99999999999999E+23</formula2>
    </dataValidation>
    <dataValidation type="decimal" allowBlank="1" showErrorMessage="1" errorTitle="Ошибка" error="Допускается ввод только действительных чисел!" sqref="DC53">
      <formula1>-9.99999999999999E+23</formula1>
      <formula2>9.99999999999999E+23</formula2>
    </dataValidation>
    <dataValidation type="decimal" allowBlank="1" showErrorMessage="1" errorTitle="Ошибка" error="Допускается ввод только действительных чисел!" sqref="DB53">
      <formula1>-9.99999999999999E+23</formula1>
      <formula2>9.99999999999999E+23</formula2>
    </dataValidation>
    <dataValidation type="decimal" allowBlank="1" showErrorMessage="1" errorTitle="Ошибка" error="Допускается ввод только действительных чисел!" sqref="DA53">
      <formula1>-9.99999999999999E+23</formula1>
      <formula2>9.99999999999999E+23</formula2>
    </dataValidation>
    <dataValidation type="decimal" allowBlank="1" showErrorMessage="1" errorTitle="Ошибка" error="Допускается ввод только действительных чисел!" sqref="CZ53">
      <formula1>-9.99999999999999E+23</formula1>
      <formula2>9.99999999999999E+23</formula2>
    </dataValidation>
    <dataValidation type="decimal" allowBlank="1" showErrorMessage="1" errorTitle="Ошибка" error="Допускается ввод только действительных чисел!" sqref="CY53">
      <formula1>-9.99999999999999E+23</formula1>
      <formula2>9.99999999999999E+23</formula2>
    </dataValidation>
    <dataValidation type="decimal" allowBlank="1" showErrorMessage="1" errorTitle="Ошибка" error="Допускается ввод только действительных чисел!" sqref="CK53">
      <formula1>-9.99999999999999E+23</formula1>
      <formula2>9.99999999999999E+23</formula2>
    </dataValidation>
    <dataValidation type="decimal" allowBlank="1" showErrorMessage="1" errorTitle="Ошибка" error="Допускается ввод только действительных чисел!" sqref="CJ53">
      <formula1>-9.99999999999999E+23</formula1>
      <formula2>9.99999999999999E+23</formula2>
    </dataValidation>
    <dataValidation type="decimal" allowBlank="1" showErrorMessage="1" errorTitle="Ошибка" error="Допускается ввод только действительных чисел!" sqref="CI53">
      <formula1>-9.99999999999999E+23</formula1>
      <formula2>9.99999999999999E+23</formula2>
    </dataValidation>
    <dataValidation type="decimal" allowBlank="1" showErrorMessage="1" errorTitle="Ошибка" error="Допускается ввод только действительных чисел!" sqref="CH53">
      <formula1>-9.99999999999999E+23</formula1>
      <formula2>9.99999999999999E+23</formula2>
    </dataValidation>
    <dataValidation type="decimal" allowBlank="1" showErrorMessage="1" errorTitle="Ошибка" error="Допускается ввод только действительных чисел!" sqref="CG53">
      <formula1>-9.99999999999999E+23</formula1>
      <formula2>9.99999999999999E+23</formula2>
    </dataValidation>
    <dataValidation type="decimal" allowBlank="1" showErrorMessage="1" errorTitle="Ошибка" error="Допускается ввод только действительных чисел!" sqref="CF53">
      <formula1>-9.99999999999999E+23</formula1>
      <formula2>9.99999999999999E+23</formula2>
    </dataValidation>
    <dataValidation type="decimal" allowBlank="1" showErrorMessage="1" errorTitle="Ошибка" error="Допускается ввод только действительных чисел!" sqref="CE53">
      <formula1>-9.99999999999999E+23</formula1>
      <formula2>9.99999999999999E+23</formula2>
    </dataValidation>
    <dataValidation type="decimal" allowBlank="1" showErrorMessage="1" errorTitle="Ошибка" error="Допускается ввод только действительных чисел!" sqref="CD53">
      <formula1>-9.99999999999999E+23</formula1>
      <formula2>9.99999999999999E+23</formula2>
    </dataValidation>
    <dataValidation type="decimal" allowBlank="1" showErrorMessage="1" errorTitle="Ошибка" error="Допускается ввод только действительных чисел!" sqref="CC53">
      <formula1>-9.99999999999999E+23</formula1>
      <formula2>9.99999999999999E+23</formula2>
    </dataValidation>
    <dataValidation type="decimal" allowBlank="1" showErrorMessage="1" errorTitle="Ошибка" error="Допускается ввод только действительных чисел!" sqref="CB53">
      <formula1>-9.99999999999999E+23</formula1>
      <formula2>9.99999999999999E+23</formula2>
    </dataValidation>
    <dataValidation type="decimal" allowBlank="1" showErrorMessage="1" errorTitle="Ошибка" error="Допускается ввод только действительных чисел!" sqref="CA53">
      <formula1>-9.99999999999999E+23</formula1>
      <formula2>9.99999999999999E+23</formula2>
    </dataValidation>
    <dataValidation type="decimal" allowBlank="1" showErrorMessage="1" errorTitle="Ошибка" error="Допускается ввод только действительных чисел!" sqref="BZ53">
      <formula1>-9.99999999999999E+23</formula1>
      <formula2>9.99999999999999E+23</formula2>
    </dataValidation>
    <dataValidation type="decimal" allowBlank="1" showErrorMessage="1" errorTitle="Ошибка" error="Допускается ввод только действительных чисел!" sqref="BY53">
      <formula1>-9.99999999999999E+23</formula1>
      <formula2>9.99999999999999E+23</formula2>
    </dataValidation>
    <dataValidation type="decimal" allowBlank="1" showErrorMessage="1" errorTitle="Ошибка" error="Допускается ввод только действительных чисел!" sqref="BX53">
      <formula1>-9.99999999999999E+23</formula1>
      <formula2>9.99999999999999E+23</formula2>
    </dataValidation>
    <dataValidation type="decimal" allowBlank="1" showErrorMessage="1" errorTitle="Ошибка" error="Допускается ввод только действительных чисел!" sqref="BW53">
      <formula1>-9.99999999999999E+23</formula1>
      <formula2>9.99999999999999E+23</formula2>
    </dataValidation>
    <dataValidation type="decimal" allowBlank="1" showErrorMessage="1" errorTitle="Ошибка" error="Допускается ввод только действительных чисел!" sqref="BV53">
      <formula1>-9.99999999999999E+23</formula1>
      <formula2>9.99999999999999E+23</formula2>
    </dataValidation>
    <dataValidation type="decimal" allowBlank="1" showErrorMessage="1" errorTitle="Ошибка" error="Допускается ввод только действительных чисел!" sqref="BU53">
      <formula1>-9.99999999999999E+23</formula1>
      <formula2>9.99999999999999E+23</formula2>
    </dataValidation>
    <dataValidation type="decimal" allowBlank="1" showErrorMessage="1" errorTitle="Ошибка" error="Допускается ввод только действительных чисел!" sqref="BT53">
      <formula1>-9.99999999999999E+23</formula1>
      <formula2>9.99999999999999E+23</formula2>
    </dataValidation>
    <dataValidation type="decimal" allowBlank="1" showErrorMessage="1" errorTitle="Ошибка" error="Допускается ввод только действительных чисел!" sqref="AB53">
      <formula1>-9.99999999999999E+23</formula1>
      <formula2>9.99999999999999E+23</formula2>
    </dataValidation>
    <dataValidation type="decimal" allowBlank="1" showErrorMessage="1" errorTitle="Ошибка" error="Допускается ввод только действительных чисел!" sqref="AA53">
      <formula1>-9.99999999999999E+23</formula1>
      <formula2>9.99999999999999E+23</formula2>
    </dataValidation>
    <dataValidation type="decimal" allowBlank="1" showErrorMessage="1" errorTitle="Ошибка" error="Допускается ввод только действительных чисел!" sqref="Z53">
      <formula1>-9.99999999999999E+23</formula1>
      <formula2>9.99999999999999E+23</formula2>
    </dataValidation>
    <dataValidation type="decimal" allowBlank="1" showErrorMessage="1" errorTitle="Ошибка" error="Допускается ввод только действительных чисел!" sqref="Y53">
      <formula1>-9.99999999999999E+23</formula1>
      <formula2>9.99999999999999E+23</formula2>
    </dataValidation>
    <dataValidation type="decimal" allowBlank="1" showErrorMessage="1" errorTitle="Ошибка" error="Допускается ввод только действительных чисел!" sqref="X53">
      <formula1>-9.99999999999999E+23</formula1>
      <formula2>9.99999999999999E+23</formula2>
    </dataValidation>
    <dataValidation type="decimal" allowBlank="1" showErrorMessage="1" errorTitle="Ошибка" error="Допускается ввод только действительных чисел!" sqref="W53">
      <formula1>-9.99999999999999E+23</formula1>
      <formula2>9.99999999999999E+23</formula2>
    </dataValidation>
    <dataValidation type="decimal" allowBlank="1" showErrorMessage="1" errorTitle="Ошибка" error="Допускается ввод только действительных чисел!" sqref="V53">
      <formula1>-9.99999999999999E+23</formula1>
      <formula2>9.99999999999999E+23</formula2>
    </dataValidation>
    <dataValidation type="decimal" allowBlank="1" showErrorMessage="1" errorTitle="Ошибка" error="Допускается ввод только действительных чисел!" sqref="U53">
      <formula1>-9.99999999999999E+23</formula1>
      <formula2>9.99999999999999E+23</formula2>
    </dataValidation>
    <dataValidation type="decimal" allowBlank="1" showErrorMessage="1" errorTitle="Ошибка" error="Допускается ввод только действительных чисел!" sqref="T53">
      <formula1>-9.99999999999999E+23</formula1>
      <formula2>9.99999999999999E+23</formula2>
    </dataValidation>
    <dataValidation type="decimal" allowBlank="1" showErrorMessage="1" errorTitle="Ошибка" error="Допускается ввод только действительных чисел!" sqref="S53">
      <formula1>-9.99999999999999E+23</formula1>
      <formula2>9.99999999999999E+23</formula2>
    </dataValidation>
    <dataValidation type="decimal" allowBlank="1" showErrorMessage="1" errorTitle="Ошибка" error="Допускается ввод только действительных чисел!" sqref="R53">
      <formula1>-9.99999999999999E+23</formula1>
      <formula2>9.99999999999999E+23</formula2>
    </dataValidation>
    <dataValidation type="decimal" allowBlank="1" showErrorMessage="1" errorTitle="Ошибка" error="Допускается ввод только действительных чисел!" sqref="Q53">
      <formula1>-9.99999999999999E+23</formula1>
      <formula2>9.99999999999999E+23</formula2>
    </dataValidation>
    <dataValidation type="decimal" allowBlank="1" showErrorMessage="1" errorTitle="Ошибка" error="Допускается ввод только действительных чисел!" sqref="P53">
      <formula1>-9.99999999999999E+23</formula1>
      <formula2>9.99999999999999E+23</formula2>
    </dataValidation>
    <dataValidation type="decimal" allowBlank="1" showErrorMessage="1" errorTitle="Ошибка" error="Допускается ввод только действительных чисел!" sqref="O5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3">
      <formula1>900</formula1>
    </dataValidation>
    <dataValidation type="list" allowBlank="1" showInputMessage="1" showErrorMessage="1" errorTitle="Ошибка" error="Выберите значение из списка" prompt="Выберите значение из списка" sqref="H53">
      <formula1>QRE_METHOD_LIST</formula1>
    </dataValidation>
    <dataValidation type="decimal" allowBlank="1" showErrorMessage="1" errorTitle="Ошибка" error="Допускается ввод только действительных чисел!" sqref="DJ52">
      <formula1>-9.99999999999999E+23</formula1>
      <formula2>9.99999999999999E+23</formula2>
    </dataValidation>
    <dataValidation type="decimal" allowBlank="1" showErrorMessage="1" errorTitle="Ошибка" error="Допускается ввод только действительных чисел!" sqref="DI52">
      <formula1>-9.99999999999999E+23</formula1>
      <formula2>9.99999999999999E+23</formula2>
    </dataValidation>
    <dataValidation type="decimal" allowBlank="1" showErrorMessage="1" errorTitle="Ошибка" error="Допускается ввод только действительных чисел!" sqref="DH52">
      <formula1>-9.99999999999999E+23</formula1>
      <formula2>9.99999999999999E+23</formula2>
    </dataValidation>
    <dataValidation type="decimal" allowBlank="1" showErrorMessage="1" errorTitle="Ошибка" error="Допускается ввод только действительных чисел!" sqref="DG52">
      <formula1>-9.99999999999999E+23</formula1>
      <formula2>9.99999999999999E+23</formula2>
    </dataValidation>
    <dataValidation type="decimal" allowBlank="1" showErrorMessage="1" errorTitle="Ошибка" error="Допускается ввод только действительных чисел!" sqref="DF52">
      <formula1>-9.99999999999999E+23</formula1>
      <formula2>9.99999999999999E+23</formula2>
    </dataValidation>
    <dataValidation type="decimal" allowBlank="1" showErrorMessage="1" errorTitle="Ошибка" error="Допускается ввод только действительных чисел!" sqref="DE52">
      <formula1>-9.99999999999999E+23</formula1>
      <formula2>9.99999999999999E+23</formula2>
    </dataValidation>
    <dataValidation type="decimal" allowBlank="1" showErrorMessage="1" errorTitle="Ошибка" error="Допускается ввод только действительных чисел!" sqref="DD52">
      <formula1>-9.99999999999999E+23</formula1>
      <formula2>9.99999999999999E+23</formula2>
    </dataValidation>
    <dataValidation type="decimal" allowBlank="1" showErrorMessage="1" errorTitle="Ошибка" error="Допускается ввод только действительных чисел!" sqref="DC52">
      <formula1>-9.99999999999999E+23</formula1>
      <formula2>9.99999999999999E+23</formula2>
    </dataValidation>
    <dataValidation type="decimal" allowBlank="1" showErrorMessage="1" errorTitle="Ошибка" error="Допускается ввод только действительных чисел!" sqref="DB52">
      <formula1>-9.99999999999999E+23</formula1>
      <formula2>9.99999999999999E+23</formula2>
    </dataValidation>
    <dataValidation type="decimal" allowBlank="1" showErrorMessage="1" errorTitle="Ошибка" error="Допускается ввод только действительных чисел!" sqref="DA52">
      <formula1>-9.99999999999999E+23</formula1>
      <formula2>9.99999999999999E+23</formula2>
    </dataValidation>
    <dataValidation type="decimal" allowBlank="1" showErrorMessage="1" errorTitle="Ошибка" error="Допускается ввод только действительных чисел!" sqref="CZ52">
      <formula1>-9.99999999999999E+23</formula1>
      <formula2>9.99999999999999E+23</formula2>
    </dataValidation>
    <dataValidation type="decimal" allowBlank="1" showErrorMessage="1" errorTitle="Ошибка" error="Допускается ввод только действительных чисел!" sqref="CY52">
      <formula1>-9.99999999999999E+23</formula1>
      <formula2>9.99999999999999E+23</formula2>
    </dataValidation>
    <dataValidation type="decimal" allowBlank="1" showErrorMessage="1" errorTitle="Ошибка" error="Допускается ввод только действительных чисел!" sqref="CK52">
      <formula1>-9.99999999999999E+23</formula1>
      <formula2>9.99999999999999E+23</formula2>
    </dataValidation>
    <dataValidation type="decimal" allowBlank="1" showErrorMessage="1" errorTitle="Ошибка" error="Допускается ввод только действительных чисел!" sqref="CJ52">
      <formula1>-9.99999999999999E+23</formula1>
      <formula2>9.99999999999999E+23</formula2>
    </dataValidation>
    <dataValidation type="decimal" allowBlank="1" showErrorMessage="1" errorTitle="Ошибка" error="Допускается ввод только действительных чисел!" sqref="CI52">
      <formula1>-9.99999999999999E+23</formula1>
      <formula2>9.99999999999999E+23</formula2>
    </dataValidation>
    <dataValidation type="decimal" allowBlank="1" showErrorMessage="1" errorTitle="Ошибка" error="Допускается ввод только действительных чисел!" sqref="CH52">
      <formula1>-9.99999999999999E+23</formula1>
      <formula2>9.99999999999999E+23</formula2>
    </dataValidation>
    <dataValidation type="decimal" allowBlank="1" showErrorMessage="1" errorTitle="Ошибка" error="Допускается ввод только действительных чисел!" sqref="CG52">
      <formula1>-9.99999999999999E+23</formula1>
      <formula2>9.99999999999999E+23</formula2>
    </dataValidation>
    <dataValidation type="decimal" allowBlank="1" showErrorMessage="1" errorTitle="Ошибка" error="Допускается ввод только действительных чисел!" sqref="CF52">
      <formula1>-9.99999999999999E+23</formula1>
      <formula2>9.99999999999999E+23</formula2>
    </dataValidation>
    <dataValidation type="decimal" allowBlank="1" showErrorMessage="1" errorTitle="Ошибка" error="Допускается ввод только действительных чисел!" sqref="CE52">
      <formula1>-9.99999999999999E+23</formula1>
      <formula2>9.99999999999999E+23</formula2>
    </dataValidation>
    <dataValidation type="decimal" allowBlank="1" showErrorMessage="1" errorTitle="Ошибка" error="Допускается ввод только действительных чисел!" sqref="CD52">
      <formula1>-9.99999999999999E+23</formula1>
      <formula2>9.99999999999999E+23</formula2>
    </dataValidation>
    <dataValidation type="decimal" allowBlank="1" showErrorMessage="1" errorTitle="Ошибка" error="Допускается ввод только действительных чисел!" sqref="CC52">
      <formula1>-9.99999999999999E+23</formula1>
      <formula2>9.99999999999999E+23</formula2>
    </dataValidation>
    <dataValidation type="decimal" allowBlank="1" showErrorMessage="1" errorTitle="Ошибка" error="Допускается ввод только действительных чисел!" sqref="CB52">
      <formula1>-9.99999999999999E+23</formula1>
      <formula2>9.99999999999999E+23</formula2>
    </dataValidation>
    <dataValidation type="decimal" allowBlank="1" showErrorMessage="1" errorTitle="Ошибка" error="Допускается ввод только действительных чисел!" sqref="CA52">
      <formula1>-9.99999999999999E+23</formula1>
      <formula2>9.99999999999999E+23</formula2>
    </dataValidation>
    <dataValidation type="decimal" allowBlank="1" showErrorMessage="1" errorTitle="Ошибка" error="Допускается ввод только действительных чисел!" sqref="BZ52">
      <formula1>-9.99999999999999E+23</formula1>
      <formula2>9.99999999999999E+23</formula2>
    </dataValidation>
    <dataValidation type="decimal" allowBlank="1" showErrorMessage="1" errorTitle="Ошибка" error="Допускается ввод только действительных чисел!" sqref="BY52">
      <formula1>-9.99999999999999E+23</formula1>
      <formula2>9.99999999999999E+23</formula2>
    </dataValidation>
    <dataValidation type="decimal" allowBlank="1" showErrorMessage="1" errorTitle="Ошибка" error="Допускается ввод только действительных чисел!" sqref="BX52">
      <formula1>-9.99999999999999E+23</formula1>
      <formula2>9.99999999999999E+23</formula2>
    </dataValidation>
    <dataValidation type="decimal" allowBlank="1" showErrorMessage="1" errorTitle="Ошибка" error="Допускается ввод только действительных чисел!" sqref="BW52">
      <formula1>-9.99999999999999E+23</formula1>
      <formula2>9.99999999999999E+23</formula2>
    </dataValidation>
    <dataValidation type="decimal" allowBlank="1" showErrorMessage="1" errorTitle="Ошибка" error="Допускается ввод только действительных чисел!" sqref="BV52">
      <formula1>-9.99999999999999E+23</formula1>
      <formula2>9.99999999999999E+23</formula2>
    </dataValidation>
    <dataValidation type="decimal" allowBlank="1" showErrorMessage="1" errorTitle="Ошибка" error="Допускается ввод только действительных чисел!" sqref="BU52">
      <formula1>-9.99999999999999E+23</formula1>
      <formula2>9.99999999999999E+23</formula2>
    </dataValidation>
    <dataValidation type="decimal" allowBlank="1" showErrorMessage="1" errorTitle="Ошибка" error="Допускается ввод только действительных чисел!" sqref="BT52">
      <formula1>-9.99999999999999E+23</formula1>
      <formula2>9.99999999999999E+23</formula2>
    </dataValidation>
    <dataValidation type="decimal" allowBlank="1" showErrorMessage="1" errorTitle="Ошибка" error="Допускается ввод только действительных чисел!" sqref="AB52">
      <formula1>-9.99999999999999E+23</formula1>
      <formula2>9.99999999999999E+23</formula2>
    </dataValidation>
    <dataValidation type="decimal" allowBlank="1" showErrorMessage="1" errorTitle="Ошибка" error="Допускается ввод только действительных чисел!" sqref="AA52">
      <formula1>-9.99999999999999E+23</formula1>
      <formula2>9.99999999999999E+23</formula2>
    </dataValidation>
    <dataValidation type="decimal" allowBlank="1" showErrorMessage="1" errorTitle="Ошибка" error="Допускается ввод только действительных чисел!" sqref="Z52">
      <formula1>-9.99999999999999E+23</formula1>
      <formula2>9.99999999999999E+23</formula2>
    </dataValidation>
    <dataValidation type="decimal" allowBlank="1" showErrorMessage="1" errorTitle="Ошибка" error="Допускается ввод только действительных чисел!" sqref="Y52">
      <formula1>-9.99999999999999E+23</formula1>
      <formula2>9.99999999999999E+23</formula2>
    </dataValidation>
    <dataValidation type="decimal" allowBlank="1" showErrorMessage="1" errorTitle="Ошибка" error="Допускается ввод только действительных чисел!" sqref="X52">
      <formula1>-9.99999999999999E+23</formula1>
      <formula2>9.99999999999999E+23</formula2>
    </dataValidation>
    <dataValidation type="decimal" allowBlank="1" showErrorMessage="1" errorTitle="Ошибка" error="Допускается ввод только действительных чисел!" sqref="W52">
      <formula1>-9.99999999999999E+23</formula1>
      <formula2>9.99999999999999E+23</formula2>
    </dataValidation>
    <dataValidation type="decimal" allowBlank="1" showErrorMessage="1" errorTitle="Ошибка" error="Допускается ввод только действительных чисел!" sqref="V52">
      <formula1>-9.99999999999999E+23</formula1>
      <formula2>9.99999999999999E+23</formula2>
    </dataValidation>
    <dataValidation type="decimal" allowBlank="1" showErrorMessage="1" errorTitle="Ошибка" error="Допускается ввод только действительных чисел!" sqref="U52">
      <formula1>-9.99999999999999E+23</formula1>
      <formula2>9.99999999999999E+23</formula2>
    </dataValidation>
    <dataValidation type="decimal" allowBlank="1" showErrorMessage="1" errorTitle="Ошибка" error="Допускается ввод только действительных чисел!" sqref="T52">
      <formula1>-9.99999999999999E+23</formula1>
      <formula2>9.99999999999999E+23</formula2>
    </dataValidation>
    <dataValidation type="decimal" allowBlank="1" showErrorMessage="1" errorTitle="Ошибка" error="Допускается ввод только действительных чисел!" sqref="S52">
      <formula1>-9.99999999999999E+23</formula1>
      <formula2>9.99999999999999E+23</formula2>
    </dataValidation>
    <dataValidation type="decimal" allowBlank="1" showErrorMessage="1" errorTitle="Ошибка" error="Допускается ввод только действительных чисел!" sqref="R52">
      <formula1>-9.99999999999999E+23</formula1>
      <formula2>9.99999999999999E+23</formula2>
    </dataValidation>
    <dataValidation type="decimal" allowBlank="1" showErrorMessage="1" errorTitle="Ошибка" error="Допускается ввод только действительных чисел!" sqref="Q52">
      <formula1>-9.99999999999999E+23</formula1>
      <formula2>9.99999999999999E+23</formula2>
    </dataValidation>
    <dataValidation type="decimal" allowBlank="1" showErrorMessage="1" errorTitle="Ошибка" error="Допускается ввод только действительных чисел!" sqref="P52">
      <formula1>-9.99999999999999E+23</formula1>
      <formula2>9.99999999999999E+23</formula2>
    </dataValidation>
    <dataValidation type="decimal" allowBlank="1" showErrorMessage="1" errorTitle="Ошибка" error="Допускается ввод только действительных чисел!" sqref="O5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2">
      <formula1>900</formula1>
    </dataValidation>
    <dataValidation type="list" allowBlank="1" showInputMessage="1" showErrorMessage="1" errorTitle="Ошибка" error="Выберите значение из списка" prompt="Выберите значение из списка" sqref="H52">
      <formula1>QRE_METHOD_LIST</formula1>
    </dataValidation>
    <dataValidation type="decimal" allowBlank="1" showErrorMessage="1" errorTitle="Ошибка" error="Допускается ввод только действительных чисел!" sqref="DJ51">
      <formula1>-9.99999999999999E+23</formula1>
      <formula2>9.99999999999999E+23</formula2>
    </dataValidation>
    <dataValidation type="decimal" allowBlank="1" showErrorMessage="1" errorTitle="Ошибка" error="Допускается ввод только действительных чисел!" sqref="DI51">
      <formula1>-9.99999999999999E+23</formula1>
      <formula2>9.99999999999999E+23</formula2>
    </dataValidation>
    <dataValidation type="decimal" allowBlank="1" showErrorMessage="1" errorTitle="Ошибка" error="Допускается ввод только действительных чисел!" sqref="DH51">
      <formula1>-9.99999999999999E+23</formula1>
      <formula2>9.99999999999999E+23</formula2>
    </dataValidation>
    <dataValidation type="decimal" allowBlank="1" showErrorMessage="1" errorTitle="Ошибка" error="Допускается ввод только действительных чисел!" sqref="DG51">
      <formula1>-9.99999999999999E+23</formula1>
      <formula2>9.99999999999999E+23</formula2>
    </dataValidation>
    <dataValidation type="decimal" allowBlank="1" showErrorMessage="1" errorTitle="Ошибка" error="Допускается ввод только действительных чисел!" sqref="DF51">
      <formula1>-9.99999999999999E+23</formula1>
      <formula2>9.99999999999999E+23</formula2>
    </dataValidation>
    <dataValidation type="decimal" allowBlank="1" showErrorMessage="1" errorTitle="Ошибка" error="Допускается ввод только действительных чисел!" sqref="DE51">
      <formula1>-9.99999999999999E+23</formula1>
      <formula2>9.99999999999999E+23</formula2>
    </dataValidation>
    <dataValidation type="decimal" allowBlank="1" showErrorMessage="1" errorTitle="Ошибка" error="Допускается ввод только действительных чисел!" sqref="DD51">
      <formula1>-9.99999999999999E+23</formula1>
      <formula2>9.99999999999999E+23</formula2>
    </dataValidation>
    <dataValidation type="decimal" allowBlank="1" showErrorMessage="1" errorTitle="Ошибка" error="Допускается ввод только действительных чисел!" sqref="DC51">
      <formula1>-9.99999999999999E+23</formula1>
      <formula2>9.99999999999999E+23</formula2>
    </dataValidation>
    <dataValidation type="decimal" allowBlank="1" showErrorMessage="1" errorTitle="Ошибка" error="Допускается ввод только действительных чисел!" sqref="DB51">
      <formula1>-9.99999999999999E+23</formula1>
      <formula2>9.99999999999999E+23</formula2>
    </dataValidation>
    <dataValidation type="decimal" allowBlank="1" showErrorMessage="1" errorTitle="Ошибка" error="Допускается ввод только действительных чисел!" sqref="DA51">
      <formula1>-9.99999999999999E+23</formula1>
      <formula2>9.99999999999999E+23</formula2>
    </dataValidation>
    <dataValidation type="decimal" allowBlank="1" showErrorMessage="1" errorTitle="Ошибка" error="Допускается ввод только действительных чисел!" sqref="CZ51">
      <formula1>-9.99999999999999E+23</formula1>
      <formula2>9.99999999999999E+23</formula2>
    </dataValidation>
    <dataValidation type="decimal" allowBlank="1" showErrorMessage="1" errorTitle="Ошибка" error="Допускается ввод только действительных чисел!" sqref="CY51">
      <formula1>-9.99999999999999E+23</formula1>
      <formula2>9.99999999999999E+23</formula2>
    </dataValidation>
    <dataValidation type="decimal" allowBlank="1" showErrorMessage="1" errorTitle="Ошибка" error="Допускается ввод только действительных чисел!" sqref="CK51">
      <formula1>-9.99999999999999E+23</formula1>
      <formula2>9.99999999999999E+23</formula2>
    </dataValidation>
    <dataValidation type="decimal" allowBlank="1" showErrorMessage="1" errorTitle="Ошибка" error="Допускается ввод только действительных чисел!" sqref="CJ51">
      <formula1>-9.99999999999999E+23</formula1>
      <formula2>9.99999999999999E+23</formula2>
    </dataValidation>
    <dataValidation type="decimal" allowBlank="1" showErrorMessage="1" errorTitle="Ошибка" error="Допускается ввод только действительных чисел!" sqref="CI51">
      <formula1>-9.99999999999999E+23</formula1>
      <formula2>9.99999999999999E+23</formula2>
    </dataValidation>
    <dataValidation type="decimal" allowBlank="1" showErrorMessage="1" errorTitle="Ошибка" error="Допускается ввод только действительных чисел!" sqref="CH51">
      <formula1>-9.99999999999999E+23</formula1>
      <formula2>9.99999999999999E+23</formula2>
    </dataValidation>
    <dataValidation type="decimal" allowBlank="1" showErrorMessage="1" errorTitle="Ошибка" error="Допускается ввод только действительных чисел!" sqref="CG51">
      <formula1>-9.99999999999999E+23</formula1>
      <formula2>9.99999999999999E+23</formula2>
    </dataValidation>
    <dataValidation type="decimal" allowBlank="1" showErrorMessage="1" errorTitle="Ошибка" error="Допускается ввод только действительных чисел!" sqref="CF51">
      <formula1>-9.99999999999999E+23</formula1>
      <formula2>9.99999999999999E+23</formula2>
    </dataValidation>
    <dataValidation type="decimal" allowBlank="1" showErrorMessage="1" errorTitle="Ошибка" error="Допускается ввод только действительных чисел!" sqref="CE51">
      <formula1>-9.99999999999999E+23</formula1>
      <formula2>9.99999999999999E+23</formula2>
    </dataValidation>
    <dataValidation type="decimal" allowBlank="1" showErrorMessage="1" errorTitle="Ошибка" error="Допускается ввод только действительных чисел!" sqref="CD51">
      <formula1>-9.99999999999999E+23</formula1>
      <formula2>9.99999999999999E+23</formula2>
    </dataValidation>
    <dataValidation type="decimal" allowBlank="1" showErrorMessage="1" errorTitle="Ошибка" error="Допускается ввод только действительных чисел!" sqref="CC51">
      <formula1>-9.99999999999999E+23</formula1>
      <formula2>9.99999999999999E+23</formula2>
    </dataValidation>
    <dataValidation type="decimal" allowBlank="1" showErrorMessage="1" errorTitle="Ошибка" error="Допускается ввод только действительных чисел!" sqref="CB51">
      <formula1>-9.99999999999999E+23</formula1>
      <formula2>9.99999999999999E+23</formula2>
    </dataValidation>
    <dataValidation type="decimal" allowBlank="1" showErrorMessage="1" errorTitle="Ошибка" error="Допускается ввод только действительных чисел!" sqref="CA51">
      <formula1>-9.99999999999999E+23</formula1>
      <formula2>9.99999999999999E+23</formula2>
    </dataValidation>
    <dataValidation type="decimal" allowBlank="1" showErrorMessage="1" errorTitle="Ошибка" error="Допускается ввод только действительных чисел!" sqref="BZ51">
      <formula1>-9.99999999999999E+23</formula1>
      <formula2>9.99999999999999E+23</formula2>
    </dataValidation>
    <dataValidation type="decimal" allowBlank="1" showErrorMessage="1" errorTitle="Ошибка" error="Допускается ввод только действительных чисел!" sqref="BY51">
      <formula1>-9.99999999999999E+23</formula1>
      <formula2>9.99999999999999E+23</formula2>
    </dataValidation>
    <dataValidation type="decimal" allowBlank="1" showErrorMessage="1" errorTitle="Ошибка" error="Допускается ввод только действительных чисел!" sqref="BX51">
      <formula1>-9.99999999999999E+23</formula1>
      <formula2>9.99999999999999E+23</formula2>
    </dataValidation>
    <dataValidation type="decimal" allowBlank="1" showErrorMessage="1" errorTitle="Ошибка" error="Допускается ввод только действительных чисел!" sqref="BW51">
      <formula1>-9.99999999999999E+23</formula1>
      <formula2>9.99999999999999E+23</formula2>
    </dataValidation>
    <dataValidation type="decimal" allowBlank="1" showErrorMessage="1" errorTitle="Ошибка" error="Допускается ввод только действительных чисел!" sqref="BV51">
      <formula1>-9.99999999999999E+23</formula1>
      <formula2>9.99999999999999E+23</formula2>
    </dataValidation>
    <dataValidation type="decimal" allowBlank="1" showErrorMessage="1" errorTitle="Ошибка" error="Допускается ввод только действительных чисел!" sqref="BU51">
      <formula1>-9.99999999999999E+23</formula1>
      <formula2>9.99999999999999E+23</formula2>
    </dataValidation>
    <dataValidation type="decimal" allowBlank="1" showErrorMessage="1" errorTitle="Ошибка" error="Допускается ввод только действительных чисел!" sqref="BT51">
      <formula1>-9.99999999999999E+23</formula1>
      <formula2>9.99999999999999E+23</formula2>
    </dataValidation>
    <dataValidation type="decimal" allowBlank="1" showErrorMessage="1" errorTitle="Ошибка" error="Допускается ввод только действительных чисел!" sqref="AB51">
      <formula1>-9.99999999999999E+23</formula1>
      <formula2>9.99999999999999E+23</formula2>
    </dataValidation>
    <dataValidation type="decimal" allowBlank="1" showErrorMessage="1" errorTitle="Ошибка" error="Допускается ввод только действительных чисел!" sqref="AA51">
      <formula1>-9.99999999999999E+23</formula1>
      <formula2>9.99999999999999E+23</formula2>
    </dataValidation>
    <dataValidation type="decimal" allowBlank="1" showErrorMessage="1" errorTitle="Ошибка" error="Допускается ввод только действительных чисел!" sqref="Z51">
      <formula1>-9.99999999999999E+23</formula1>
      <formula2>9.99999999999999E+23</formula2>
    </dataValidation>
    <dataValidation type="decimal" allowBlank="1" showErrorMessage="1" errorTitle="Ошибка" error="Допускается ввод только действительных чисел!" sqref="Y51">
      <formula1>-9.99999999999999E+23</formula1>
      <formula2>9.99999999999999E+23</formula2>
    </dataValidation>
    <dataValidation type="decimal" allowBlank="1" showErrorMessage="1" errorTitle="Ошибка" error="Допускается ввод только действительных чисел!" sqref="X51">
      <formula1>-9.99999999999999E+23</formula1>
      <formula2>9.99999999999999E+23</formula2>
    </dataValidation>
    <dataValidation type="decimal" allowBlank="1" showErrorMessage="1" errorTitle="Ошибка" error="Допускается ввод только действительных чисел!" sqref="W51">
      <formula1>-9.99999999999999E+23</formula1>
      <formula2>9.99999999999999E+23</formula2>
    </dataValidation>
    <dataValidation type="decimal" allowBlank="1" showErrorMessage="1" errorTitle="Ошибка" error="Допускается ввод только действительных чисел!" sqref="V51">
      <formula1>-9.99999999999999E+23</formula1>
      <formula2>9.99999999999999E+23</formula2>
    </dataValidation>
    <dataValidation type="decimal" allowBlank="1" showErrorMessage="1" errorTitle="Ошибка" error="Допускается ввод только действительных чисел!" sqref="U51">
      <formula1>-9.99999999999999E+23</formula1>
      <formula2>9.99999999999999E+23</formula2>
    </dataValidation>
    <dataValidation type="decimal" allowBlank="1" showErrorMessage="1" errorTitle="Ошибка" error="Допускается ввод только действительных чисел!" sqref="T51">
      <formula1>-9.99999999999999E+23</formula1>
      <formula2>9.99999999999999E+23</formula2>
    </dataValidation>
    <dataValidation type="decimal" allowBlank="1" showErrorMessage="1" errorTitle="Ошибка" error="Допускается ввод только действительных чисел!" sqref="S51">
      <formula1>-9.99999999999999E+23</formula1>
      <formula2>9.99999999999999E+23</formula2>
    </dataValidation>
    <dataValidation type="decimal" allowBlank="1" showErrorMessage="1" errorTitle="Ошибка" error="Допускается ввод только действительных чисел!" sqref="R51">
      <formula1>-9.99999999999999E+23</formula1>
      <formula2>9.99999999999999E+23</formula2>
    </dataValidation>
    <dataValidation type="decimal" allowBlank="1" showErrorMessage="1" errorTitle="Ошибка" error="Допускается ввод только действительных чисел!" sqref="Q51">
      <formula1>-9.99999999999999E+23</formula1>
      <formula2>9.99999999999999E+23</formula2>
    </dataValidation>
    <dataValidation type="decimal" allowBlank="1" showErrorMessage="1" errorTitle="Ошибка" error="Допускается ввод только действительных чисел!" sqref="P51">
      <formula1>-9.99999999999999E+23</formula1>
      <formula2>9.99999999999999E+23</formula2>
    </dataValidation>
    <dataValidation type="decimal" allowBlank="1" showErrorMessage="1" errorTitle="Ошибка" error="Допускается ввод только действительных чисел!" sqref="O5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1">
      <formula1>900</formula1>
    </dataValidation>
    <dataValidation type="list" allowBlank="1" showInputMessage="1" showErrorMessage="1" errorTitle="Ошибка" error="Выберите значение из списка" prompt="Выберите значение из списка" sqref="H51">
      <formula1>QRE_METHOD_LIST</formula1>
    </dataValidation>
    <dataValidation type="decimal" allowBlank="1" showErrorMessage="1" errorTitle="Ошибка" error="Допускается ввод только действительных чисел!" sqref="DJ50">
      <formula1>-9.99999999999999E+23</formula1>
      <formula2>9.99999999999999E+23</formula2>
    </dataValidation>
    <dataValidation type="decimal" allowBlank="1" showErrorMessage="1" errorTitle="Ошибка" error="Допускается ввод только действительных чисел!" sqref="DI50">
      <formula1>-9.99999999999999E+23</formula1>
      <formula2>9.99999999999999E+23</formula2>
    </dataValidation>
    <dataValidation type="decimal" allowBlank="1" showErrorMessage="1" errorTitle="Ошибка" error="Допускается ввод только действительных чисел!" sqref="DH50">
      <formula1>-9.99999999999999E+23</formula1>
      <formula2>9.99999999999999E+23</formula2>
    </dataValidation>
    <dataValidation type="decimal" allowBlank="1" showErrorMessage="1" errorTitle="Ошибка" error="Допускается ввод только действительных чисел!" sqref="DG50">
      <formula1>-9.99999999999999E+23</formula1>
      <formula2>9.99999999999999E+23</formula2>
    </dataValidation>
    <dataValidation type="decimal" allowBlank="1" showErrorMessage="1" errorTitle="Ошибка" error="Допускается ввод только действительных чисел!" sqref="DF50">
      <formula1>-9.99999999999999E+23</formula1>
      <formula2>9.99999999999999E+23</formula2>
    </dataValidation>
    <dataValidation type="decimal" allowBlank="1" showErrorMessage="1" errorTitle="Ошибка" error="Допускается ввод только действительных чисел!" sqref="DE50">
      <formula1>-9.99999999999999E+23</formula1>
      <formula2>9.99999999999999E+23</formula2>
    </dataValidation>
    <dataValidation type="decimal" allowBlank="1" showErrorMessage="1" errorTitle="Ошибка" error="Допускается ввод только действительных чисел!" sqref="DD50">
      <formula1>-9.99999999999999E+23</formula1>
      <formula2>9.99999999999999E+23</formula2>
    </dataValidation>
    <dataValidation type="decimal" allowBlank="1" showErrorMessage="1" errorTitle="Ошибка" error="Допускается ввод только действительных чисел!" sqref="DC50">
      <formula1>-9.99999999999999E+23</formula1>
      <formula2>9.99999999999999E+23</formula2>
    </dataValidation>
    <dataValidation type="decimal" allowBlank="1" showErrorMessage="1" errorTitle="Ошибка" error="Допускается ввод только действительных чисел!" sqref="DB50">
      <formula1>-9.99999999999999E+23</formula1>
      <formula2>9.99999999999999E+23</formula2>
    </dataValidation>
    <dataValidation type="decimal" allowBlank="1" showErrorMessage="1" errorTitle="Ошибка" error="Допускается ввод только действительных чисел!" sqref="DA50">
      <formula1>-9.99999999999999E+23</formula1>
      <formula2>9.99999999999999E+23</formula2>
    </dataValidation>
    <dataValidation type="decimal" allowBlank="1" showErrorMessage="1" errorTitle="Ошибка" error="Допускается ввод только действительных чисел!" sqref="CZ50">
      <formula1>-9.99999999999999E+23</formula1>
      <formula2>9.99999999999999E+23</formula2>
    </dataValidation>
    <dataValidation type="decimal" allowBlank="1" showErrorMessage="1" errorTitle="Ошибка" error="Допускается ввод только действительных чисел!" sqref="CY50">
      <formula1>-9.99999999999999E+23</formula1>
      <formula2>9.99999999999999E+23</formula2>
    </dataValidation>
    <dataValidation type="decimal" allowBlank="1" showErrorMessage="1" errorTitle="Ошибка" error="Допускается ввод только действительных чисел!" sqref="CK50">
      <formula1>-9.99999999999999E+23</formula1>
      <formula2>9.99999999999999E+23</formula2>
    </dataValidation>
    <dataValidation type="decimal" allowBlank="1" showErrorMessage="1" errorTitle="Ошибка" error="Допускается ввод только действительных чисел!" sqref="CJ50">
      <formula1>-9.99999999999999E+23</formula1>
      <formula2>9.99999999999999E+23</formula2>
    </dataValidation>
    <dataValidation type="decimal" allowBlank="1" showErrorMessage="1" errorTitle="Ошибка" error="Допускается ввод только действительных чисел!" sqref="CI50">
      <formula1>-9.99999999999999E+23</formula1>
      <formula2>9.99999999999999E+23</formula2>
    </dataValidation>
    <dataValidation type="decimal" allowBlank="1" showErrorMessage="1" errorTitle="Ошибка" error="Допускается ввод только действительных чисел!" sqref="CH50">
      <formula1>-9.99999999999999E+23</formula1>
      <formula2>9.99999999999999E+23</formula2>
    </dataValidation>
    <dataValidation type="decimal" allowBlank="1" showErrorMessage="1" errorTitle="Ошибка" error="Допускается ввод только действительных чисел!" sqref="CG50">
      <formula1>-9.99999999999999E+23</formula1>
      <formula2>9.99999999999999E+23</formula2>
    </dataValidation>
    <dataValidation type="decimal" allowBlank="1" showErrorMessage="1" errorTitle="Ошибка" error="Допускается ввод только действительных чисел!" sqref="CF50">
      <formula1>-9.99999999999999E+23</formula1>
      <formula2>9.99999999999999E+23</formula2>
    </dataValidation>
    <dataValidation type="decimal" allowBlank="1" showErrorMessage="1" errorTitle="Ошибка" error="Допускается ввод только действительных чисел!" sqref="CE50">
      <formula1>-9.99999999999999E+23</formula1>
      <formula2>9.99999999999999E+23</formula2>
    </dataValidation>
    <dataValidation type="decimal" allowBlank="1" showErrorMessage="1" errorTitle="Ошибка" error="Допускается ввод только действительных чисел!" sqref="CD50">
      <formula1>-9.99999999999999E+23</formula1>
      <formula2>9.99999999999999E+23</formula2>
    </dataValidation>
    <dataValidation type="decimal" allowBlank="1" showErrorMessage="1" errorTitle="Ошибка" error="Допускается ввод только действительных чисел!" sqref="CC50">
      <formula1>-9.99999999999999E+23</formula1>
      <formula2>9.99999999999999E+23</formula2>
    </dataValidation>
    <dataValidation type="decimal" allowBlank="1" showErrorMessage="1" errorTitle="Ошибка" error="Допускается ввод только действительных чисел!" sqref="CB50">
      <formula1>-9.99999999999999E+23</formula1>
      <formula2>9.99999999999999E+23</formula2>
    </dataValidation>
    <dataValidation type="decimal" allowBlank="1" showErrorMessage="1" errorTitle="Ошибка" error="Допускается ввод только действительных чисел!" sqref="CA50">
      <formula1>-9.99999999999999E+23</formula1>
      <formula2>9.99999999999999E+23</formula2>
    </dataValidation>
    <dataValidation type="decimal" allowBlank="1" showErrorMessage="1" errorTitle="Ошибка" error="Допускается ввод только действительных чисел!" sqref="BZ50">
      <formula1>-9.99999999999999E+23</formula1>
      <formula2>9.99999999999999E+23</formula2>
    </dataValidation>
    <dataValidation type="decimal" allowBlank="1" showErrorMessage="1" errorTitle="Ошибка" error="Допускается ввод только действительных чисел!" sqref="BY50">
      <formula1>-9.99999999999999E+23</formula1>
      <formula2>9.99999999999999E+23</formula2>
    </dataValidation>
    <dataValidation type="decimal" allowBlank="1" showErrorMessage="1" errorTitle="Ошибка" error="Допускается ввод только действительных чисел!" sqref="BX50">
      <formula1>-9.99999999999999E+23</formula1>
      <formula2>9.99999999999999E+23</formula2>
    </dataValidation>
    <dataValidation type="decimal" allowBlank="1" showErrorMessage="1" errorTitle="Ошибка" error="Допускается ввод только действительных чисел!" sqref="BW50">
      <formula1>-9.99999999999999E+23</formula1>
      <formula2>9.99999999999999E+23</formula2>
    </dataValidation>
    <dataValidation type="decimal" allowBlank="1" showErrorMessage="1" errorTitle="Ошибка" error="Допускается ввод только действительных чисел!" sqref="BV50">
      <formula1>-9.99999999999999E+23</formula1>
      <formula2>9.99999999999999E+23</formula2>
    </dataValidation>
    <dataValidation type="decimal" allowBlank="1" showErrorMessage="1" errorTitle="Ошибка" error="Допускается ввод только действительных чисел!" sqref="BU50">
      <formula1>-9.99999999999999E+23</formula1>
      <formula2>9.99999999999999E+23</formula2>
    </dataValidation>
    <dataValidation type="decimal" allowBlank="1" showErrorMessage="1" errorTitle="Ошибка" error="Допускается ввод только действительных чисел!" sqref="BT50">
      <formula1>-9.99999999999999E+23</formula1>
      <formula2>9.99999999999999E+23</formula2>
    </dataValidation>
    <dataValidation type="decimal" allowBlank="1" showErrorMessage="1" errorTitle="Ошибка" error="Допускается ввод только действительных чисел!" sqref="AB50">
      <formula1>-9.99999999999999E+23</formula1>
      <formula2>9.99999999999999E+23</formula2>
    </dataValidation>
    <dataValidation type="decimal" allowBlank="1" showErrorMessage="1" errorTitle="Ошибка" error="Допускается ввод только действительных чисел!" sqref="AA50">
      <formula1>-9.99999999999999E+23</formula1>
      <formula2>9.99999999999999E+23</formula2>
    </dataValidation>
    <dataValidation type="decimal" allowBlank="1" showErrorMessage="1" errorTitle="Ошибка" error="Допускается ввод только действительных чисел!" sqref="Z50">
      <formula1>-9.99999999999999E+23</formula1>
      <formula2>9.99999999999999E+23</formula2>
    </dataValidation>
    <dataValidation type="decimal" allowBlank="1" showErrorMessage="1" errorTitle="Ошибка" error="Допускается ввод только действительных чисел!" sqref="Y50">
      <formula1>-9.99999999999999E+23</formula1>
      <formula2>9.99999999999999E+23</formula2>
    </dataValidation>
    <dataValidation type="decimal" allowBlank="1" showErrorMessage="1" errorTitle="Ошибка" error="Допускается ввод только действительных чисел!" sqref="X50">
      <formula1>-9.99999999999999E+23</formula1>
      <formula2>9.99999999999999E+23</formula2>
    </dataValidation>
    <dataValidation type="decimal" allowBlank="1" showErrorMessage="1" errorTitle="Ошибка" error="Допускается ввод только действительных чисел!" sqref="W50">
      <formula1>-9.99999999999999E+23</formula1>
      <formula2>9.99999999999999E+23</formula2>
    </dataValidation>
    <dataValidation type="decimal" allowBlank="1" showErrorMessage="1" errorTitle="Ошибка" error="Допускается ввод только действительных чисел!" sqref="V50">
      <formula1>-9.99999999999999E+23</formula1>
      <formula2>9.99999999999999E+23</formula2>
    </dataValidation>
    <dataValidation type="decimal" allowBlank="1" showErrorMessage="1" errorTitle="Ошибка" error="Допускается ввод только действительных чисел!" sqref="U50">
      <formula1>-9.99999999999999E+23</formula1>
      <formula2>9.99999999999999E+23</formula2>
    </dataValidation>
    <dataValidation type="decimal" allowBlank="1" showErrorMessage="1" errorTitle="Ошибка" error="Допускается ввод только действительных чисел!" sqref="T50">
      <formula1>-9.99999999999999E+23</formula1>
      <formula2>9.99999999999999E+23</formula2>
    </dataValidation>
    <dataValidation type="decimal" allowBlank="1" showErrorMessage="1" errorTitle="Ошибка" error="Допускается ввод только действительных чисел!" sqref="S50">
      <formula1>-9.99999999999999E+23</formula1>
      <formula2>9.99999999999999E+23</formula2>
    </dataValidation>
    <dataValidation type="decimal" allowBlank="1" showErrorMessage="1" errorTitle="Ошибка" error="Допускается ввод только действительных чисел!" sqref="R50">
      <formula1>-9.99999999999999E+23</formula1>
      <formula2>9.99999999999999E+23</formula2>
    </dataValidation>
    <dataValidation type="decimal" allowBlank="1" showErrorMessage="1" errorTitle="Ошибка" error="Допускается ввод только действительных чисел!" sqref="Q50">
      <formula1>-9.99999999999999E+23</formula1>
      <formula2>9.99999999999999E+23</formula2>
    </dataValidation>
    <dataValidation type="decimal" allowBlank="1" showErrorMessage="1" errorTitle="Ошибка" error="Допускается ввод только действительных чисел!" sqref="P50">
      <formula1>-9.99999999999999E+23</formula1>
      <formula2>9.99999999999999E+23</formula2>
    </dataValidation>
    <dataValidation type="decimal" allowBlank="1" showErrorMessage="1" errorTitle="Ошибка" error="Допускается ввод только действительных чисел!" sqref="O5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0">
      <formula1>900</formula1>
    </dataValidation>
    <dataValidation type="list" allowBlank="1" showInputMessage="1" showErrorMessage="1" errorTitle="Ошибка" error="Выберите значение из списка" prompt="Выберите значение из списка" sqref="H50">
      <formula1>QRE_METHOD_LIST</formula1>
    </dataValidation>
    <dataValidation type="decimal" allowBlank="1" showErrorMessage="1" errorTitle="Ошибка" error="Допускается ввод только действительных чисел!" sqref="DJ49">
      <formula1>-9.99999999999999E+23</formula1>
      <formula2>9.99999999999999E+23</formula2>
    </dataValidation>
    <dataValidation type="decimal" allowBlank="1" showErrorMessage="1" errorTitle="Ошибка" error="Допускается ввод только действительных чисел!" sqref="DI49">
      <formula1>-9.99999999999999E+23</formula1>
      <formula2>9.99999999999999E+23</formula2>
    </dataValidation>
    <dataValidation type="decimal" allowBlank="1" showErrorMessage="1" errorTitle="Ошибка" error="Допускается ввод только действительных чисел!" sqref="DH49">
      <formula1>-9.99999999999999E+23</formula1>
      <formula2>9.99999999999999E+23</formula2>
    </dataValidation>
    <dataValidation type="decimal" allowBlank="1" showErrorMessage="1" errorTitle="Ошибка" error="Допускается ввод только действительных чисел!" sqref="DG49">
      <formula1>-9.99999999999999E+23</formula1>
      <formula2>9.99999999999999E+23</formula2>
    </dataValidation>
    <dataValidation type="decimal" allowBlank="1" showErrorMessage="1" errorTitle="Ошибка" error="Допускается ввод только действительных чисел!" sqref="DF49">
      <formula1>-9.99999999999999E+23</formula1>
      <formula2>9.99999999999999E+23</formula2>
    </dataValidation>
    <dataValidation type="decimal" allowBlank="1" showErrorMessage="1" errorTitle="Ошибка" error="Допускается ввод только действительных чисел!" sqref="DE49">
      <formula1>-9.99999999999999E+23</formula1>
      <formula2>9.99999999999999E+23</formula2>
    </dataValidation>
    <dataValidation type="decimal" allowBlank="1" showErrorMessage="1" errorTitle="Ошибка" error="Допускается ввод только действительных чисел!" sqref="DD49">
      <formula1>-9.99999999999999E+23</formula1>
      <formula2>9.99999999999999E+23</formula2>
    </dataValidation>
    <dataValidation type="decimal" allowBlank="1" showErrorMessage="1" errorTitle="Ошибка" error="Допускается ввод только действительных чисел!" sqref="DC49">
      <formula1>-9.99999999999999E+23</formula1>
      <formula2>9.99999999999999E+23</formula2>
    </dataValidation>
    <dataValidation type="decimal" allowBlank="1" showErrorMessage="1" errorTitle="Ошибка" error="Допускается ввод только действительных чисел!" sqref="DB49">
      <formula1>-9.99999999999999E+23</formula1>
      <formula2>9.99999999999999E+23</formula2>
    </dataValidation>
    <dataValidation type="decimal" allowBlank="1" showErrorMessage="1" errorTitle="Ошибка" error="Допускается ввод только действительных чисел!" sqref="DA49">
      <formula1>-9.99999999999999E+23</formula1>
      <formula2>9.99999999999999E+23</formula2>
    </dataValidation>
    <dataValidation type="decimal" allowBlank="1" showErrorMessage="1" errorTitle="Ошибка" error="Допускается ввод только действительных чисел!" sqref="CZ49">
      <formula1>-9.99999999999999E+23</formula1>
      <formula2>9.99999999999999E+23</formula2>
    </dataValidation>
    <dataValidation type="decimal" allowBlank="1" showErrorMessage="1" errorTitle="Ошибка" error="Допускается ввод только действительных чисел!" sqref="CY49">
      <formula1>-9.99999999999999E+23</formula1>
      <formula2>9.99999999999999E+23</formula2>
    </dataValidation>
    <dataValidation type="decimal" allowBlank="1" showErrorMessage="1" errorTitle="Ошибка" error="Допускается ввод только действительных чисел!" sqref="CK49">
      <formula1>-9.99999999999999E+23</formula1>
      <formula2>9.99999999999999E+23</formula2>
    </dataValidation>
    <dataValidation type="decimal" allowBlank="1" showErrorMessage="1" errorTitle="Ошибка" error="Допускается ввод только действительных чисел!" sqref="CJ49">
      <formula1>-9.99999999999999E+23</formula1>
      <formula2>9.99999999999999E+23</formula2>
    </dataValidation>
    <dataValidation type="decimal" allowBlank="1" showErrorMessage="1" errorTitle="Ошибка" error="Допускается ввод только действительных чисел!" sqref="CI49">
      <formula1>-9.99999999999999E+23</formula1>
      <formula2>9.99999999999999E+23</formula2>
    </dataValidation>
    <dataValidation type="decimal" allowBlank="1" showErrorMessage="1" errorTitle="Ошибка" error="Допускается ввод только действительных чисел!" sqref="CH49">
      <formula1>-9.99999999999999E+23</formula1>
      <formula2>9.99999999999999E+23</formula2>
    </dataValidation>
    <dataValidation type="decimal" allowBlank="1" showErrorMessage="1" errorTitle="Ошибка" error="Допускается ввод только действительных чисел!" sqref="CG49">
      <formula1>-9.99999999999999E+23</formula1>
      <formula2>9.99999999999999E+23</formula2>
    </dataValidation>
    <dataValidation type="decimal" allowBlank="1" showErrorMessage="1" errorTitle="Ошибка" error="Допускается ввод только действительных чисел!" sqref="CF49">
      <formula1>-9.99999999999999E+23</formula1>
      <formula2>9.99999999999999E+23</formula2>
    </dataValidation>
    <dataValidation type="decimal" allowBlank="1" showErrorMessage="1" errorTitle="Ошибка" error="Допускается ввод только действительных чисел!" sqref="CE49">
      <formula1>-9.99999999999999E+23</formula1>
      <formula2>9.99999999999999E+23</formula2>
    </dataValidation>
    <dataValidation type="decimal" allowBlank="1" showErrorMessage="1" errorTitle="Ошибка" error="Допускается ввод только действительных чисел!" sqref="CD49">
      <formula1>-9.99999999999999E+23</formula1>
      <formula2>9.99999999999999E+23</formula2>
    </dataValidation>
    <dataValidation type="decimal" allowBlank="1" showErrorMessage="1" errorTitle="Ошибка" error="Допускается ввод только действительных чисел!" sqref="CC49">
      <formula1>-9.99999999999999E+23</formula1>
      <formula2>9.99999999999999E+23</formula2>
    </dataValidation>
    <dataValidation type="decimal" allowBlank="1" showErrorMessage="1" errorTitle="Ошибка" error="Допускается ввод только действительных чисел!" sqref="CB49">
      <formula1>-9.99999999999999E+23</formula1>
      <formula2>9.99999999999999E+23</formula2>
    </dataValidation>
    <dataValidation type="decimal" allowBlank="1" showErrorMessage="1" errorTitle="Ошибка" error="Допускается ввод только действительных чисел!" sqref="CA49">
      <formula1>-9.99999999999999E+23</formula1>
      <formula2>9.99999999999999E+23</formula2>
    </dataValidation>
    <dataValidation type="decimal" allowBlank="1" showErrorMessage="1" errorTitle="Ошибка" error="Допускается ввод только действительных чисел!" sqref="BZ49">
      <formula1>-9.99999999999999E+23</formula1>
      <formula2>9.99999999999999E+23</formula2>
    </dataValidation>
    <dataValidation type="decimal" allowBlank="1" showErrorMessage="1" errorTitle="Ошибка" error="Допускается ввод только действительных чисел!" sqref="BY49">
      <formula1>-9.99999999999999E+23</formula1>
      <formula2>9.99999999999999E+23</formula2>
    </dataValidation>
    <dataValidation type="decimal" allowBlank="1" showErrorMessage="1" errorTitle="Ошибка" error="Допускается ввод только действительных чисел!" sqref="BX49">
      <formula1>-9.99999999999999E+23</formula1>
      <formula2>9.99999999999999E+23</formula2>
    </dataValidation>
    <dataValidation type="decimal" allowBlank="1" showErrorMessage="1" errorTitle="Ошибка" error="Допускается ввод только действительных чисел!" sqref="BW49">
      <formula1>-9.99999999999999E+23</formula1>
      <formula2>9.99999999999999E+23</formula2>
    </dataValidation>
    <dataValidation type="decimal" allowBlank="1" showErrorMessage="1" errorTitle="Ошибка" error="Допускается ввод только действительных чисел!" sqref="BV49">
      <formula1>-9.99999999999999E+23</formula1>
      <formula2>9.99999999999999E+23</formula2>
    </dataValidation>
    <dataValidation type="decimal" allowBlank="1" showErrorMessage="1" errorTitle="Ошибка" error="Допускается ввод только действительных чисел!" sqref="BU49">
      <formula1>-9.99999999999999E+23</formula1>
      <formula2>9.99999999999999E+23</formula2>
    </dataValidation>
    <dataValidation type="decimal" allowBlank="1" showErrorMessage="1" errorTitle="Ошибка" error="Допускается ввод только действительных чисел!" sqref="BT49">
      <formula1>-9.99999999999999E+23</formula1>
      <formula2>9.99999999999999E+23</formula2>
    </dataValidation>
    <dataValidation type="decimal" allowBlank="1" showErrorMessage="1" errorTitle="Ошибка" error="Допускается ввод только действительных чисел!" sqref="AB49">
      <formula1>-9.99999999999999E+23</formula1>
      <formula2>9.99999999999999E+23</formula2>
    </dataValidation>
    <dataValidation type="decimal" allowBlank="1" showErrorMessage="1" errorTitle="Ошибка" error="Допускается ввод только действительных чисел!" sqref="AA49">
      <formula1>-9.99999999999999E+23</formula1>
      <formula2>9.99999999999999E+23</formula2>
    </dataValidation>
    <dataValidation type="decimal" allowBlank="1" showErrorMessage="1" errorTitle="Ошибка" error="Допускается ввод только действительных чисел!" sqref="Z49">
      <formula1>-9.99999999999999E+23</formula1>
      <formula2>9.99999999999999E+23</formula2>
    </dataValidation>
    <dataValidation type="decimal" allowBlank="1" showErrorMessage="1" errorTitle="Ошибка" error="Допускается ввод только действительных чисел!" sqref="Y49">
      <formula1>-9.99999999999999E+23</formula1>
      <formula2>9.99999999999999E+23</formula2>
    </dataValidation>
    <dataValidation type="decimal" allowBlank="1" showErrorMessage="1" errorTitle="Ошибка" error="Допускается ввод только действительных чисел!" sqref="X49">
      <formula1>-9.99999999999999E+23</formula1>
      <formula2>9.99999999999999E+23</formula2>
    </dataValidation>
    <dataValidation type="decimal" allowBlank="1" showErrorMessage="1" errorTitle="Ошибка" error="Допускается ввод только действительных чисел!" sqref="W49">
      <formula1>-9.99999999999999E+23</formula1>
      <formula2>9.99999999999999E+23</formula2>
    </dataValidation>
    <dataValidation type="decimal" allowBlank="1" showErrorMessage="1" errorTitle="Ошибка" error="Допускается ввод только действительных чисел!" sqref="V49">
      <formula1>-9.99999999999999E+23</formula1>
      <formula2>9.99999999999999E+23</formula2>
    </dataValidation>
    <dataValidation type="decimal" allowBlank="1" showErrorMessage="1" errorTitle="Ошибка" error="Допускается ввод только действительных чисел!" sqref="U49">
      <formula1>-9.99999999999999E+23</formula1>
      <formula2>9.99999999999999E+23</formula2>
    </dataValidation>
    <dataValidation type="decimal" allowBlank="1" showErrorMessage="1" errorTitle="Ошибка" error="Допускается ввод только действительных чисел!" sqref="T49">
      <formula1>-9.99999999999999E+23</formula1>
      <formula2>9.99999999999999E+23</formula2>
    </dataValidation>
    <dataValidation type="decimal" allowBlank="1" showErrorMessage="1" errorTitle="Ошибка" error="Допускается ввод только действительных чисел!" sqref="S49">
      <formula1>-9.99999999999999E+23</formula1>
      <formula2>9.99999999999999E+23</formula2>
    </dataValidation>
    <dataValidation type="decimal" allowBlank="1" showErrorMessage="1" errorTitle="Ошибка" error="Допускается ввод только действительных чисел!" sqref="R49">
      <formula1>-9.99999999999999E+23</formula1>
      <formula2>9.99999999999999E+23</formula2>
    </dataValidation>
    <dataValidation type="decimal" allowBlank="1" showErrorMessage="1" errorTitle="Ошибка" error="Допускается ввод только действительных чисел!" sqref="Q49">
      <formula1>-9.99999999999999E+23</formula1>
      <formula2>9.99999999999999E+23</formula2>
    </dataValidation>
    <dataValidation type="decimal" allowBlank="1" showErrorMessage="1" errorTitle="Ошибка" error="Допускается ввод только действительных чисел!" sqref="P49">
      <formula1>-9.99999999999999E+23</formula1>
      <formula2>9.99999999999999E+23</formula2>
    </dataValidation>
    <dataValidation type="decimal" allowBlank="1" showErrorMessage="1" errorTitle="Ошибка" error="Допускается ввод только действительных чисел!" sqref="O4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9">
      <formula1>900</formula1>
    </dataValidation>
    <dataValidation type="list" allowBlank="1" showInputMessage="1" showErrorMessage="1" errorTitle="Ошибка" error="Выберите значение из списка" prompt="Выберите значение из списка" sqref="H49">
      <formula1>QRE_METHOD_LIST</formula1>
    </dataValidation>
    <dataValidation type="decimal" allowBlank="1" showErrorMessage="1" errorTitle="Ошибка" error="Допускается ввод только действительных чисел!" sqref="DJ48">
      <formula1>-9.99999999999999E+23</formula1>
      <formula2>9.99999999999999E+23</formula2>
    </dataValidation>
    <dataValidation type="decimal" allowBlank="1" showErrorMessage="1" errorTitle="Ошибка" error="Допускается ввод только действительных чисел!" sqref="DI48">
      <formula1>-9.99999999999999E+23</formula1>
      <formula2>9.99999999999999E+23</formula2>
    </dataValidation>
    <dataValidation type="decimal" allowBlank="1" showErrorMessage="1" errorTitle="Ошибка" error="Допускается ввод только действительных чисел!" sqref="DH48">
      <formula1>-9.99999999999999E+23</formula1>
      <formula2>9.99999999999999E+23</formula2>
    </dataValidation>
    <dataValidation type="decimal" allowBlank="1" showErrorMessage="1" errorTitle="Ошибка" error="Допускается ввод только действительных чисел!" sqref="DG48">
      <formula1>-9.99999999999999E+23</formula1>
      <formula2>9.99999999999999E+23</formula2>
    </dataValidation>
    <dataValidation type="decimal" allowBlank="1" showErrorMessage="1" errorTitle="Ошибка" error="Допускается ввод только действительных чисел!" sqref="DF48">
      <formula1>-9.99999999999999E+23</formula1>
      <formula2>9.99999999999999E+23</formula2>
    </dataValidation>
    <dataValidation type="decimal" allowBlank="1" showErrorMessage="1" errorTitle="Ошибка" error="Допускается ввод только действительных чисел!" sqref="DE48">
      <formula1>-9.99999999999999E+23</formula1>
      <formula2>9.99999999999999E+23</formula2>
    </dataValidation>
    <dataValidation type="decimal" allowBlank="1" showErrorMessage="1" errorTitle="Ошибка" error="Допускается ввод только действительных чисел!" sqref="DD48">
      <formula1>-9.99999999999999E+23</formula1>
      <formula2>9.99999999999999E+23</formula2>
    </dataValidation>
    <dataValidation type="decimal" allowBlank="1" showErrorMessage="1" errorTitle="Ошибка" error="Допускается ввод только действительных чисел!" sqref="DC48">
      <formula1>-9.99999999999999E+23</formula1>
      <formula2>9.99999999999999E+23</formula2>
    </dataValidation>
    <dataValidation type="decimal" allowBlank="1" showErrorMessage="1" errorTitle="Ошибка" error="Допускается ввод только действительных чисел!" sqref="DB48">
      <formula1>-9.99999999999999E+23</formula1>
      <formula2>9.99999999999999E+23</formula2>
    </dataValidation>
    <dataValidation type="decimal" allowBlank="1" showErrorMessage="1" errorTitle="Ошибка" error="Допускается ввод только действительных чисел!" sqref="DA48">
      <formula1>-9.99999999999999E+23</formula1>
      <formula2>9.99999999999999E+23</formula2>
    </dataValidation>
    <dataValidation type="decimal" allowBlank="1" showErrorMessage="1" errorTitle="Ошибка" error="Допускается ввод только действительных чисел!" sqref="CZ48">
      <formula1>-9.99999999999999E+23</formula1>
      <formula2>9.99999999999999E+23</formula2>
    </dataValidation>
    <dataValidation type="decimal" allowBlank="1" showErrorMessage="1" errorTitle="Ошибка" error="Допускается ввод только действительных чисел!" sqref="CY48">
      <formula1>-9.99999999999999E+23</formula1>
      <formula2>9.99999999999999E+23</formula2>
    </dataValidation>
    <dataValidation type="decimal" allowBlank="1" showErrorMessage="1" errorTitle="Ошибка" error="Допускается ввод только действительных чисел!" sqref="CK48">
      <formula1>-9.99999999999999E+23</formula1>
      <formula2>9.99999999999999E+23</formula2>
    </dataValidation>
    <dataValidation type="decimal" allowBlank="1" showErrorMessage="1" errorTitle="Ошибка" error="Допускается ввод только действительных чисел!" sqref="CJ48">
      <formula1>-9.99999999999999E+23</formula1>
      <formula2>9.99999999999999E+23</formula2>
    </dataValidation>
    <dataValidation type="decimal" allowBlank="1" showErrorMessage="1" errorTitle="Ошибка" error="Допускается ввод только действительных чисел!" sqref="CI48">
      <formula1>-9.99999999999999E+23</formula1>
      <formula2>9.99999999999999E+23</formula2>
    </dataValidation>
    <dataValidation type="decimal" allowBlank="1" showErrorMessage="1" errorTitle="Ошибка" error="Допускается ввод только действительных чисел!" sqref="CH48">
      <formula1>-9.99999999999999E+23</formula1>
      <formula2>9.99999999999999E+23</formula2>
    </dataValidation>
    <dataValidation type="decimal" allowBlank="1" showErrorMessage="1" errorTitle="Ошибка" error="Допускается ввод только действительных чисел!" sqref="CG48">
      <formula1>-9.99999999999999E+23</formula1>
      <formula2>9.99999999999999E+23</formula2>
    </dataValidation>
    <dataValidation type="decimal" allowBlank="1" showErrorMessage="1" errorTitle="Ошибка" error="Допускается ввод только действительных чисел!" sqref="CF48">
      <formula1>-9.99999999999999E+23</formula1>
      <formula2>9.99999999999999E+23</formula2>
    </dataValidation>
    <dataValidation type="decimal" allowBlank="1" showErrorMessage="1" errorTitle="Ошибка" error="Допускается ввод только действительных чисел!" sqref="CE48">
      <formula1>-9.99999999999999E+23</formula1>
      <formula2>9.99999999999999E+23</formula2>
    </dataValidation>
    <dataValidation type="decimal" allowBlank="1" showErrorMessage="1" errorTitle="Ошибка" error="Допускается ввод только действительных чисел!" sqref="CD48">
      <formula1>-9.99999999999999E+23</formula1>
      <formula2>9.99999999999999E+23</formula2>
    </dataValidation>
    <dataValidation type="decimal" allowBlank="1" showErrorMessage="1" errorTitle="Ошибка" error="Допускается ввод только действительных чисел!" sqref="CC48">
      <formula1>-9.99999999999999E+23</formula1>
      <formula2>9.99999999999999E+23</formula2>
    </dataValidation>
    <dataValidation type="decimal" allowBlank="1" showErrorMessage="1" errorTitle="Ошибка" error="Допускается ввод только действительных чисел!" sqref="CB48">
      <formula1>-9.99999999999999E+23</formula1>
      <formula2>9.99999999999999E+23</formula2>
    </dataValidation>
    <dataValidation type="decimal" allowBlank="1" showErrorMessage="1" errorTitle="Ошибка" error="Допускается ввод только действительных чисел!" sqref="CA48">
      <formula1>-9.99999999999999E+23</formula1>
      <formula2>9.99999999999999E+23</formula2>
    </dataValidation>
    <dataValidation type="decimal" allowBlank="1" showErrorMessage="1" errorTitle="Ошибка" error="Допускается ввод только действительных чисел!" sqref="BZ48">
      <formula1>-9.99999999999999E+23</formula1>
      <formula2>9.99999999999999E+23</formula2>
    </dataValidation>
    <dataValidation type="decimal" allowBlank="1" showErrorMessage="1" errorTitle="Ошибка" error="Допускается ввод только действительных чисел!" sqref="BY48">
      <formula1>-9.99999999999999E+23</formula1>
      <formula2>9.99999999999999E+23</formula2>
    </dataValidation>
    <dataValidation type="decimal" allowBlank="1" showErrorMessage="1" errorTitle="Ошибка" error="Допускается ввод только действительных чисел!" sqref="BX48">
      <formula1>-9.99999999999999E+23</formula1>
      <formula2>9.99999999999999E+23</formula2>
    </dataValidation>
    <dataValidation type="decimal" allowBlank="1" showErrorMessage="1" errorTitle="Ошибка" error="Допускается ввод только действительных чисел!" sqref="BW48">
      <formula1>-9.99999999999999E+23</formula1>
      <formula2>9.99999999999999E+23</formula2>
    </dataValidation>
    <dataValidation type="decimal" allowBlank="1" showErrorMessage="1" errorTitle="Ошибка" error="Допускается ввод только действительных чисел!" sqref="BV48">
      <formula1>-9.99999999999999E+23</formula1>
      <formula2>9.99999999999999E+23</formula2>
    </dataValidation>
    <dataValidation type="decimal" allowBlank="1" showErrorMessage="1" errorTitle="Ошибка" error="Допускается ввод только действительных чисел!" sqref="BU48">
      <formula1>-9.99999999999999E+23</formula1>
      <formula2>9.99999999999999E+23</formula2>
    </dataValidation>
    <dataValidation type="decimal" allowBlank="1" showErrorMessage="1" errorTitle="Ошибка" error="Допускается ввод только действительных чисел!" sqref="BT48">
      <formula1>-9.99999999999999E+23</formula1>
      <formula2>9.99999999999999E+23</formula2>
    </dataValidation>
    <dataValidation type="decimal" allowBlank="1" showErrorMessage="1" errorTitle="Ошибка" error="Допускается ввод только действительных чисел!" sqref="AB48">
      <formula1>-9.99999999999999E+23</formula1>
      <formula2>9.99999999999999E+23</formula2>
    </dataValidation>
    <dataValidation type="decimal" allowBlank="1" showErrorMessage="1" errorTitle="Ошибка" error="Допускается ввод только действительных чисел!" sqref="AA48">
      <formula1>-9.99999999999999E+23</formula1>
      <formula2>9.99999999999999E+23</formula2>
    </dataValidation>
    <dataValidation type="decimal" allowBlank="1" showErrorMessage="1" errorTitle="Ошибка" error="Допускается ввод только действительных чисел!" sqref="Z48">
      <formula1>-9.99999999999999E+23</formula1>
      <formula2>9.99999999999999E+23</formula2>
    </dataValidation>
    <dataValidation type="decimal" allowBlank="1" showErrorMessage="1" errorTitle="Ошибка" error="Допускается ввод только действительных чисел!" sqref="Y48">
      <formula1>-9.99999999999999E+23</formula1>
      <formula2>9.99999999999999E+23</formula2>
    </dataValidation>
    <dataValidation type="decimal" allowBlank="1" showErrorMessage="1" errorTitle="Ошибка" error="Допускается ввод только действительных чисел!" sqref="X48">
      <formula1>-9.99999999999999E+23</formula1>
      <formula2>9.99999999999999E+23</formula2>
    </dataValidation>
    <dataValidation type="decimal" allowBlank="1" showErrorMessage="1" errorTitle="Ошибка" error="Допускается ввод только действительных чисел!" sqref="W48">
      <formula1>-9.99999999999999E+23</formula1>
      <formula2>9.99999999999999E+23</formula2>
    </dataValidation>
    <dataValidation type="decimal" allowBlank="1" showErrorMessage="1" errorTitle="Ошибка" error="Допускается ввод только действительных чисел!" sqref="V48">
      <formula1>-9.99999999999999E+23</formula1>
      <formula2>9.99999999999999E+23</formula2>
    </dataValidation>
    <dataValidation type="decimal" allowBlank="1" showErrorMessage="1" errorTitle="Ошибка" error="Допускается ввод только действительных чисел!" sqref="U48">
      <formula1>-9.99999999999999E+23</formula1>
      <formula2>9.99999999999999E+23</formula2>
    </dataValidation>
    <dataValidation type="decimal" allowBlank="1" showErrorMessage="1" errorTitle="Ошибка" error="Допускается ввод только действительных чисел!" sqref="T48">
      <formula1>-9.99999999999999E+23</formula1>
      <formula2>9.99999999999999E+23</formula2>
    </dataValidation>
    <dataValidation type="decimal" allowBlank="1" showErrorMessage="1" errorTitle="Ошибка" error="Допускается ввод только действительных чисел!" sqref="S48">
      <formula1>-9.99999999999999E+23</formula1>
      <formula2>9.99999999999999E+23</formula2>
    </dataValidation>
    <dataValidation type="decimal" allowBlank="1" showErrorMessage="1" errorTitle="Ошибка" error="Допускается ввод только действительных чисел!" sqref="R48">
      <formula1>-9.99999999999999E+23</formula1>
      <formula2>9.99999999999999E+23</formula2>
    </dataValidation>
    <dataValidation type="decimal" allowBlank="1" showErrorMessage="1" errorTitle="Ошибка" error="Допускается ввод только действительных чисел!" sqref="Q48">
      <formula1>-9.99999999999999E+23</formula1>
      <formula2>9.99999999999999E+23</formula2>
    </dataValidation>
    <dataValidation type="decimal" allowBlank="1" showErrorMessage="1" errorTitle="Ошибка" error="Допускается ввод только действительных чисел!" sqref="P48">
      <formula1>-9.99999999999999E+23</formula1>
      <formula2>9.99999999999999E+23</formula2>
    </dataValidation>
    <dataValidation type="decimal" allowBlank="1" showErrorMessage="1" errorTitle="Ошибка" error="Допускается ввод только действительных чисел!" sqref="O4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8">
      <formula1>900</formula1>
    </dataValidation>
    <dataValidation type="list" allowBlank="1" showInputMessage="1" showErrorMessage="1" errorTitle="Ошибка" error="Выберите значение из списка" prompt="Выберите значение из списка" sqref="H48">
      <formula1>QRE_METHOD_LIST</formula1>
    </dataValidation>
    <dataValidation type="decimal" allowBlank="1" showErrorMessage="1" errorTitle="Ошибка" error="Допускается ввод только действительных чисел!" sqref="DJ47">
      <formula1>-9.99999999999999E+23</formula1>
      <formula2>9.99999999999999E+23</formula2>
    </dataValidation>
    <dataValidation type="decimal" allowBlank="1" showErrorMessage="1" errorTitle="Ошибка" error="Допускается ввод только действительных чисел!" sqref="DI47">
      <formula1>-9.99999999999999E+23</formula1>
      <formula2>9.99999999999999E+23</formula2>
    </dataValidation>
    <dataValidation type="decimal" allowBlank="1" showErrorMessage="1" errorTitle="Ошибка" error="Допускается ввод только действительных чисел!" sqref="DH47">
      <formula1>-9.99999999999999E+23</formula1>
      <formula2>9.99999999999999E+23</formula2>
    </dataValidation>
    <dataValidation type="decimal" allowBlank="1" showErrorMessage="1" errorTitle="Ошибка" error="Допускается ввод только действительных чисел!" sqref="DG47">
      <formula1>-9.99999999999999E+23</formula1>
      <formula2>9.99999999999999E+23</formula2>
    </dataValidation>
    <dataValidation type="decimal" allowBlank="1" showErrorMessage="1" errorTitle="Ошибка" error="Допускается ввод только действительных чисел!" sqref="DF47">
      <formula1>-9.99999999999999E+23</formula1>
      <formula2>9.99999999999999E+23</formula2>
    </dataValidation>
    <dataValidation type="decimal" allowBlank="1" showErrorMessage="1" errorTitle="Ошибка" error="Допускается ввод только действительных чисел!" sqref="DE47">
      <formula1>-9.99999999999999E+23</formula1>
      <formula2>9.99999999999999E+23</formula2>
    </dataValidation>
    <dataValidation type="decimal" allowBlank="1" showErrorMessage="1" errorTitle="Ошибка" error="Допускается ввод только действительных чисел!" sqref="DD47">
      <formula1>-9.99999999999999E+23</formula1>
      <formula2>9.99999999999999E+23</formula2>
    </dataValidation>
    <dataValidation type="decimal" allowBlank="1" showErrorMessage="1" errorTitle="Ошибка" error="Допускается ввод только действительных чисел!" sqref="DC47">
      <formula1>-9.99999999999999E+23</formula1>
      <formula2>9.99999999999999E+23</formula2>
    </dataValidation>
    <dataValidation type="decimal" allowBlank="1" showErrorMessage="1" errorTitle="Ошибка" error="Допускается ввод только действительных чисел!" sqref="DB47">
      <formula1>-9.99999999999999E+23</formula1>
      <formula2>9.99999999999999E+23</formula2>
    </dataValidation>
    <dataValidation type="decimal" allowBlank="1" showErrorMessage="1" errorTitle="Ошибка" error="Допускается ввод только действительных чисел!" sqref="DA47">
      <formula1>-9.99999999999999E+23</formula1>
      <formula2>9.99999999999999E+23</formula2>
    </dataValidation>
    <dataValidation type="decimal" allowBlank="1" showErrorMessage="1" errorTitle="Ошибка" error="Допускается ввод только действительных чисел!" sqref="CZ47">
      <formula1>-9.99999999999999E+23</formula1>
      <formula2>9.99999999999999E+23</formula2>
    </dataValidation>
    <dataValidation type="decimal" allowBlank="1" showErrorMessage="1" errorTitle="Ошибка" error="Допускается ввод только действительных чисел!" sqref="CY47">
      <formula1>-9.99999999999999E+23</formula1>
      <formula2>9.99999999999999E+23</formula2>
    </dataValidation>
    <dataValidation type="decimal" allowBlank="1" showErrorMessage="1" errorTitle="Ошибка" error="Допускается ввод только действительных чисел!" sqref="CK47">
      <formula1>-9.99999999999999E+23</formula1>
      <formula2>9.99999999999999E+23</formula2>
    </dataValidation>
    <dataValidation type="decimal" allowBlank="1" showErrorMessage="1" errorTitle="Ошибка" error="Допускается ввод только действительных чисел!" sqref="CJ47">
      <formula1>-9.99999999999999E+23</formula1>
      <formula2>9.99999999999999E+23</formula2>
    </dataValidation>
    <dataValidation type="decimal" allowBlank="1" showErrorMessage="1" errorTitle="Ошибка" error="Допускается ввод только действительных чисел!" sqref="CI47">
      <formula1>-9.99999999999999E+23</formula1>
      <formula2>9.99999999999999E+23</formula2>
    </dataValidation>
    <dataValidation type="decimal" allowBlank="1" showErrorMessage="1" errorTitle="Ошибка" error="Допускается ввод только действительных чисел!" sqref="CH47">
      <formula1>-9.99999999999999E+23</formula1>
      <formula2>9.99999999999999E+23</formula2>
    </dataValidation>
    <dataValidation type="decimal" allowBlank="1" showErrorMessage="1" errorTitle="Ошибка" error="Допускается ввод только действительных чисел!" sqref="CG47">
      <formula1>-9.99999999999999E+23</formula1>
      <formula2>9.99999999999999E+23</formula2>
    </dataValidation>
    <dataValidation type="decimal" allowBlank="1" showErrorMessage="1" errorTitle="Ошибка" error="Допускается ввод только действительных чисел!" sqref="CF47">
      <formula1>-9.99999999999999E+23</formula1>
      <formula2>9.99999999999999E+23</formula2>
    </dataValidation>
    <dataValidation type="decimal" allowBlank="1" showErrorMessage="1" errorTitle="Ошибка" error="Допускается ввод только действительных чисел!" sqref="CE47">
      <formula1>-9.99999999999999E+23</formula1>
      <formula2>9.99999999999999E+23</formula2>
    </dataValidation>
    <dataValidation type="decimal" allowBlank="1" showErrorMessage="1" errorTitle="Ошибка" error="Допускается ввод только действительных чисел!" sqref="CD47">
      <formula1>-9.99999999999999E+23</formula1>
      <formula2>9.99999999999999E+23</formula2>
    </dataValidation>
    <dataValidation type="decimal" allowBlank="1" showErrorMessage="1" errorTitle="Ошибка" error="Допускается ввод только действительных чисел!" sqref="CC47">
      <formula1>-9.99999999999999E+23</formula1>
      <formula2>9.99999999999999E+23</formula2>
    </dataValidation>
    <dataValidation type="decimal" allowBlank="1" showErrorMessage="1" errorTitle="Ошибка" error="Допускается ввод только действительных чисел!" sqref="CB47">
      <formula1>-9.99999999999999E+23</formula1>
      <formula2>9.99999999999999E+23</formula2>
    </dataValidation>
    <dataValidation type="decimal" allowBlank="1" showErrorMessage="1" errorTitle="Ошибка" error="Допускается ввод только действительных чисел!" sqref="CA47">
      <formula1>-9.99999999999999E+23</formula1>
      <formula2>9.99999999999999E+23</formula2>
    </dataValidation>
    <dataValidation type="decimal" allowBlank="1" showErrorMessage="1" errorTitle="Ошибка" error="Допускается ввод только действительных чисел!" sqref="BZ47">
      <formula1>-9.99999999999999E+23</formula1>
      <formula2>9.99999999999999E+23</formula2>
    </dataValidation>
    <dataValidation type="decimal" allowBlank="1" showErrorMessage="1" errorTitle="Ошибка" error="Допускается ввод только действительных чисел!" sqref="BY47">
      <formula1>-9.99999999999999E+23</formula1>
      <formula2>9.99999999999999E+23</formula2>
    </dataValidation>
    <dataValidation type="decimal" allowBlank="1" showErrorMessage="1" errorTitle="Ошибка" error="Допускается ввод только действительных чисел!" sqref="BX47">
      <formula1>-9.99999999999999E+23</formula1>
      <formula2>9.99999999999999E+23</formula2>
    </dataValidation>
    <dataValidation type="decimal" allowBlank="1" showErrorMessage="1" errorTitle="Ошибка" error="Допускается ввод только действительных чисел!" sqref="BW47">
      <formula1>-9.99999999999999E+23</formula1>
      <formula2>9.99999999999999E+23</formula2>
    </dataValidation>
    <dataValidation type="decimal" allowBlank="1" showErrorMessage="1" errorTitle="Ошибка" error="Допускается ввод только действительных чисел!" sqref="BV47">
      <formula1>-9.99999999999999E+23</formula1>
      <formula2>9.99999999999999E+23</formula2>
    </dataValidation>
    <dataValidation type="decimal" allowBlank="1" showErrorMessage="1" errorTitle="Ошибка" error="Допускается ввод только действительных чисел!" sqref="BU47">
      <formula1>-9.99999999999999E+23</formula1>
      <formula2>9.99999999999999E+23</formula2>
    </dataValidation>
    <dataValidation type="decimal" allowBlank="1" showErrorMessage="1" errorTitle="Ошибка" error="Допускается ввод только действительных чисел!" sqref="BT47">
      <formula1>-9.99999999999999E+23</formula1>
      <formula2>9.99999999999999E+23</formula2>
    </dataValidation>
    <dataValidation type="decimal" allowBlank="1" showErrorMessage="1" errorTitle="Ошибка" error="Допускается ввод только действительных чисел!" sqref="AB47">
      <formula1>-9.99999999999999E+23</formula1>
      <formula2>9.99999999999999E+23</formula2>
    </dataValidation>
    <dataValidation type="decimal" allowBlank="1" showErrorMessage="1" errorTitle="Ошибка" error="Допускается ввод только действительных чисел!" sqref="AA47">
      <formula1>-9.99999999999999E+23</formula1>
      <formula2>9.99999999999999E+23</formula2>
    </dataValidation>
    <dataValidation type="decimal" allowBlank="1" showErrorMessage="1" errorTitle="Ошибка" error="Допускается ввод только действительных чисел!" sqref="Z47">
      <formula1>-9.99999999999999E+23</formula1>
      <formula2>9.99999999999999E+23</formula2>
    </dataValidation>
    <dataValidation type="decimal" allowBlank="1" showErrorMessage="1" errorTitle="Ошибка" error="Допускается ввод только действительных чисел!" sqref="Y47">
      <formula1>-9.99999999999999E+23</formula1>
      <formula2>9.99999999999999E+23</formula2>
    </dataValidation>
    <dataValidation type="decimal" allowBlank="1" showErrorMessage="1" errorTitle="Ошибка" error="Допускается ввод только действительных чисел!" sqref="X47">
      <formula1>-9.99999999999999E+23</formula1>
      <formula2>9.99999999999999E+23</formula2>
    </dataValidation>
    <dataValidation type="decimal" allowBlank="1" showErrorMessage="1" errorTitle="Ошибка" error="Допускается ввод только действительных чисел!" sqref="W47">
      <formula1>-9.99999999999999E+23</formula1>
      <formula2>9.99999999999999E+23</formula2>
    </dataValidation>
    <dataValidation type="decimal" allowBlank="1" showErrorMessage="1" errorTitle="Ошибка" error="Допускается ввод только действительных чисел!" sqref="V47">
      <formula1>-9.99999999999999E+23</formula1>
      <formula2>9.99999999999999E+23</formula2>
    </dataValidation>
    <dataValidation type="decimal" allowBlank="1" showErrorMessage="1" errorTitle="Ошибка" error="Допускается ввод только действительных чисел!" sqref="U47">
      <formula1>-9.99999999999999E+23</formula1>
      <formula2>9.99999999999999E+23</formula2>
    </dataValidation>
    <dataValidation type="decimal" allowBlank="1" showErrorMessage="1" errorTitle="Ошибка" error="Допускается ввод только действительных чисел!" sqref="T47">
      <formula1>-9.99999999999999E+23</formula1>
      <formula2>9.99999999999999E+23</formula2>
    </dataValidation>
    <dataValidation type="decimal" allowBlank="1" showErrorMessage="1" errorTitle="Ошибка" error="Допускается ввод только действительных чисел!" sqref="S47">
      <formula1>-9.99999999999999E+23</formula1>
      <formula2>9.99999999999999E+23</formula2>
    </dataValidation>
    <dataValidation type="decimal" allowBlank="1" showErrorMessage="1" errorTitle="Ошибка" error="Допускается ввод только действительных чисел!" sqref="R47">
      <formula1>-9.99999999999999E+23</formula1>
      <formula2>9.99999999999999E+23</formula2>
    </dataValidation>
    <dataValidation type="decimal" allowBlank="1" showErrorMessage="1" errorTitle="Ошибка" error="Допускается ввод только действительных чисел!" sqref="Q47">
      <formula1>-9.99999999999999E+23</formula1>
      <formula2>9.99999999999999E+23</formula2>
    </dataValidation>
    <dataValidation type="decimal" allowBlank="1" showErrorMessage="1" errorTitle="Ошибка" error="Допускается ввод только действительных чисел!" sqref="P47">
      <formula1>-9.99999999999999E+23</formula1>
      <formula2>9.99999999999999E+23</formula2>
    </dataValidation>
    <dataValidation type="decimal" allowBlank="1" showErrorMessage="1" errorTitle="Ошибка" error="Допускается ввод только действительных чисел!" sqref="O4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7">
      <formula1>900</formula1>
    </dataValidation>
    <dataValidation type="list" allowBlank="1" showInputMessage="1" showErrorMessage="1" errorTitle="Ошибка" error="Выберите значение из списка" prompt="Выберите значение из списка" sqref="H47">
      <formula1>QRE_METHOD_LIST</formula1>
    </dataValidation>
    <dataValidation type="decimal" allowBlank="1" showErrorMessage="1" errorTitle="Ошибка" error="Допускается ввод только действительных чисел!" sqref="DJ46">
      <formula1>-9.99999999999999E+23</formula1>
      <formula2>9.99999999999999E+23</formula2>
    </dataValidation>
    <dataValidation type="decimal" allowBlank="1" showErrorMessage="1" errorTitle="Ошибка" error="Допускается ввод только действительных чисел!" sqref="DI46">
      <formula1>-9.99999999999999E+23</formula1>
      <formula2>9.99999999999999E+23</formula2>
    </dataValidation>
    <dataValidation type="decimal" allowBlank="1" showErrorMessage="1" errorTitle="Ошибка" error="Допускается ввод только действительных чисел!" sqref="DH46">
      <formula1>-9.99999999999999E+23</formula1>
      <formula2>9.99999999999999E+23</formula2>
    </dataValidation>
    <dataValidation type="decimal" allowBlank="1" showErrorMessage="1" errorTitle="Ошибка" error="Допускается ввод только действительных чисел!" sqref="DG46">
      <formula1>-9.99999999999999E+23</formula1>
      <formula2>9.99999999999999E+23</formula2>
    </dataValidation>
    <dataValidation type="decimal" allowBlank="1" showErrorMessage="1" errorTitle="Ошибка" error="Допускается ввод только действительных чисел!" sqref="DF46">
      <formula1>-9.99999999999999E+23</formula1>
      <formula2>9.99999999999999E+23</formula2>
    </dataValidation>
    <dataValidation type="decimal" allowBlank="1" showErrorMessage="1" errorTitle="Ошибка" error="Допускается ввод только действительных чисел!" sqref="DE46">
      <formula1>-9.99999999999999E+23</formula1>
      <formula2>9.99999999999999E+23</formula2>
    </dataValidation>
    <dataValidation type="decimal" allowBlank="1" showErrorMessage="1" errorTitle="Ошибка" error="Допускается ввод только действительных чисел!" sqref="DD46">
      <formula1>-9.99999999999999E+23</formula1>
      <formula2>9.99999999999999E+23</formula2>
    </dataValidation>
    <dataValidation type="decimal" allowBlank="1" showErrorMessage="1" errorTitle="Ошибка" error="Допускается ввод только действительных чисел!" sqref="DC46">
      <formula1>-9.99999999999999E+23</formula1>
      <formula2>9.99999999999999E+23</formula2>
    </dataValidation>
    <dataValidation type="decimal" allowBlank="1" showErrorMessage="1" errorTitle="Ошибка" error="Допускается ввод только действительных чисел!" sqref="DB46">
      <formula1>-9.99999999999999E+23</formula1>
      <formula2>9.99999999999999E+23</formula2>
    </dataValidation>
    <dataValidation type="decimal" allowBlank="1" showErrorMessage="1" errorTitle="Ошибка" error="Допускается ввод только действительных чисел!" sqref="DA46">
      <formula1>-9.99999999999999E+23</formula1>
      <formula2>9.99999999999999E+23</formula2>
    </dataValidation>
    <dataValidation type="decimal" allowBlank="1" showErrorMessage="1" errorTitle="Ошибка" error="Допускается ввод только действительных чисел!" sqref="CZ46">
      <formula1>-9.99999999999999E+23</formula1>
      <formula2>9.99999999999999E+23</formula2>
    </dataValidation>
    <dataValidation type="decimal" allowBlank="1" showErrorMessage="1" errorTitle="Ошибка" error="Допускается ввод только действительных чисел!" sqref="CY46">
      <formula1>-9.99999999999999E+23</formula1>
      <formula2>9.99999999999999E+23</formula2>
    </dataValidation>
    <dataValidation type="decimal" allowBlank="1" showErrorMessage="1" errorTitle="Ошибка" error="Допускается ввод только действительных чисел!" sqref="CK46">
      <formula1>-9.99999999999999E+23</formula1>
      <formula2>9.99999999999999E+23</formula2>
    </dataValidation>
    <dataValidation type="decimal" allowBlank="1" showErrorMessage="1" errorTitle="Ошибка" error="Допускается ввод только действительных чисел!" sqref="CJ46">
      <formula1>-9.99999999999999E+23</formula1>
      <formula2>9.99999999999999E+23</formula2>
    </dataValidation>
    <dataValidation type="decimal" allowBlank="1" showErrorMessage="1" errorTitle="Ошибка" error="Допускается ввод только действительных чисел!" sqref="CI46">
      <formula1>-9.99999999999999E+23</formula1>
      <formula2>9.99999999999999E+23</formula2>
    </dataValidation>
    <dataValidation type="decimal" allowBlank="1" showErrorMessage="1" errorTitle="Ошибка" error="Допускается ввод только действительных чисел!" sqref="CH46">
      <formula1>-9.99999999999999E+23</formula1>
      <formula2>9.99999999999999E+23</formula2>
    </dataValidation>
    <dataValidation type="decimal" allowBlank="1" showErrorMessage="1" errorTitle="Ошибка" error="Допускается ввод только действительных чисел!" sqref="CG46">
      <formula1>-9.99999999999999E+23</formula1>
      <formula2>9.99999999999999E+23</formula2>
    </dataValidation>
    <dataValidation type="decimal" allowBlank="1" showErrorMessage="1" errorTitle="Ошибка" error="Допускается ввод только действительных чисел!" sqref="CF46">
      <formula1>-9.99999999999999E+23</formula1>
      <formula2>9.99999999999999E+23</formula2>
    </dataValidation>
    <dataValidation type="decimal" allowBlank="1" showErrorMessage="1" errorTitle="Ошибка" error="Допускается ввод только действительных чисел!" sqref="CE46">
      <formula1>-9.99999999999999E+23</formula1>
      <formula2>9.99999999999999E+23</formula2>
    </dataValidation>
    <dataValidation type="decimal" allowBlank="1" showErrorMessage="1" errorTitle="Ошибка" error="Допускается ввод только действительных чисел!" sqref="CD46">
      <formula1>-9.99999999999999E+23</formula1>
      <formula2>9.99999999999999E+23</formula2>
    </dataValidation>
    <dataValidation type="decimal" allowBlank="1" showErrorMessage="1" errorTitle="Ошибка" error="Допускается ввод только действительных чисел!" sqref="CC46">
      <formula1>-9.99999999999999E+23</formula1>
      <formula2>9.99999999999999E+23</formula2>
    </dataValidation>
    <dataValidation type="decimal" allowBlank="1" showErrorMessage="1" errorTitle="Ошибка" error="Допускается ввод только действительных чисел!" sqref="CB46">
      <formula1>-9.99999999999999E+23</formula1>
      <formula2>9.99999999999999E+23</formula2>
    </dataValidation>
    <dataValidation type="decimal" allowBlank="1" showErrorMessage="1" errorTitle="Ошибка" error="Допускается ввод только действительных чисел!" sqref="CA46">
      <formula1>-9.99999999999999E+23</formula1>
      <formula2>9.99999999999999E+23</formula2>
    </dataValidation>
    <dataValidation type="decimal" allowBlank="1" showErrorMessage="1" errorTitle="Ошибка" error="Допускается ввод только действительных чисел!" sqref="BZ46">
      <formula1>-9.99999999999999E+23</formula1>
      <formula2>9.99999999999999E+23</formula2>
    </dataValidation>
    <dataValidation type="decimal" allowBlank="1" showErrorMessage="1" errorTitle="Ошибка" error="Допускается ввод только действительных чисел!" sqref="BY46">
      <formula1>-9.99999999999999E+23</formula1>
      <formula2>9.99999999999999E+23</formula2>
    </dataValidation>
    <dataValidation type="decimal" allowBlank="1" showErrorMessage="1" errorTitle="Ошибка" error="Допускается ввод только действительных чисел!" sqref="BX46">
      <formula1>-9.99999999999999E+23</formula1>
      <formula2>9.99999999999999E+23</formula2>
    </dataValidation>
    <dataValidation type="decimal" allowBlank="1" showErrorMessage="1" errorTitle="Ошибка" error="Допускается ввод только действительных чисел!" sqref="BW46">
      <formula1>-9.99999999999999E+23</formula1>
      <formula2>9.99999999999999E+23</formula2>
    </dataValidation>
    <dataValidation type="decimal" allowBlank="1" showErrorMessage="1" errorTitle="Ошибка" error="Допускается ввод только действительных чисел!" sqref="BV46">
      <formula1>-9.99999999999999E+23</formula1>
      <formula2>9.99999999999999E+23</formula2>
    </dataValidation>
    <dataValidation type="decimal" allowBlank="1" showErrorMessage="1" errorTitle="Ошибка" error="Допускается ввод только действительных чисел!" sqref="BU46">
      <formula1>-9.99999999999999E+23</formula1>
      <formula2>9.99999999999999E+23</formula2>
    </dataValidation>
    <dataValidation type="decimal" allowBlank="1" showErrorMessage="1" errorTitle="Ошибка" error="Допускается ввод только действительных чисел!" sqref="BT46">
      <formula1>-9.99999999999999E+23</formula1>
      <formula2>9.99999999999999E+23</formula2>
    </dataValidation>
    <dataValidation type="decimal" allowBlank="1" showErrorMessage="1" errorTitle="Ошибка" error="Допускается ввод только действительных чисел!" sqref="AB46">
      <formula1>-9.99999999999999E+23</formula1>
      <formula2>9.99999999999999E+23</formula2>
    </dataValidation>
    <dataValidation type="decimal" allowBlank="1" showErrorMessage="1" errorTitle="Ошибка" error="Допускается ввод только действительных чисел!" sqref="AA46">
      <formula1>-9.99999999999999E+23</formula1>
      <formula2>9.99999999999999E+23</formula2>
    </dataValidation>
    <dataValidation type="decimal" allowBlank="1" showErrorMessage="1" errorTitle="Ошибка" error="Допускается ввод только действительных чисел!" sqref="Z46">
      <formula1>-9.99999999999999E+23</formula1>
      <formula2>9.99999999999999E+23</formula2>
    </dataValidation>
    <dataValidation type="decimal" allowBlank="1" showErrorMessage="1" errorTitle="Ошибка" error="Допускается ввод только действительных чисел!" sqref="Y46">
      <formula1>-9.99999999999999E+23</formula1>
      <formula2>9.99999999999999E+23</formula2>
    </dataValidation>
    <dataValidation type="decimal" allowBlank="1" showErrorMessage="1" errorTitle="Ошибка" error="Допускается ввод только действительных чисел!" sqref="X46">
      <formula1>-9.99999999999999E+23</formula1>
      <formula2>9.99999999999999E+23</formula2>
    </dataValidation>
    <dataValidation type="decimal" allowBlank="1" showErrorMessage="1" errorTitle="Ошибка" error="Допускается ввод только действительных чисел!" sqref="W46">
      <formula1>-9.99999999999999E+23</formula1>
      <formula2>9.99999999999999E+23</formula2>
    </dataValidation>
    <dataValidation type="decimal" allowBlank="1" showErrorMessage="1" errorTitle="Ошибка" error="Допускается ввод только действительных чисел!" sqref="V46">
      <formula1>-9.99999999999999E+23</formula1>
      <formula2>9.99999999999999E+23</formula2>
    </dataValidation>
    <dataValidation type="decimal" allowBlank="1" showErrorMessage="1" errorTitle="Ошибка" error="Допускается ввод только действительных чисел!" sqref="U46">
      <formula1>-9.99999999999999E+23</formula1>
      <formula2>9.99999999999999E+23</formula2>
    </dataValidation>
    <dataValidation type="decimal" allowBlank="1" showErrorMessage="1" errorTitle="Ошибка" error="Допускается ввод только действительных чисел!" sqref="T46">
      <formula1>-9.99999999999999E+23</formula1>
      <formula2>9.99999999999999E+23</formula2>
    </dataValidation>
    <dataValidation type="decimal" allowBlank="1" showErrorMessage="1" errorTitle="Ошибка" error="Допускается ввод только действительных чисел!" sqref="S46">
      <formula1>-9.99999999999999E+23</formula1>
      <formula2>9.99999999999999E+23</formula2>
    </dataValidation>
    <dataValidation type="decimal" allowBlank="1" showErrorMessage="1" errorTitle="Ошибка" error="Допускается ввод только действительных чисел!" sqref="R46">
      <formula1>-9.99999999999999E+23</formula1>
      <formula2>9.99999999999999E+23</formula2>
    </dataValidation>
    <dataValidation type="decimal" allowBlank="1" showErrorMessage="1" errorTitle="Ошибка" error="Допускается ввод только действительных чисел!" sqref="Q46">
      <formula1>-9.99999999999999E+23</formula1>
      <formula2>9.99999999999999E+23</formula2>
    </dataValidation>
    <dataValidation type="decimal" allowBlank="1" showErrorMessage="1" errorTitle="Ошибка" error="Допускается ввод только действительных чисел!" sqref="P46">
      <formula1>-9.99999999999999E+23</formula1>
      <formula2>9.99999999999999E+23</formula2>
    </dataValidation>
    <dataValidation type="decimal" allowBlank="1" showErrorMessage="1" errorTitle="Ошибка" error="Допускается ввод только действительных чисел!" sqref="O4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6">
      <formula1>900</formula1>
    </dataValidation>
    <dataValidation type="list" allowBlank="1" showInputMessage="1" showErrorMessage="1" errorTitle="Ошибка" error="Выберите значение из списка" prompt="Выберите значение из списка" sqref="H46">
      <formula1>QRE_METHOD_LIST</formula1>
    </dataValidation>
    <dataValidation type="decimal" allowBlank="1" showErrorMessage="1" errorTitle="Ошибка" error="Допускается ввод только действительных чисел!" sqref="DJ45">
      <formula1>-9.99999999999999E+23</formula1>
      <formula2>9.99999999999999E+23</formula2>
    </dataValidation>
    <dataValidation type="decimal" allowBlank="1" showErrorMessage="1" errorTitle="Ошибка" error="Допускается ввод только действительных чисел!" sqref="DI45">
      <formula1>-9.99999999999999E+23</formula1>
      <formula2>9.99999999999999E+23</formula2>
    </dataValidation>
    <dataValidation type="decimal" allowBlank="1" showErrorMessage="1" errorTitle="Ошибка" error="Допускается ввод только действительных чисел!" sqref="DH45">
      <formula1>-9.99999999999999E+23</formula1>
      <formula2>9.99999999999999E+23</formula2>
    </dataValidation>
    <dataValidation type="decimal" allowBlank="1" showErrorMessage="1" errorTitle="Ошибка" error="Допускается ввод только действительных чисел!" sqref="DG45">
      <formula1>-9.99999999999999E+23</formula1>
      <formula2>9.99999999999999E+23</formula2>
    </dataValidation>
    <dataValidation type="decimal" allowBlank="1" showErrorMessage="1" errorTitle="Ошибка" error="Допускается ввод только действительных чисел!" sqref="DF45">
      <formula1>-9.99999999999999E+23</formula1>
      <formula2>9.99999999999999E+23</formula2>
    </dataValidation>
    <dataValidation type="decimal" allowBlank="1" showErrorMessage="1" errorTitle="Ошибка" error="Допускается ввод только действительных чисел!" sqref="DE45">
      <formula1>-9.99999999999999E+23</formula1>
      <formula2>9.99999999999999E+23</formula2>
    </dataValidation>
    <dataValidation type="decimal" allowBlank="1" showErrorMessage="1" errorTitle="Ошибка" error="Допускается ввод только действительных чисел!" sqref="DD45">
      <formula1>-9.99999999999999E+23</formula1>
      <formula2>9.99999999999999E+23</formula2>
    </dataValidation>
    <dataValidation type="decimal" allowBlank="1" showErrorMessage="1" errorTitle="Ошибка" error="Допускается ввод только действительных чисел!" sqref="DC45">
      <formula1>-9.99999999999999E+23</formula1>
      <formula2>9.99999999999999E+23</formula2>
    </dataValidation>
    <dataValidation type="decimal" allowBlank="1" showErrorMessage="1" errorTitle="Ошибка" error="Допускается ввод только действительных чисел!" sqref="DB45">
      <formula1>-9.99999999999999E+23</formula1>
      <formula2>9.99999999999999E+23</formula2>
    </dataValidation>
    <dataValidation type="decimal" allowBlank="1" showErrorMessage="1" errorTitle="Ошибка" error="Допускается ввод только действительных чисел!" sqref="DA45">
      <formula1>-9.99999999999999E+23</formula1>
      <formula2>9.99999999999999E+23</formula2>
    </dataValidation>
    <dataValidation type="decimal" allowBlank="1" showErrorMessage="1" errorTitle="Ошибка" error="Допускается ввод только действительных чисел!" sqref="CZ45">
      <formula1>-9.99999999999999E+23</formula1>
      <formula2>9.99999999999999E+23</formula2>
    </dataValidation>
    <dataValidation type="decimal" allowBlank="1" showErrorMessage="1" errorTitle="Ошибка" error="Допускается ввод только действительных чисел!" sqref="CY45">
      <formula1>-9.99999999999999E+23</formula1>
      <formula2>9.99999999999999E+23</formula2>
    </dataValidation>
    <dataValidation type="decimal" allowBlank="1" showErrorMessage="1" errorTitle="Ошибка" error="Допускается ввод только действительных чисел!" sqref="CK45">
      <formula1>-9.99999999999999E+23</formula1>
      <formula2>9.99999999999999E+23</formula2>
    </dataValidation>
    <dataValidation type="decimal" allowBlank="1" showErrorMessage="1" errorTitle="Ошибка" error="Допускается ввод только действительных чисел!" sqref="CJ45">
      <formula1>-9.99999999999999E+23</formula1>
      <formula2>9.99999999999999E+23</formula2>
    </dataValidation>
    <dataValidation type="decimal" allowBlank="1" showErrorMessage="1" errorTitle="Ошибка" error="Допускается ввод только действительных чисел!" sqref="CI45">
      <formula1>-9.99999999999999E+23</formula1>
      <formula2>9.99999999999999E+23</formula2>
    </dataValidation>
    <dataValidation type="decimal" allowBlank="1" showErrorMessage="1" errorTitle="Ошибка" error="Допускается ввод только действительных чисел!" sqref="CH45">
      <formula1>-9.99999999999999E+23</formula1>
      <formula2>9.99999999999999E+23</formula2>
    </dataValidation>
    <dataValidation type="decimal" allowBlank="1" showErrorMessage="1" errorTitle="Ошибка" error="Допускается ввод только действительных чисел!" sqref="CG45">
      <formula1>-9.99999999999999E+23</formula1>
      <formula2>9.99999999999999E+23</formula2>
    </dataValidation>
    <dataValidation type="decimal" allowBlank="1" showErrorMessage="1" errorTitle="Ошибка" error="Допускается ввод только действительных чисел!" sqref="CF45">
      <formula1>-9.99999999999999E+23</formula1>
      <formula2>9.99999999999999E+23</formula2>
    </dataValidation>
    <dataValidation type="decimal" allowBlank="1" showErrorMessage="1" errorTitle="Ошибка" error="Допускается ввод только действительных чисел!" sqref="CE45">
      <formula1>-9.99999999999999E+23</formula1>
      <formula2>9.99999999999999E+23</formula2>
    </dataValidation>
    <dataValidation type="decimal" allowBlank="1" showErrorMessage="1" errorTitle="Ошибка" error="Допускается ввод только действительных чисел!" sqref="CD45">
      <formula1>-9.99999999999999E+23</formula1>
      <formula2>9.99999999999999E+23</formula2>
    </dataValidation>
    <dataValidation type="decimal" allowBlank="1" showErrorMessage="1" errorTitle="Ошибка" error="Допускается ввод только действительных чисел!" sqref="CC45">
      <formula1>-9.99999999999999E+23</formula1>
      <formula2>9.99999999999999E+23</formula2>
    </dataValidation>
    <dataValidation type="decimal" allowBlank="1" showErrorMessage="1" errorTitle="Ошибка" error="Допускается ввод только действительных чисел!" sqref="CB45">
      <formula1>-9.99999999999999E+23</formula1>
      <formula2>9.99999999999999E+23</formula2>
    </dataValidation>
    <dataValidation type="decimal" allowBlank="1" showErrorMessage="1" errorTitle="Ошибка" error="Допускается ввод только действительных чисел!" sqref="CA45">
      <formula1>-9.99999999999999E+23</formula1>
      <formula2>9.99999999999999E+23</formula2>
    </dataValidation>
    <dataValidation type="decimal" allowBlank="1" showErrorMessage="1" errorTitle="Ошибка" error="Допускается ввод только действительных чисел!" sqref="BZ45">
      <formula1>-9.99999999999999E+23</formula1>
      <formula2>9.99999999999999E+23</formula2>
    </dataValidation>
    <dataValidation type="decimal" allowBlank="1" showErrorMessage="1" errorTitle="Ошибка" error="Допускается ввод только действительных чисел!" sqref="BY45">
      <formula1>-9.99999999999999E+23</formula1>
      <formula2>9.99999999999999E+23</formula2>
    </dataValidation>
    <dataValidation type="decimal" allowBlank="1" showErrorMessage="1" errorTitle="Ошибка" error="Допускается ввод только действительных чисел!" sqref="BX45">
      <formula1>-9.99999999999999E+23</formula1>
      <formula2>9.99999999999999E+23</formula2>
    </dataValidation>
    <dataValidation type="decimal" allowBlank="1" showErrorMessage="1" errorTitle="Ошибка" error="Допускается ввод только действительных чисел!" sqref="BW45">
      <formula1>-9.99999999999999E+23</formula1>
      <formula2>9.99999999999999E+23</formula2>
    </dataValidation>
    <dataValidation type="decimal" allowBlank="1" showErrorMessage="1" errorTitle="Ошибка" error="Допускается ввод только действительных чисел!" sqref="BV45">
      <formula1>-9.99999999999999E+23</formula1>
      <formula2>9.99999999999999E+23</formula2>
    </dataValidation>
    <dataValidation type="decimal" allowBlank="1" showErrorMessage="1" errorTitle="Ошибка" error="Допускается ввод только действительных чисел!" sqref="BU45">
      <formula1>-9.99999999999999E+23</formula1>
      <formula2>9.99999999999999E+23</formula2>
    </dataValidation>
    <dataValidation type="decimal" allowBlank="1" showErrorMessage="1" errorTitle="Ошибка" error="Допускается ввод только действительных чисел!" sqref="BT45">
      <formula1>-9.99999999999999E+23</formula1>
      <formula2>9.99999999999999E+23</formula2>
    </dataValidation>
    <dataValidation type="decimal" allowBlank="1" showErrorMessage="1" errorTitle="Ошибка" error="Допускается ввод только действительных чисел!" sqref="AB45">
      <formula1>-9.99999999999999E+23</formula1>
      <formula2>9.99999999999999E+23</formula2>
    </dataValidation>
    <dataValidation type="decimal" allowBlank="1" showErrorMessage="1" errorTitle="Ошибка" error="Допускается ввод только действительных чисел!" sqref="AA45">
      <formula1>-9.99999999999999E+23</formula1>
      <formula2>9.99999999999999E+23</formula2>
    </dataValidation>
    <dataValidation type="decimal" allowBlank="1" showErrorMessage="1" errorTitle="Ошибка" error="Допускается ввод только действительных чисел!" sqref="Z45">
      <formula1>-9.99999999999999E+23</formula1>
      <formula2>9.99999999999999E+23</formula2>
    </dataValidation>
    <dataValidation type="decimal" allowBlank="1" showErrorMessage="1" errorTitle="Ошибка" error="Допускается ввод только действительных чисел!" sqref="Y45">
      <formula1>-9.99999999999999E+23</formula1>
      <formula2>9.99999999999999E+23</formula2>
    </dataValidation>
    <dataValidation type="decimal" allowBlank="1" showErrorMessage="1" errorTitle="Ошибка" error="Допускается ввод только действительных чисел!" sqref="X45">
      <formula1>-9.99999999999999E+23</formula1>
      <formula2>9.99999999999999E+23</formula2>
    </dataValidation>
    <dataValidation type="decimal" allowBlank="1" showErrorMessage="1" errorTitle="Ошибка" error="Допускается ввод только действительных чисел!" sqref="W45">
      <formula1>-9.99999999999999E+23</formula1>
      <formula2>9.99999999999999E+23</formula2>
    </dataValidation>
    <dataValidation type="decimal" allowBlank="1" showErrorMessage="1" errorTitle="Ошибка" error="Допускается ввод только действительных чисел!" sqref="V45">
      <formula1>-9.99999999999999E+23</formula1>
      <formula2>9.99999999999999E+23</formula2>
    </dataValidation>
    <dataValidation type="decimal" allowBlank="1" showErrorMessage="1" errorTitle="Ошибка" error="Допускается ввод только действительных чисел!" sqref="U45">
      <formula1>-9.99999999999999E+23</formula1>
      <formula2>9.99999999999999E+23</formula2>
    </dataValidation>
    <dataValidation type="decimal" allowBlank="1" showErrorMessage="1" errorTitle="Ошибка" error="Допускается ввод только действительных чисел!" sqref="T45">
      <formula1>-9.99999999999999E+23</formula1>
      <formula2>9.99999999999999E+23</formula2>
    </dataValidation>
    <dataValidation type="decimal" allowBlank="1" showErrorMessage="1" errorTitle="Ошибка" error="Допускается ввод только действительных чисел!" sqref="S45">
      <formula1>-9.99999999999999E+23</formula1>
      <formula2>9.99999999999999E+23</formula2>
    </dataValidation>
    <dataValidation type="decimal" allowBlank="1" showErrorMessage="1" errorTitle="Ошибка" error="Допускается ввод только действительных чисел!" sqref="R45">
      <formula1>-9.99999999999999E+23</formula1>
      <formula2>9.99999999999999E+23</formula2>
    </dataValidation>
    <dataValidation type="decimal" allowBlank="1" showErrorMessage="1" errorTitle="Ошибка" error="Допускается ввод только действительных чисел!" sqref="Q45">
      <formula1>-9.99999999999999E+23</formula1>
      <formula2>9.99999999999999E+23</formula2>
    </dataValidation>
    <dataValidation type="decimal" allowBlank="1" showErrorMessage="1" errorTitle="Ошибка" error="Допускается ввод только действительных чисел!" sqref="P45">
      <formula1>-9.99999999999999E+23</formula1>
      <formula2>9.99999999999999E+23</formula2>
    </dataValidation>
    <dataValidation type="decimal" allowBlank="1" showErrorMessage="1" errorTitle="Ошибка" error="Допускается ввод только действительных чисел!" sqref="O4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5">
      <formula1>900</formula1>
    </dataValidation>
    <dataValidation type="list" allowBlank="1" showInputMessage="1" showErrorMessage="1" errorTitle="Ошибка" error="Выберите значение из списка" prompt="Выберите значение из списка" sqref="H45">
      <formula1>QRE_METHOD_LIST</formula1>
    </dataValidation>
    <dataValidation type="decimal" allowBlank="1" showErrorMessage="1" errorTitle="Ошибка" error="Допускается ввод только действительных чисел!" sqref="DJ44">
      <formula1>-9.99999999999999E+23</formula1>
      <formula2>9.99999999999999E+23</formula2>
    </dataValidation>
    <dataValidation type="decimal" allowBlank="1" showErrorMessage="1" errorTitle="Ошибка" error="Допускается ввод только действительных чисел!" sqref="DI44">
      <formula1>-9.99999999999999E+23</formula1>
      <formula2>9.99999999999999E+23</formula2>
    </dataValidation>
    <dataValidation type="decimal" allowBlank="1" showErrorMessage="1" errorTitle="Ошибка" error="Допускается ввод только действительных чисел!" sqref="DH44">
      <formula1>-9.99999999999999E+23</formula1>
      <formula2>9.99999999999999E+23</formula2>
    </dataValidation>
    <dataValidation type="decimal" allowBlank="1" showErrorMessage="1" errorTitle="Ошибка" error="Допускается ввод только действительных чисел!" sqref="DG44">
      <formula1>-9.99999999999999E+23</formula1>
      <formula2>9.99999999999999E+23</formula2>
    </dataValidation>
    <dataValidation type="decimal" allowBlank="1" showErrorMessage="1" errorTitle="Ошибка" error="Допускается ввод только действительных чисел!" sqref="DF44">
      <formula1>-9.99999999999999E+23</formula1>
      <formula2>9.99999999999999E+23</formula2>
    </dataValidation>
    <dataValidation type="decimal" allowBlank="1" showErrorMessage="1" errorTitle="Ошибка" error="Допускается ввод только действительных чисел!" sqref="DE44">
      <formula1>-9.99999999999999E+23</formula1>
      <formula2>9.99999999999999E+23</formula2>
    </dataValidation>
    <dataValidation type="decimal" allowBlank="1" showErrorMessage="1" errorTitle="Ошибка" error="Допускается ввод только действительных чисел!" sqref="DD44">
      <formula1>-9.99999999999999E+23</formula1>
      <formula2>9.99999999999999E+23</formula2>
    </dataValidation>
    <dataValidation type="decimal" allowBlank="1" showErrorMessage="1" errorTitle="Ошибка" error="Допускается ввод только действительных чисел!" sqref="DC44">
      <formula1>-9.99999999999999E+23</formula1>
      <formula2>9.99999999999999E+23</formula2>
    </dataValidation>
    <dataValidation type="decimal" allowBlank="1" showErrorMessage="1" errorTitle="Ошибка" error="Допускается ввод только действительных чисел!" sqref="DB44">
      <formula1>-9.99999999999999E+23</formula1>
      <formula2>9.99999999999999E+23</formula2>
    </dataValidation>
    <dataValidation type="decimal" allowBlank="1" showErrorMessage="1" errorTitle="Ошибка" error="Допускается ввод только действительных чисел!" sqref="DA44">
      <formula1>-9.99999999999999E+23</formula1>
      <formula2>9.99999999999999E+23</formula2>
    </dataValidation>
    <dataValidation type="decimal" allowBlank="1" showErrorMessage="1" errorTitle="Ошибка" error="Допускается ввод только действительных чисел!" sqref="CZ44">
      <formula1>-9.99999999999999E+23</formula1>
      <formula2>9.99999999999999E+23</formula2>
    </dataValidation>
    <dataValidation type="decimal" allowBlank="1" showErrorMessage="1" errorTitle="Ошибка" error="Допускается ввод только действительных чисел!" sqref="CY44">
      <formula1>-9.99999999999999E+23</formula1>
      <formula2>9.99999999999999E+23</formula2>
    </dataValidation>
    <dataValidation type="decimal" allowBlank="1" showErrorMessage="1" errorTitle="Ошибка" error="Допускается ввод только действительных чисел!" sqref="CK44">
      <formula1>-9.99999999999999E+23</formula1>
      <formula2>9.99999999999999E+23</formula2>
    </dataValidation>
    <dataValidation type="decimal" allowBlank="1" showErrorMessage="1" errorTitle="Ошибка" error="Допускается ввод только действительных чисел!" sqref="CJ44">
      <formula1>-9.99999999999999E+23</formula1>
      <formula2>9.99999999999999E+23</formula2>
    </dataValidation>
    <dataValidation type="decimal" allowBlank="1" showErrorMessage="1" errorTitle="Ошибка" error="Допускается ввод только действительных чисел!" sqref="CI44">
      <formula1>-9.99999999999999E+23</formula1>
      <formula2>9.99999999999999E+23</formula2>
    </dataValidation>
    <dataValidation type="decimal" allowBlank="1" showErrorMessage="1" errorTitle="Ошибка" error="Допускается ввод только действительных чисел!" sqref="CH44">
      <formula1>-9.99999999999999E+23</formula1>
      <formula2>9.99999999999999E+23</formula2>
    </dataValidation>
    <dataValidation type="decimal" allowBlank="1" showErrorMessage="1" errorTitle="Ошибка" error="Допускается ввод только действительных чисел!" sqref="CG44">
      <formula1>-9.99999999999999E+23</formula1>
      <formula2>9.99999999999999E+23</formula2>
    </dataValidation>
    <dataValidation type="decimal" allowBlank="1" showErrorMessage="1" errorTitle="Ошибка" error="Допускается ввод только действительных чисел!" sqref="CF44">
      <formula1>-9.99999999999999E+23</formula1>
      <formula2>9.99999999999999E+23</formula2>
    </dataValidation>
    <dataValidation type="decimal" allowBlank="1" showErrorMessage="1" errorTitle="Ошибка" error="Допускается ввод только действительных чисел!" sqref="CE44">
      <formula1>-9.99999999999999E+23</formula1>
      <formula2>9.99999999999999E+23</formula2>
    </dataValidation>
    <dataValidation type="decimal" allowBlank="1" showErrorMessage="1" errorTitle="Ошибка" error="Допускается ввод только действительных чисел!" sqref="CD44">
      <formula1>-9.99999999999999E+23</formula1>
      <formula2>9.99999999999999E+23</formula2>
    </dataValidation>
    <dataValidation type="decimal" allowBlank="1" showErrorMessage="1" errorTitle="Ошибка" error="Допускается ввод только действительных чисел!" sqref="CC44">
      <formula1>-9.99999999999999E+23</formula1>
      <formula2>9.99999999999999E+23</formula2>
    </dataValidation>
    <dataValidation type="decimal" allowBlank="1" showErrorMessage="1" errorTitle="Ошибка" error="Допускается ввод только действительных чисел!" sqref="CB44">
      <formula1>-9.99999999999999E+23</formula1>
      <formula2>9.99999999999999E+23</formula2>
    </dataValidation>
    <dataValidation type="decimal" allowBlank="1" showErrorMessage="1" errorTitle="Ошибка" error="Допускается ввод только действительных чисел!" sqref="CA44">
      <formula1>-9.99999999999999E+23</formula1>
      <formula2>9.99999999999999E+23</formula2>
    </dataValidation>
    <dataValidation type="decimal" allowBlank="1" showErrorMessage="1" errorTitle="Ошибка" error="Допускается ввод только действительных чисел!" sqref="BZ44">
      <formula1>-9.99999999999999E+23</formula1>
      <formula2>9.99999999999999E+23</formula2>
    </dataValidation>
    <dataValidation type="decimal" allowBlank="1" showErrorMessage="1" errorTitle="Ошибка" error="Допускается ввод только действительных чисел!" sqref="BY44">
      <formula1>-9.99999999999999E+23</formula1>
      <formula2>9.99999999999999E+23</formula2>
    </dataValidation>
    <dataValidation type="decimal" allowBlank="1" showErrorMessage="1" errorTitle="Ошибка" error="Допускается ввод только действительных чисел!" sqref="BX44">
      <formula1>-9.99999999999999E+23</formula1>
      <formula2>9.99999999999999E+23</formula2>
    </dataValidation>
    <dataValidation type="decimal" allowBlank="1" showErrorMessage="1" errorTitle="Ошибка" error="Допускается ввод только действительных чисел!" sqref="BW44">
      <formula1>-9.99999999999999E+23</formula1>
      <formula2>9.99999999999999E+23</formula2>
    </dataValidation>
    <dataValidation type="decimal" allowBlank="1" showErrorMessage="1" errorTitle="Ошибка" error="Допускается ввод только действительных чисел!" sqref="BV44">
      <formula1>-9.99999999999999E+23</formula1>
      <formula2>9.99999999999999E+23</formula2>
    </dataValidation>
    <dataValidation type="decimal" allowBlank="1" showErrorMessage="1" errorTitle="Ошибка" error="Допускается ввод только действительных чисел!" sqref="BU44">
      <formula1>-9.99999999999999E+23</formula1>
      <formula2>9.99999999999999E+23</formula2>
    </dataValidation>
    <dataValidation type="decimal" allowBlank="1" showErrorMessage="1" errorTitle="Ошибка" error="Допускается ввод только действительных чисел!" sqref="BT44">
      <formula1>-9.99999999999999E+23</formula1>
      <formula2>9.99999999999999E+23</formula2>
    </dataValidation>
    <dataValidation type="decimal" allowBlank="1" showErrorMessage="1" errorTitle="Ошибка" error="Допускается ввод только действительных чисел!" sqref="AB44">
      <formula1>-9.99999999999999E+23</formula1>
      <formula2>9.99999999999999E+23</formula2>
    </dataValidation>
    <dataValidation type="decimal" allowBlank="1" showErrorMessage="1" errorTitle="Ошибка" error="Допускается ввод только действительных чисел!" sqref="AA44">
      <formula1>-9.99999999999999E+23</formula1>
      <formula2>9.99999999999999E+23</formula2>
    </dataValidation>
    <dataValidation type="decimal" allowBlank="1" showErrorMessage="1" errorTitle="Ошибка" error="Допускается ввод только действительных чисел!" sqref="Z44">
      <formula1>-9.99999999999999E+23</formula1>
      <formula2>9.99999999999999E+23</formula2>
    </dataValidation>
    <dataValidation type="decimal" allowBlank="1" showErrorMessage="1" errorTitle="Ошибка" error="Допускается ввод только действительных чисел!" sqref="Y44">
      <formula1>-9.99999999999999E+23</formula1>
      <formula2>9.99999999999999E+23</formula2>
    </dataValidation>
    <dataValidation type="decimal" allowBlank="1" showErrorMessage="1" errorTitle="Ошибка" error="Допускается ввод только действительных чисел!" sqref="X44">
      <formula1>-9.99999999999999E+23</formula1>
      <formula2>9.99999999999999E+23</formula2>
    </dataValidation>
    <dataValidation type="decimal" allowBlank="1" showErrorMessage="1" errorTitle="Ошибка" error="Допускается ввод только действительных чисел!" sqref="W44">
      <formula1>-9.99999999999999E+23</formula1>
      <formula2>9.99999999999999E+23</formula2>
    </dataValidation>
    <dataValidation type="decimal" allowBlank="1" showErrorMessage="1" errorTitle="Ошибка" error="Допускается ввод только действительных чисел!" sqref="V44">
      <formula1>-9.99999999999999E+23</formula1>
      <formula2>9.99999999999999E+23</formula2>
    </dataValidation>
    <dataValidation type="decimal" allowBlank="1" showErrorMessage="1" errorTitle="Ошибка" error="Допускается ввод только действительных чисел!" sqref="U44">
      <formula1>-9.99999999999999E+23</formula1>
      <formula2>9.99999999999999E+23</formula2>
    </dataValidation>
    <dataValidation type="decimal" allowBlank="1" showErrorMessage="1" errorTitle="Ошибка" error="Допускается ввод только действительных чисел!" sqref="T44">
      <formula1>-9.99999999999999E+23</formula1>
      <formula2>9.99999999999999E+23</formula2>
    </dataValidation>
    <dataValidation type="decimal" allowBlank="1" showErrorMessage="1" errorTitle="Ошибка" error="Допускается ввод только действительных чисел!" sqref="S44">
      <formula1>-9.99999999999999E+23</formula1>
      <formula2>9.99999999999999E+23</formula2>
    </dataValidation>
    <dataValidation type="decimal" allowBlank="1" showErrorMessage="1" errorTitle="Ошибка" error="Допускается ввод только действительных чисел!" sqref="R44">
      <formula1>-9.99999999999999E+23</formula1>
      <formula2>9.99999999999999E+23</formula2>
    </dataValidation>
    <dataValidation type="decimal" allowBlank="1" showErrorMessage="1" errorTitle="Ошибка" error="Допускается ввод только действительных чисел!" sqref="Q44">
      <formula1>-9.99999999999999E+23</formula1>
      <formula2>9.99999999999999E+23</formula2>
    </dataValidation>
    <dataValidation type="decimal" allowBlank="1" showErrorMessage="1" errorTitle="Ошибка" error="Допускается ввод только действительных чисел!" sqref="P44">
      <formula1>-9.99999999999999E+23</formula1>
      <formula2>9.99999999999999E+23</formula2>
    </dataValidation>
    <dataValidation type="decimal" allowBlank="1" showErrorMessage="1" errorTitle="Ошибка" error="Допускается ввод только действительных чисел!" sqref="O4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4">
      <formula1>900</formula1>
    </dataValidation>
    <dataValidation type="list" allowBlank="1" showInputMessage="1" showErrorMessage="1" errorTitle="Ошибка" error="Выберите значение из списка" prompt="Выберите значение из списка" sqref="H44">
      <formula1>QRE_METHOD_LIST</formula1>
    </dataValidation>
    <dataValidation type="decimal" allowBlank="1" showErrorMessage="1" errorTitle="Ошибка" error="Допускается ввод только действительных чисел!" sqref="DJ43">
      <formula1>-9.99999999999999E+23</formula1>
      <formula2>9.99999999999999E+23</formula2>
    </dataValidation>
    <dataValidation type="decimal" allowBlank="1" showErrorMessage="1" errorTitle="Ошибка" error="Допускается ввод только действительных чисел!" sqref="DI43">
      <formula1>-9.99999999999999E+23</formula1>
      <formula2>9.99999999999999E+23</formula2>
    </dataValidation>
    <dataValidation type="decimal" allowBlank="1" showErrorMessage="1" errorTitle="Ошибка" error="Допускается ввод только действительных чисел!" sqref="DH43">
      <formula1>-9.99999999999999E+23</formula1>
      <formula2>9.99999999999999E+23</formula2>
    </dataValidation>
    <dataValidation type="decimal" allowBlank="1" showErrorMessage="1" errorTitle="Ошибка" error="Допускается ввод только действительных чисел!" sqref="DG43">
      <formula1>-9.99999999999999E+23</formula1>
      <formula2>9.99999999999999E+23</formula2>
    </dataValidation>
    <dataValidation type="decimal" allowBlank="1" showErrorMessage="1" errorTitle="Ошибка" error="Допускается ввод только действительных чисел!" sqref="DF43">
      <formula1>-9.99999999999999E+23</formula1>
      <formula2>9.99999999999999E+23</formula2>
    </dataValidation>
    <dataValidation type="decimal" allowBlank="1" showErrorMessage="1" errorTitle="Ошибка" error="Допускается ввод только действительных чисел!" sqref="DE43">
      <formula1>-9.99999999999999E+23</formula1>
      <formula2>9.99999999999999E+23</formula2>
    </dataValidation>
    <dataValidation type="decimal" allowBlank="1" showErrorMessage="1" errorTitle="Ошибка" error="Допускается ввод только действительных чисел!" sqref="DD43">
      <formula1>-9.99999999999999E+23</formula1>
      <formula2>9.99999999999999E+23</formula2>
    </dataValidation>
    <dataValidation type="decimal" allowBlank="1" showErrorMessage="1" errorTitle="Ошибка" error="Допускается ввод только действительных чисел!" sqref="DC43">
      <formula1>-9.99999999999999E+23</formula1>
      <formula2>9.99999999999999E+23</formula2>
    </dataValidation>
    <dataValidation type="decimal" allowBlank="1" showErrorMessage="1" errorTitle="Ошибка" error="Допускается ввод только действительных чисел!" sqref="DB43">
      <formula1>-9.99999999999999E+23</formula1>
      <formula2>9.99999999999999E+23</formula2>
    </dataValidation>
    <dataValidation type="decimal" allowBlank="1" showErrorMessage="1" errorTitle="Ошибка" error="Допускается ввод только действительных чисел!" sqref="DA43">
      <formula1>-9.99999999999999E+23</formula1>
      <formula2>9.99999999999999E+23</formula2>
    </dataValidation>
    <dataValidation type="decimal" allowBlank="1" showErrorMessage="1" errorTitle="Ошибка" error="Допускается ввод только действительных чисел!" sqref="CZ43">
      <formula1>-9.99999999999999E+23</formula1>
      <formula2>9.99999999999999E+23</formula2>
    </dataValidation>
    <dataValidation type="decimal" allowBlank="1" showErrorMessage="1" errorTitle="Ошибка" error="Допускается ввод только действительных чисел!" sqref="CY43">
      <formula1>-9.99999999999999E+23</formula1>
      <formula2>9.99999999999999E+23</formula2>
    </dataValidation>
    <dataValidation type="decimal" allowBlank="1" showErrorMessage="1" errorTitle="Ошибка" error="Допускается ввод только действительных чисел!" sqref="CK43">
      <formula1>-9.99999999999999E+23</formula1>
      <formula2>9.99999999999999E+23</formula2>
    </dataValidation>
    <dataValidation type="decimal" allowBlank="1" showErrorMessage="1" errorTitle="Ошибка" error="Допускается ввод только действительных чисел!" sqref="CJ43">
      <formula1>-9.99999999999999E+23</formula1>
      <formula2>9.99999999999999E+23</formula2>
    </dataValidation>
    <dataValidation type="decimal" allowBlank="1" showErrorMessage="1" errorTitle="Ошибка" error="Допускается ввод только действительных чисел!" sqref="CI43">
      <formula1>-9.99999999999999E+23</formula1>
      <formula2>9.99999999999999E+23</formula2>
    </dataValidation>
    <dataValidation type="decimal" allowBlank="1" showErrorMessage="1" errorTitle="Ошибка" error="Допускается ввод только действительных чисел!" sqref="CH43">
      <formula1>-9.99999999999999E+23</formula1>
      <formula2>9.99999999999999E+23</formula2>
    </dataValidation>
    <dataValidation type="decimal" allowBlank="1" showErrorMessage="1" errorTitle="Ошибка" error="Допускается ввод только действительных чисел!" sqref="CG43">
      <formula1>-9.99999999999999E+23</formula1>
      <formula2>9.99999999999999E+23</formula2>
    </dataValidation>
    <dataValidation type="decimal" allowBlank="1" showErrorMessage="1" errorTitle="Ошибка" error="Допускается ввод только действительных чисел!" sqref="CF43">
      <formula1>-9.99999999999999E+23</formula1>
      <formula2>9.99999999999999E+23</formula2>
    </dataValidation>
    <dataValidation type="decimal" allowBlank="1" showErrorMessage="1" errorTitle="Ошибка" error="Допускается ввод только действительных чисел!" sqref="CE43">
      <formula1>-9.99999999999999E+23</formula1>
      <formula2>9.99999999999999E+23</formula2>
    </dataValidation>
    <dataValidation type="decimal" allowBlank="1" showErrorMessage="1" errorTitle="Ошибка" error="Допускается ввод только действительных чисел!" sqref="CD43">
      <formula1>-9.99999999999999E+23</formula1>
      <formula2>9.99999999999999E+23</formula2>
    </dataValidation>
    <dataValidation type="decimal" allowBlank="1" showErrorMessage="1" errorTitle="Ошибка" error="Допускается ввод только действительных чисел!" sqref="CC43">
      <formula1>-9.99999999999999E+23</formula1>
      <formula2>9.99999999999999E+23</formula2>
    </dataValidation>
    <dataValidation type="decimal" allowBlank="1" showErrorMessage="1" errorTitle="Ошибка" error="Допускается ввод только действительных чисел!" sqref="CB43">
      <formula1>-9.99999999999999E+23</formula1>
      <formula2>9.99999999999999E+23</formula2>
    </dataValidation>
    <dataValidation type="decimal" allowBlank="1" showErrorMessage="1" errorTitle="Ошибка" error="Допускается ввод только действительных чисел!" sqref="CA43">
      <formula1>-9.99999999999999E+23</formula1>
      <formula2>9.99999999999999E+23</formula2>
    </dataValidation>
    <dataValidation type="decimal" allowBlank="1" showErrorMessage="1" errorTitle="Ошибка" error="Допускается ввод только действительных чисел!" sqref="BZ43">
      <formula1>-9.99999999999999E+23</formula1>
      <formula2>9.99999999999999E+23</formula2>
    </dataValidation>
    <dataValidation type="decimal" allowBlank="1" showErrorMessage="1" errorTitle="Ошибка" error="Допускается ввод только действительных чисел!" sqref="BY43">
      <formula1>-9.99999999999999E+23</formula1>
      <formula2>9.99999999999999E+23</formula2>
    </dataValidation>
    <dataValidation type="decimal" allowBlank="1" showErrorMessage="1" errorTitle="Ошибка" error="Допускается ввод только действительных чисел!" sqref="BX43">
      <formula1>-9.99999999999999E+23</formula1>
      <formula2>9.99999999999999E+23</formula2>
    </dataValidation>
    <dataValidation type="decimal" allowBlank="1" showErrorMessage="1" errorTitle="Ошибка" error="Допускается ввод только действительных чисел!" sqref="BW43">
      <formula1>-9.99999999999999E+23</formula1>
      <formula2>9.99999999999999E+23</formula2>
    </dataValidation>
    <dataValidation type="decimal" allowBlank="1" showErrorMessage="1" errorTitle="Ошибка" error="Допускается ввод только действительных чисел!" sqref="BV43">
      <formula1>-9.99999999999999E+23</formula1>
      <formula2>9.99999999999999E+23</formula2>
    </dataValidation>
    <dataValidation type="decimal" allowBlank="1" showErrorMessage="1" errorTitle="Ошибка" error="Допускается ввод только действительных чисел!" sqref="BU43">
      <formula1>-9.99999999999999E+23</formula1>
      <formula2>9.99999999999999E+23</formula2>
    </dataValidation>
    <dataValidation type="decimal" allowBlank="1" showErrorMessage="1" errorTitle="Ошибка" error="Допускается ввод только действительных чисел!" sqref="BT43">
      <formula1>-9.99999999999999E+23</formula1>
      <formula2>9.99999999999999E+23</formula2>
    </dataValidation>
    <dataValidation type="decimal" allowBlank="1" showErrorMessage="1" errorTitle="Ошибка" error="Допускается ввод только действительных чисел!" sqref="AB43">
      <formula1>-9.99999999999999E+23</formula1>
      <formula2>9.99999999999999E+23</formula2>
    </dataValidation>
    <dataValidation type="decimal" allowBlank="1" showErrorMessage="1" errorTitle="Ошибка" error="Допускается ввод только действительных чисел!" sqref="AA43">
      <formula1>-9.99999999999999E+23</formula1>
      <formula2>9.99999999999999E+23</formula2>
    </dataValidation>
    <dataValidation type="decimal" allowBlank="1" showErrorMessage="1" errorTitle="Ошибка" error="Допускается ввод только действительных чисел!" sqref="Z43">
      <formula1>-9.99999999999999E+23</formula1>
      <formula2>9.99999999999999E+23</formula2>
    </dataValidation>
    <dataValidation type="decimal" allowBlank="1" showErrorMessage="1" errorTitle="Ошибка" error="Допускается ввод только действительных чисел!" sqref="Y43">
      <formula1>-9.99999999999999E+23</formula1>
      <formula2>9.99999999999999E+23</formula2>
    </dataValidation>
    <dataValidation type="decimal" allowBlank="1" showErrorMessage="1" errorTitle="Ошибка" error="Допускается ввод только действительных чисел!" sqref="X43">
      <formula1>-9.99999999999999E+23</formula1>
      <formula2>9.99999999999999E+23</formula2>
    </dataValidation>
    <dataValidation type="decimal" allowBlank="1" showErrorMessage="1" errorTitle="Ошибка" error="Допускается ввод только действительных чисел!" sqref="W43">
      <formula1>-9.99999999999999E+23</formula1>
      <formula2>9.99999999999999E+23</formula2>
    </dataValidation>
    <dataValidation type="decimal" allowBlank="1" showErrorMessage="1" errorTitle="Ошибка" error="Допускается ввод только действительных чисел!" sqref="V43">
      <formula1>-9.99999999999999E+23</formula1>
      <formula2>9.99999999999999E+23</formula2>
    </dataValidation>
    <dataValidation type="decimal" allowBlank="1" showErrorMessage="1" errorTitle="Ошибка" error="Допускается ввод только действительных чисел!" sqref="U43">
      <formula1>-9.99999999999999E+23</formula1>
      <formula2>9.99999999999999E+23</formula2>
    </dataValidation>
    <dataValidation type="decimal" allowBlank="1" showErrorMessage="1" errorTitle="Ошибка" error="Допускается ввод только действительных чисел!" sqref="T43">
      <formula1>-9.99999999999999E+23</formula1>
      <formula2>9.99999999999999E+23</formula2>
    </dataValidation>
    <dataValidation type="decimal" allowBlank="1" showErrorMessage="1" errorTitle="Ошибка" error="Допускается ввод только действительных чисел!" sqref="S43">
      <formula1>-9.99999999999999E+23</formula1>
      <formula2>9.99999999999999E+23</formula2>
    </dataValidation>
    <dataValidation type="decimal" allowBlank="1" showErrorMessage="1" errorTitle="Ошибка" error="Допускается ввод только действительных чисел!" sqref="R43">
      <formula1>-9.99999999999999E+23</formula1>
      <formula2>9.99999999999999E+23</formula2>
    </dataValidation>
    <dataValidation type="decimal" allowBlank="1" showErrorMessage="1" errorTitle="Ошибка" error="Допускается ввод только действительных чисел!" sqref="Q43">
      <formula1>-9.99999999999999E+23</formula1>
      <formula2>9.99999999999999E+23</formula2>
    </dataValidation>
    <dataValidation type="decimal" allowBlank="1" showErrorMessage="1" errorTitle="Ошибка" error="Допускается ввод только действительных чисел!" sqref="P43">
      <formula1>-9.99999999999999E+23</formula1>
      <formula2>9.99999999999999E+23</formula2>
    </dataValidation>
    <dataValidation type="decimal" allowBlank="1" showErrorMessage="1" errorTitle="Ошибка" error="Допускается ввод только действительных чисел!" sqref="O4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3">
      <formula1>900</formula1>
    </dataValidation>
    <dataValidation type="list" allowBlank="1" showInputMessage="1" showErrorMessage="1" errorTitle="Ошибка" error="Выберите значение из списка" prompt="Выберите значение из списка" sqref="H43">
      <formula1>QRE_METHOD_LIST</formula1>
    </dataValidation>
    <dataValidation type="decimal" allowBlank="1" showErrorMessage="1" errorTitle="Ошибка" error="Допускается ввод только действительных чисел!" sqref="DJ42">
      <formula1>-9.99999999999999E+23</formula1>
      <formula2>9.99999999999999E+23</formula2>
    </dataValidation>
    <dataValidation type="decimal" allowBlank="1" showErrorMessage="1" errorTitle="Ошибка" error="Допускается ввод только действительных чисел!" sqref="DI42">
      <formula1>-9.99999999999999E+23</formula1>
      <formula2>9.99999999999999E+23</formula2>
    </dataValidation>
    <dataValidation type="decimal" allowBlank="1" showErrorMessage="1" errorTitle="Ошибка" error="Допускается ввод только действительных чисел!" sqref="DH42">
      <formula1>-9.99999999999999E+23</formula1>
      <formula2>9.99999999999999E+23</formula2>
    </dataValidation>
    <dataValidation type="decimal" allowBlank="1" showErrorMessage="1" errorTitle="Ошибка" error="Допускается ввод только действительных чисел!" sqref="DG42">
      <formula1>-9.99999999999999E+23</formula1>
      <formula2>9.99999999999999E+23</formula2>
    </dataValidation>
    <dataValidation type="decimal" allowBlank="1" showErrorMessage="1" errorTitle="Ошибка" error="Допускается ввод только действительных чисел!" sqref="DF42">
      <formula1>-9.99999999999999E+23</formula1>
      <formula2>9.99999999999999E+23</formula2>
    </dataValidation>
    <dataValidation type="decimal" allowBlank="1" showErrorMessage="1" errorTitle="Ошибка" error="Допускается ввод только действительных чисел!" sqref="DE42">
      <formula1>-9.99999999999999E+23</formula1>
      <formula2>9.99999999999999E+23</formula2>
    </dataValidation>
    <dataValidation type="decimal" allowBlank="1" showErrorMessage="1" errorTitle="Ошибка" error="Допускается ввод только действительных чисел!" sqref="DD42">
      <formula1>-9.99999999999999E+23</formula1>
      <formula2>9.99999999999999E+23</formula2>
    </dataValidation>
    <dataValidation type="decimal" allowBlank="1" showErrorMessage="1" errorTitle="Ошибка" error="Допускается ввод только действительных чисел!" sqref="DC42">
      <formula1>-9.99999999999999E+23</formula1>
      <formula2>9.99999999999999E+23</formula2>
    </dataValidation>
    <dataValidation type="decimal" allowBlank="1" showErrorMessage="1" errorTitle="Ошибка" error="Допускается ввод только действительных чисел!" sqref="DB42">
      <formula1>-9.99999999999999E+23</formula1>
      <formula2>9.99999999999999E+23</formula2>
    </dataValidation>
    <dataValidation type="decimal" allowBlank="1" showErrorMessage="1" errorTitle="Ошибка" error="Допускается ввод только действительных чисел!" sqref="DA42">
      <formula1>-9.99999999999999E+23</formula1>
      <formula2>9.99999999999999E+23</formula2>
    </dataValidation>
    <dataValidation type="decimal" allowBlank="1" showErrorMessage="1" errorTitle="Ошибка" error="Допускается ввод только действительных чисел!" sqref="CZ42">
      <formula1>-9.99999999999999E+23</formula1>
      <formula2>9.99999999999999E+23</formula2>
    </dataValidation>
    <dataValidation type="decimal" allowBlank="1" showErrorMessage="1" errorTitle="Ошибка" error="Допускается ввод только действительных чисел!" sqref="CY42">
      <formula1>-9.99999999999999E+23</formula1>
      <formula2>9.99999999999999E+23</formula2>
    </dataValidation>
    <dataValidation type="decimal" allowBlank="1" showErrorMessage="1" errorTitle="Ошибка" error="Допускается ввод только действительных чисел!" sqref="CK42">
      <formula1>-9.99999999999999E+23</formula1>
      <formula2>9.99999999999999E+23</formula2>
    </dataValidation>
    <dataValidation type="decimal" allowBlank="1" showErrorMessage="1" errorTitle="Ошибка" error="Допускается ввод только действительных чисел!" sqref="CJ42">
      <formula1>-9.99999999999999E+23</formula1>
      <formula2>9.99999999999999E+23</formula2>
    </dataValidation>
    <dataValidation type="decimal" allowBlank="1" showErrorMessage="1" errorTitle="Ошибка" error="Допускается ввод только действительных чисел!" sqref="CI42">
      <formula1>-9.99999999999999E+23</formula1>
      <formula2>9.99999999999999E+23</formula2>
    </dataValidation>
    <dataValidation type="decimal" allowBlank="1" showErrorMessage="1" errorTitle="Ошибка" error="Допускается ввод только действительных чисел!" sqref="CH42">
      <formula1>-9.99999999999999E+23</formula1>
      <formula2>9.99999999999999E+23</formula2>
    </dataValidation>
    <dataValidation type="decimal" allowBlank="1" showErrorMessage="1" errorTitle="Ошибка" error="Допускается ввод только действительных чисел!" sqref="CG42">
      <formula1>-9.99999999999999E+23</formula1>
      <formula2>9.99999999999999E+23</formula2>
    </dataValidation>
    <dataValidation type="decimal" allowBlank="1" showErrorMessage="1" errorTitle="Ошибка" error="Допускается ввод только действительных чисел!" sqref="CF42">
      <formula1>-9.99999999999999E+23</formula1>
      <formula2>9.99999999999999E+23</formula2>
    </dataValidation>
    <dataValidation type="decimal" allowBlank="1" showErrorMessage="1" errorTitle="Ошибка" error="Допускается ввод только действительных чисел!" sqref="CE42">
      <formula1>-9.99999999999999E+23</formula1>
      <formula2>9.99999999999999E+23</formula2>
    </dataValidation>
    <dataValidation type="decimal" allowBlank="1" showErrorMessage="1" errorTitle="Ошибка" error="Допускается ввод только действительных чисел!" sqref="CD42">
      <formula1>-9.99999999999999E+23</formula1>
      <formula2>9.99999999999999E+23</formula2>
    </dataValidation>
    <dataValidation type="decimal" allowBlank="1" showErrorMessage="1" errorTitle="Ошибка" error="Допускается ввод только действительных чисел!" sqref="CC42">
      <formula1>-9.99999999999999E+23</formula1>
      <formula2>9.99999999999999E+23</formula2>
    </dataValidation>
    <dataValidation type="decimal" allowBlank="1" showErrorMessage="1" errorTitle="Ошибка" error="Допускается ввод только действительных чисел!" sqref="CB42">
      <formula1>-9.99999999999999E+23</formula1>
      <formula2>9.99999999999999E+23</formula2>
    </dataValidation>
    <dataValidation type="decimal" allowBlank="1" showErrorMessage="1" errorTitle="Ошибка" error="Допускается ввод только действительных чисел!" sqref="CA42">
      <formula1>-9.99999999999999E+23</formula1>
      <formula2>9.99999999999999E+23</formula2>
    </dataValidation>
    <dataValidation type="decimal" allowBlank="1" showErrorMessage="1" errorTitle="Ошибка" error="Допускается ввод только действительных чисел!" sqref="BZ42">
      <formula1>-9.99999999999999E+23</formula1>
      <formula2>9.99999999999999E+23</formula2>
    </dataValidation>
    <dataValidation type="decimal" allowBlank="1" showErrorMessage="1" errorTitle="Ошибка" error="Допускается ввод только действительных чисел!" sqref="BY42">
      <formula1>-9.99999999999999E+23</formula1>
      <formula2>9.99999999999999E+23</formula2>
    </dataValidation>
    <dataValidation type="decimal" allowBlank="1" showErrorMessage="1" errorTitle="Ошибка" error="Допускается ввод только действительных чисел!" sqref="BX42">
      <formula1>-9.99999999999999E+23</formula1>
      <formula2>9.99999999999999E+23</formula2>
    </dataValidation>
    <dataValidation type="decimal" allowBlank="1" showErrorMessage="1" errorTitle="Ошибка" error="Допускается ввод только действительных чисел!" sqref="BW42">
      <formula1>-9.99999999999999E+23</formula1>
      <formula2>9.99999999999999E+23</formula2>
    </dataValidation>
    <dataValidation type="decimal" allowBlank="1" showErrorMessage="1" errorTitle="Ошибка" error="Допускается ввод только действительных чисел!" sqref="BV42">
      <formula1>-9.99999999999999E+23</formula1>
      <formula2>9.99999999999999E+23</formula2>
    </dataValidation>
    <dataValidation type="decimal" allowBlank="1" showErrorMessage="1" errorTitle="Ошибка" error="Допускается ввод только действительных чисел!" sqref="BU42">
      <formula1>-9.99999999999999E+23</formula1>
      <formula2>9.99999999999999E+23</formula2>
    </dataValidation>
    <dataValidation type="decimal" allowBlank="1" showErrorMessage="1" errorTitle="Ошибка" error="Допускается ввод только действительных чисел!" sqref="BT42">
      <formula1>-9.99999999999999E+23</formula1>
      <formula2>9.99999999999999E+23</formula2>
    </dataValidation>
    <dataValidation type="decimal" allowBlank="1" showErrorMessage="1" errorTitle="Ошибка" error="Допускается ввод только действительных чисел!" sqref="AB42">
      <formula1>-9.99999999999999E+23</formula1>
      <formula2>9.99999999999999E+23</formula2>
    </dataValidation>
    <dataValidation type="decimal" allowBlank="1" showErrorMessage="1" errorTitle="Ошибка" error="Допускается ввод только действительных чисел!" sqref="AA42">
      <formula1>-9.99999999999999E+23</formula1>
      <formula2>9.99999999999999E+23</formula2>
    </dataValidation>
    <dataValidation type="decimal" allowBlank="1" showErrorMessage="1" errorTitle="Ошибка" error="Допускается ввод только действительных чисел!" sqref="Z42">
      <formula1>-9.99999999999999E+23</formula1>
      <formula2>9.99999999999999E+23</formula2>
    </dataValidation>
    <dataValidation type="decimal" allowBlank="1" showErrorMessage="1" errorTitle="Ошибка" error="Допускается ввод только действительных чисел!" sqref="Y42">
      <formula1>-9.99999999999999E+23</formula1>
      <formula2>9.99999999999999E+23</formula2>
    </dataValidation>
    <dataValidation type="decimal" allowBlank="1" showErrorMessage="1" errorTitle="Ошибка" error="Допускается ввод только действительных чисел!" sqref="X42">
      <formula1>-9.99999999999999E+23</formula1>
      <formula2>9.99999999999999E+23</formula2>
    </dataValidation>
    <dataValidation type="decimal" allowBlank="1" showErrorMessage="1" errorTitle="Ошибка" error="Допускается ввод только действительных чисел!" sqref="W42">
      <formula1>-9.99999999999999E+23</formula1>
      <formula2>9.99999999999999E+23</formula2>
    </dataValidation>
    <dataValidation type="decimal" allowBlank="1" showErrorMessage="1" errorTitle="Ошибка" error="Допускается ввод только действительных чисел!" sqref="V42">
      <formula1>-9.99999999999999E+23</formula1>
      <formula2>9.99999999999999E+23</formula2>
    </dataValidation>
    <dataValidation type="decimal" allowBlank="1" showErrorMessage="1" errorTitle="Ошибка" error="Допускается ввод только действительных чисел!" sqref="U42">
      <formula1>-9.99999999999999E+23</formula1>
      <formula2>9.99999999999999E+23</formula2>
    </dataValidation>
    <dataValidation type="decimal" allowBlank="1" showErrorMessage="1" errorTitle="Ошибка" error="Допускается ввод только действительных чисел!" sqref="T42">
      <formula1>-9.99999999999999E+23</formula1>
      <formula2>9.99999999999999E+23</formula2>
    </dataValidation>
    <dataValidation type="decimal" allowBlank="1" showErrorMessage="1" errorTitle="Ошибка" error="Допускается ввод только действительных чисел!" sqref="S42">
      <formula1>-9.99999999999999E+23</formula1>
      <formula2>9.99999999999999E+23</formula2>
    </dataValidation>
    <dataValidation type="decimal" allowBlank="1" showErrorMessage="1" errorTitle="Ошибка" error="Допускается ввод только действительных чисел!" sqref="R42">
      <formula1>-9.99999999999999E+23</formula1>
      <formula2>9.99999999999999E+23</formula2>
    </dataValidation>
    <dataValidation type="decimal" allowBlank="1" showErrorMessage="1" errorTitle="Ошибка" error="Допускается ввод только действительных чисел!" sqref="Q42">
      <formula1>-9.99999999999999E+23</formula1>
      <formula2>9.99999999999999E+23</formula2>
    </dataValidation>
    <dataValidation type="decimal" allowBlank="1" showErrorMessage="1" errorTitle="Ошибка" error="Допускается ввод только действительных чисел!" sqref="P42">
      <formula1>-9.99999999999999E+23</formula1>
      <formula2>9.99999999999999E+23</formula2>
    </dataValidation>
    <dataValidation type="decimal" allowBlank="1" showErrorMessage="1" errorTitle="Ошибка" error="Допускается ввод только действительных чисел!" sqref="O4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2">
      <formula1>900</formula1>
    </dataValidation>
    <dataValidation type="list" allowBlank="1" showInputMessage="1" showErrorMessage="1" errorTitle="Ошибка" error="Выберите значение из списка" prompt="Выберите значение из списка" sqref="H42">
      <formula1>QRE_METHOD_LIST</formula1>
    </dataValidation>
    <dataValidation type="decimal" allowBlank="1" showErrorMessage="1" errorTitle="Ошибка" error="Допускается ввод только действительных чисел!" sqref="DJ41">
      <formula1>-9.99999999999999E+23</formula1>
      <formula2>9.99999999999999E+23</formula2>
    </dataValidation>
    <dataValidation type="decimal" allowBlank="1" showErrorMessage="1" errorTitle="Ошибка" error="Допускается ввод только действительных чисел!" sqref="DI41">
      <formula1>-9.99999999999999E+23</formula1>
      <formula2>9.99999999999999E+23</formula2>
    </dataValidation>
    <dataValidation type="decimal" allowBlank="1" showErrorMessage="1" errorTitle="Ошибка" error="Допускается ввод только действительных чисел!" sqref="DH41">
      <formula1>-9.99999999999999E+23</formula1>
      <formula2>9.99999999999999E+23</formula2>
    </dataValidation>
    <dataValidation type="decimal" allowBlank="1" showErrorMessage="1" errorTitle="Ошибка" error="Допускается ввод только действительных чисел!" sqref="DG41">
      <formula1>-9.99999999999999E+23</formula1>
      <formula2>9.99999999999999E+23</formula2>
    </dataValidation>
    <dataValidation type="decimal" allowBlank="1" showErrorMessage="1" errorTitle="Ошибка" error="Допускается ввод только действительных чисел!" sqref="DF41">
      <formula1>-9.99999999999999E+23</formula1>
      <formula2>9.99999999999999E+23</formula2>
    </dataValidation>
    <dataValidation type="decimal" allowBlank="1" showErrorMessage="1" errorTitle="Ошибка" error="Допускается ввод только действительных чисел!" sqref="DE41">
      <formula1>-9.99999999999999E+23</formula1>
      <formula2>9.99999999999999E+23</formula2>
    </dataValidation>
    <dataValidation type="decimal" allowBlank="1" showErrorMessage="1" errorTitle="Ошибка" error="Допускается ввод только действительных чисел!" sqref="DD41">
      <formula1>-9.99999999999999E+23</formula1>
      <formula2>9.99999999999999E+23</formula2>
    </dataValidation>
    <dataValidation type="decimal" allowBlank="1" showErrorMessage="1" errorTitle="Ошибка" error="Допускается ввод только действительных чисел!" sqref="DC41">
      <formula1>-9.99999999999999E+23</formula1>
      <formula2>9.99999999999999E+23</formula2>
    </dataValidation>
    <dataValidation type="decimal" allowBlank="1" showErrorMessage="1" errorTitle="Ошибка" error="Допускается ввод только действительных чисел!" sqref="DB41">
      <formula1>-9.99999999999999E+23</formula1>
      <formula2>9.99999999999999E+23</formula2>
    </dataValidation>
    <dataValidation type="decimal" allowBlank="1" showErrorMessage="1" errorTitle="Ошибка" error="Допускается ввод только действительных чисел!" sqref="DA41">
      <formula1>-9.99999999999999E+23</formula1>
      <formula2>9.99999999999999E+23</formula2>
    </dataValidation>
    <dataValidation type="decimal" allowBlank="1" showErrorMessage="1" errorTitle="Ошибка" error="Допускается ввод только действительных чисел!" sqref="CZ41">
      <formula1>-9.99999999999999E+23</formula1>
      <formula2>9.99999999999999E+23</formula2>
    </dataValidation>
    <dataValidation type="decimal" allowBlank="1" showErrorMessage="1" errorTitle="Ошибка" error="Допускается ввод только действительных чисел!" sqref="CY41">
      <formula1>-9.99999999999999E+23</formula1>
      <formula2>9.99999999999999E+23</formula2>
    </dataValidation>
    <dataValidation type="decimal" allowBlank="1" showErrorMessage="1" errorTitle="Ошибка" error="Допускается ввод только действительных чисел!" sqref="CK41">
      <formula1>-9.99999999999999E+23</formula1>
      <formula2>9.99999999999999E+23</formula2>
    </dataValidation>
    <dataValidation type="decimal" allowBlank="1" showErrorMessage="1" errorTitle="Ошибка" error="Допускается ввод только действительных чисел!" sqref="CJ41">
      <formula1>-9.99999999999999E+23</formula1>
      <formula2>9.99999999999999E+23</formula2>
    </dataValidation>
    <dataValidation type="decimal" allowBlank="1" showErrorMessage="1" errorTitle="Ошибка" error="Допускается ввод только действительных чисел!" sqref="CI41">
      <formula1>-9.99999999999999E+23</formula1>
      <formula2>9.99999999999999E+23</formula2>
    </dataValidation>
    <dataValidation type="decimal" allowBlank="1" showErrorMessage="1" errorTitle="Ошибка" error="Допускается ввод только действительных чисел!" sqref="CH41">
      <formula1>-9.99999999999999E+23</formula1>
      <formula2>9.99999999999999E+23</formula2>
    </dataValidation>
    <dataValidation type="decimal" allowBlank="1" showErrorMessage="1" errorTitle="Ошибка" error="Допускается ввод только действительных чисел!" sqref="CG41">
      <formula1>-9.99999999999999E+23</formula1>
      <formula2>9.99999999999999E+23</formula2>
    </dataValidation>
    <dataValidation type="decimal" allowBlank="1" showErrorMessage="1" errorTitle="Ошибка" error="Допускается ввод только действительных чисел!" sqref="CF41">
      <formula1>-9.99999999999999E+23</formula1>
      <formula2>9.99999999999999E+23</formula2>
    </dataValidation>
    <dataValidation type="decimal" allowBlank="1" showErrorMessage="1" errorTitle="Ошибка" error="Допускается ввод только действительных чисел!" sqref="CE41">
      <formula1>-9.99999999999999E+23</formula1>
      <formula2>9.99999999999999E+23</formula2>
    </dataValidation>
    <dataValidation type="decimal" allowBlank="1" showErrorMessage="1" errorTitle="Ошибка" error="Допускается ввод только действительных чисел!" sqref="CD41">
      <formula1>-9.99999999999999E+23</formula1>
      <formula2>9.99999999999999E+23</formula2>
    </dataValidation>
    <dataValidation type="decimal" allowBlank="1" showErrorMessage="1" errorTitle="Ошибка" error="Допускается ввод только действительных чисел!" sqref="CC41">
      <formula1>-9.99999999999999E+23</formula1>
      <formula2>9.99999999999999E+23</formula2>
    </dataValidation>
    <dataValidation type="decimal" allowBlank="1" showErrorMessage="1" errorTitle="Ошибка" error="Допускается ввод только действительных чисел!" sqref="CB41">
      <formula1>-9.99999999999999E+23</formula1>
      <formula2>9.99999999999999E+23</formula2>
    </dataValidation>
    <dataValidation type="decimal" allowBlank="1" showErrorMessage="1" errorTitle="Ошибка" error="Допускается ввод только действительных чисел!" sqref="CA41">
      <formula1>-9.99999999999999E+23</formula1>
      <formula2>9.99999999999999E+23</formula2>
    </dataValidation>
    <dataValidation type="decimal" allowBlank="1" showErrorMessage="1" errorTitle="Ошибка" error="Допускается ввод только действительных чисел!" sqref="BZ41">
      <formula1>-9.99999999999999E+23</formula1>
      <formula2>9.99999999999999E+23</formula2>
    </dataValidation>
    <dataValidation type="decimal" allowBlank="1" showErrorMessage="1" errorTitle="Ошибка" error="Допускается ввод только действительных чисел!" sqref="BY41">
      <formula1>-9.99999999999999E+23</formula1>
      <formula2>9.99999999999999E+23</formula2>
    </dataValidation>
    <dataValidation type="decimal" allowBlank="1" showErrorMessage="1" errorTitle="Ошибка" error="Допускается ввод только действительных чисел!" sqref="BX41">
      <formula1>-9.99999999999999E+23</formula1>
      <formula2>9.99999999999999E+23</formula2>
    </dataValidation>
    <dataValidation type="decimal" allowBlank="1" showErrorMessage="1" errorTitle="Ошибка" error="Допускается ввод только действительных чисел!" sqref="BW41">
      <formula1>-9.99999999999999E+23</formula1>
      <formula2>9.99999999999999E+23</formula2>
    </dataValidation>
    <dataValidation type="decimal" allowBlank="1" showErrorMessage="1" errorTitle="Ошибка" error="Допускается ввод только действительных чисел!" sqref="BV41">
      <formula1>-9.99999999999999E+23</formula1>
      <formula2>9.99999999999999E+23</formula2>
    </dataValidation>
    <dataValidation type="decimal" allowBlank="1" showErrorMessage="1" errorTitle="Ошибка" error="Допускается ввод только действительных чисел!" sqref="BU41">
      <formula1>-9.99999999999999E+23</formula1>
      <formula2>9.99999999999999E+23</formula2>
    </dataValidation>
    <dataValidation type="decimal" allowBlank="1" showErrorMessage="1" errorTitle="Ошибка" error="Допускается ввод только действительных чисел!" sqref="BT41">
      <formula1>-9.99999999999999E+23</formula1>
      <formula2>9.99999999999999E+23</formula2>
    </dataValidation>
    <dataValidation type="decimal" allowBlank="1" showErrorMessage="1" errorTitle="Ошибка" error="Допускается ввод только действительных чисел!" sqref="AB41">
      <formula1>-9.99999999999999E+23</formula1>
      <formula2>9.99999999999999E+23</formula2>
    </dataValidation>
    <dataValidation type="decimal" allowBlank="1" showErrorMessage="1" errorTitle="Ошибка" error="Допускается ввод только действительных чисел!" sqref="AA41">
      <formula1>-9.99999999999999E+23</formula1>
      <formula2>9.99999999999999E+23</formula2>
    </dataValidation>
    <dataValidation type="decimal" allowBlank="1" showErrorMessage="1" errorTitle="Ошибка" error="Допускается ввод только действительных чисел!" sqref="Z41">
      <formula1>-9.99999999999999E+23</formula1>
      <formula2>9.99999999999999E+23</formula2>
    </dataValidation>
    <dataValidation type="decimal" allowBlank="1" showErrorMessage="1" errorTitle="Ошибка" error="Допускается ввод только действительных чисел!" sqref="Y41">
      <formula1>-9.99999999999999E+23</formula1>
      <formula2>9.99999999999999E+23</formula2>
    </dataValidation>
    <dataValidation type="decimal" allowBlank="1" showErrorMessage="1" errorTitle="Ошибка" error="Допускается ввод только действительных чисел!" sqref="X41">
      <formula1>-9.99999999999999E+23</formula1>
      <formula2>9.99999999999999E+23</formula2>
    </dataValidation>
    <dataValidation type="decimal" allowBlank="1" showErrorMessage="1" errorTitle="Ошибка" error="Допускается ввод только действительных чисел!" sqref="W41">
      <formula1>-9.99999999999999E+23</formula1>
      <formula2>9.99999999999999E+23</formula2>
    </dataValidation>
    <dataValidation type="decimal" allowBlank="1" showErrorMessage="1" errorTitle="Ошибка" error="Допускается ввод только действительных чисел!" sqref="V41">
      <formula1>-9.99999999999999E+23</formula1>
      <formula2>9.99999999999999E+23</formula2>
    </dataValidation>
    <dataValidation type="decimal" allowBlank="1" showErrorMessage="1" errorTitle="Ошибка" error="Допускается ввод только действительных чисел!" sqref="U41">
      <formula1>-9.99999999999999E+23</formula1>
      <formula2>9.99999999999999E+23</formula2>
    </dataValidation>
    <dataValidation type="decimal" allowBlank="1" showErrorMessage="1" errorTitle="Ошибка" error="Допускается ввод только действительных чисел!" sqref="T41">
      <formula1>-9.99999999999999E+23</formula1>
      <formula2>9.99999999999999E+23</formula2>
    </dataValidation>
    <dataValidation type="decimal" allowBlank="1" showErrorMessage="1" errorTitle="Ошибка" error="Допускается ввод только действительных чисел!" sqref="S41">
      <formula1>-9.99999999999999E+23</formula1>
      <formula2>9.99999999999999E+23</formula2>
    </dataValidation>
    <dataValidation type="decimal" allowBlank="1" showErrorMessage="1" errorTitle="Ошибка" error="Допускается ввод только действительных чисел!" sqref="R41">
      <formula1>-9.99999999999999E+23</formula1>
      <formula2>9.99999999999999E+23</formula2>
    </dataValidation>
    <dataValidation type="decimal" allowBlank="1" showErrorMessage="1" errorTitle="Ошибка" error="Допускается ввод только действительных чисел!" sqref="Q41">
      <formula1>-9.99999999999999E+23</formula1>
      <formula2>9.99999999999999E+23</formula2>
    </dataValidation>
    <dataValidation type="decimal" allowBlank="1" showErrorMessage="1" errorTitle="Ошибка" error="Допускается ввод только действительных чисел!" sqref="P41">
      <formula1>-9.99999999999999E+23</formula1>
      <formula2>9.99999999999999E+23</formula2>
    </dataValidation>
    <dataValidation type="decimal" allowBlank="1" showErrorMessage="1" errorTitle="Ошибка" error="Допускается ввод только действительных чисел!" sqref="O4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1">
      <formula1>900</formula1>
    </dataValidation>
    <dataValidation type="list" allowBlank="1" showInputMessage="1" showErrorMessage="1" errorTitle="Ошибка" error="Выберите значение из списка" prompt="Выберите значение из списка" sqref="H41">
      <formula1>QRE_METHOD_LIST</formula1>
    </dataValidation>
    <dataValidation type="decimal" allowBlank="1" showErrorMessage="1" errorTitle="Ошибка" error="Допускается ввод только действительных чисел!" sqref="DJ40">
      <formula1>-9.99999999999999E+23</formula1>
      <formula2>9.99999999999999E+23</formula2>
    </dataValidation>
    <dataValidation type="decimal" allowBlank="1" showErrorMessage="1" errorTitle="Ошибка" error="Допускается ввод только действительных чисел!" sqref="DI40">
      <formula1>-9.99999999999999E+23</formula1>
      <formula2>9.99999999999999E+23</formula2>
    </dataValidation>
    <dataValidation type="decimal" allowBlank="1" showErrorMessage="1" errorTitle="Ошибка" error="Допускается ввод только действительных чисел!" sqref="DH40">
      <formula1>-9.99999999999999E+23</formula1>
      <formula2>9.99999999999999E+23</formula2>
    </dataValidation>
    <dataValidation type="decimal" allowBlank="1" showErrorMessage="1" errorTitle="Ошибка" error="Допускается ввод только действительных чисел!" sqref="DG40">
      <formula1>-9.99999999999999E+23</formula1>
      <formula2>9.99999999999999E+23</formula2>
    </dataValidation>
    <dataValidation type="decimal" allowBlank="1" showErrorMessage="1" errorTitle="Ошибка" error="Допускается ввод только действительных чисел!" sqref="DF40">
      <formula1>-9.99999999999999E+23</formula1>
      <formula2>9.99999999999999E+23</formula2>
    </dataValidation>
    <dataValidation type="decimal" allowBlank="1" showErrorMessage="1" errorTitle="Ошибка" error="Допускается ввод только действительных чисел!" sqref="DE40">
      <formula1>-9.99999999999999E+23</formula1>
      <formula2>9.99999999999999E+23</formula2>
    </dataValidation>
    <dataValidation type="decimal" allowBlank="1" showErrorMessage="1" errorTitle="Ошибка" error="Допускается ввод только действительных чисел!" sqref="DD40">
      <formula1>-9.99999999999999E+23</formula1>
      <formula2>9.99999999999999E+23</formula2>
    </dataValidation>
    <dataValidation type="decimal" allowBlank="1" showErrorMessage="1" errorTitle="Ошибка" error="Допускается ввод только действительных чисел!" sqref="DC40">
      <formula1>-9.99999999999999E+23</formula1>
      <formula2>9.99999999999999E+23</formula2>
    </dataValidation>
    <dataValidation type="decimal" allowBlank="1" showErrorMessage="1" errorTitle="Ошибка" error="Допускается ввод только действительных чисел!" sqref="DB40">
      <formula1>-9.99999999999999E+23</formula1>
      <formula2>9.99999999999999E+23</formula2>
    </dataValidation>
    <dataValidation type="decimal" allowBlank="1" showErrorMessage="1" errorTitle="Ошибка" error="Допускается ввод только действительных чисел!" sqref="DA40">
      <formula1>-9.99999999999999E+23</formula1>
      <formula2>9.99999999999999E+23</formula2>
    </dataValidation>
    <dataValidation type="decimal" allowBlank="1" showErrorMessage="1" errorTitle="Ошибка" error="Допускается ввод только действительных чисел!" sqref="CZ40">
      <formula1>-9.99999999999999E+23</formula1>
      <formula2>9.99999999999999E+23</formula2>
    </dataValidation>
    <dataValidation type="decimal" allowBlank="1" showErrorMessage="1" errorTitle="Ошибка" error="Допускается ввод только действительных чисел!" sqref="CY40">
      <formula1>-9.99999999999999E+23</formula1>
      <formula2>9.99999999999999E+23</formula2>
    </dataValidation>
    <dataValidation type="decimal" allowBlank="1" showErrorMessage="1" errorTitle="Ошибка" error="Допускается ввод только действительных чисел!" sqref="CK40">
      <formula1>-9.99999999999999E+23</formula1>
      <formula2>9.99999999999999E+23</formula2>
    </dataValidation>
    <dataValidation type="decimal" allowBlank="1" showErrorMessage="1" errorTitle="Ошибка" error="Допускается ввод только действительных чисел!" sqref="CJ40">
      <formula1>-9.99999999999999E+23</formula1>
      <formula2>9.99999999999999E+23</formula2>
    </dataValidation>
    <dataValidation type="decimal" allowBlank="1" showErrorMessage="1" errorTitle="Ошибка" error="Допускается ввод только действительных чисел!" sqref="CI40">
      <formula1>-9.99999999999999E+23</formula1>
      <formula2>9.99999999999999E+23</formula2>
    </dataValidation>
    <dataValidation type="decimal" allowBlank="1" showErrorMessage="1" errorTitle="Ошибка" error="Допускается ввод только действительных чисел!" sqref="CH40">
      <formula1>-9.99999999999999E+23</formula1>
      <formula2>9.99999999999999E+23</formula2>
    </dataValidation>
    <dataValidation type="decimal" allowBlank="1" showErrorMessage="1" errorTitle="Ошибка" error="Допускается ввод только действительных чисел!" sqref="CG40">
      <formula1>-9.99999999999999E+23</formula1>
      <formula2>9.99999999999999E+23</formula2>
    </dataValidation>
    <dataValidation type="decimal" allowBlank="1" showErrorMessage="1" errorTitle="Ошибка" error="Допускается ввод только действительных чисел!" sqref="CF40">
      <formula1>-9.99999999999999E+23</formula1>
      <formula2>9.99999999999999E+23</formula2>
    </dataValidation>
    <dataValidation type="decimal" allowBlank="1" showErrorMessage="1" errorTitle="Ошибка" error="Допускается ввод только действительных чисел!" sqref="CE40">
      <formula1>-9.99999999999999E+23</formula1>
      <formula2>9.99999999999999E+23</formula2>
    </dataValidation>
    <dataValidation type="decimal" allowBlank="1" showErrorMessage="1" errorTitle="Ошибка" error="Допускается ввод только действительных чисел!" sqref="CD40">
      <formula1>-9.99999999999999E+23</formula1>
      <formula2>9.99999999999999E+23</formula2>
    </dataValidation>
    <dataValidation type="decimal" allowBlank="1" showErrorMessage="1" errorTitle="Ошибка" error="Допускается ввод только действительных чисел!" sqref="CC40">
      <formula1>-9.99999999999999E+23</formula1>
      <formula2>9.99999999999999E+23</formula2>
    </dataValidation>
    <dataValidation type="decimal" allowBlank="1" showErrorMessage="1" errorTitle="Ошибка" error="Допускается ввод только действительных чисел!" sqref="CB40">
      <formula1>-9.99999999999999E+23</formula1>
      <formula2>9.99999999999999E+23</formula2>
    </dataValidation>
    <dataValidation type="decimal" allowBlank="1" showErrorMessage="1" errorTitle="Ошибка" error="Допускается ввод только действительных чисел!" sqref="CA40">
      <formula1>-9.99999999999999E+23</formula1>
      <formula2>9.99999999999999E+23</formula2>
    </dataValidation>
    <dataValidation type="decimal" allowBlank="1" showErrorMessage="1" errorTitle="Ошибка" error="Допускается ввод только действительных чисел!" sqref="BZ40">
      <formula1>-9.99999999999999E+23</formula1>
      <formula2>9.99999999999999E+23</formula2>
    </dataValidation>
    <dataValidation type="decimal" allowBlank="1" showErrorMessage="1" errorTitle="Ошибка" error="Допускается ввод только действительных чисел!" sqref="BY40">
      <formula1>-9.99999999999999E+23</formula1>
      <formula2>9.99999999999999E+23</formula2>
    </dataValidation>
    <dataValidation type="decimal" allowBlank="1" showErrorMessage="1" errorTitle="Ошибка" error="Допускается ввод только действительных чисел!" sqref="BX40">
      <formula1>-9.99999999999999E+23</formula1>
      <formula2>9.99999999999999E+23</formula2>
    </dataValidation>
    <dataValidation type="decimal" allowBlank="1" showErrorMessage="1" errorTitle="Ошибка" error="Допускается ввод только действительных чисел!" sqref="BW40">
      <formula1>-9.99999999999999E+23</formula1>
      <formula2>9.99999999999999E+23</formula2>
    </dataValidation>
    <dataValidation type="decimal" allowBlank="1" showErrorMessage="1" errorTitle="Ошибка" error="Допускается ввод только действительных чисел!" sqref="BV40">
      <formula1>-9.99999999999999E+23</formula1>
      <formula2>9.99999999999999E+23</formula2>
    </dataValidation>
    <dataValidation type="decimal" allowBlank="1" showErrorMessage="1" errorTitle="Ошибка" error="Допускается ввод только действительных чисел!" sqref="BU40">
      <formula1>-9.99999999999999E+23</formula1>
      <formula2>9.99999999999999E+23</formula2>
    </dataValidation>
    <dataValidation type="decimal" allowBlank="1" showErrorMessage="1" errorTitle="Ошибка" error="Допускается ввод только действительных чисел!" sqref="BT40">
      <formula1>-9.99999999999999E+23</formula1>
      <formula2>9.99999999999999E+23</formula2>
    </dataValidation>
    <dataValidation type="decimal" allowBlank="1" showErrorMessage="1" errorTitle="Ошибка" error="Допускается ввод только действительных чисел!" sqref="AB40">
      <formula1>-9.99999999999999E+23</formula1>
      <formula2>9.99999999999999E+23</formula2>
    </dataValidation>
    <dataValidation type="decimal" allowBlank="1" showErrorMessage="1" errorTitle="Ошибка" error="Допускается ввод только действительных чисел!" sqref="AA40">
      <formula1>-9.99999999999999E+23</formula1>
      <formula2>9.99999999999999E+23</formula2>
    </dataValidation>
    <dataValidation type="decimal" allowBlank="1" showErrorMessage="1" errorTitle="Ошибка" error="Допускается ввод только действительных чисел!" sqref="Z40">
      <formula1>-9.99999999999999E+23</formula1>
      <formula2>9.99999999999999E+23</formula2>
    </dataValidation>
    <dataValidation type="decimal" allowBlank="1" showErrorMessage="1" errorTitle="Ошибка" error="Допускается ввод только действительных чисел!" sqref="Y40">
      <formula1>-9.99999999999999E+23</formula1>
      <formula2>9.99999999999999E+23</formula2>
    </dataValidation>
    <dataValidation type="decimal" allowBlank="1" showErrorMessage="1" errorTitle="Ошибка" error="Допускается ввод только действительных чисел!" sqref="X40">
      <formula1>-9.99999999999999E+23</formula1>
      <formula2>9.99999999999999E+23</formula2>
    </dataValidation>
    <dataValidation type="decimal" allowBlank="1" showErrorMessage="1" errorTitle="Ошибка" error="Допускается ввод только действительных чисел!" sqref="W40">
      <formula1>-9.99999999999999E+23</formula1>
      <formula2>9.99999999999999E+23</formula2>
    </dataValidation>
    <dataValidation type="decimal" allowBlank="1" showErrorMessage="1" errorTitle="Ошибка" error="Допускается ввод только действительных чисел!" sqref="V40">
      <formula1>-9.99999999999999E+23</formula1>
      <formula2>9.99999999999999E+23</formula2>
    </dataValidation>
    <dataValidation type="decimal" allowBlank="1" showErrorMessage="1" errorTitle="Ошибка" error="Допускается ввод только действительных чисел!" sqref="U40">
      <formula1>-9.99999999999999E+23</formula1>
      <formula2>9.99999999999999E+23</formula2>
    </dataValidation>
    <dataValidation type="decimal" allowBlank="1" showErrorMessage="1" errorTitle="Ошибка" error="Допускается ввод только действительных чисел!" sqref="T40">
      <formula1>-9.99999999999999E+23</formula1>
      <formula2>9.99999999999999E+23</formula2>
    </dataValidation>
    <dataValidation type="decimal" allowBlank="1" showErrorMessage="1" errorTitle="Ошибка" error="Допускается ввод только действительных чисел!" sqref="S40">
      <formula1>-9.99999999999999E+23</formula1>
      <formula2>9.99999999999999E+23</formula2>
    </dataValidation>
    <dataValidation type="decimal" allowBlank="1" showErrorMessage="1" errorTitle="Ошибка" error="Допускается ввод только действительных чисел!" sqref="R40">
      <formula1>-9.99999999999999E+23</formula1>
      <formula2>9.99999999999999E+23</formula2>
    </dataValidation>
    <dataValidation type="decimal" allowBlank="1" showErrorMessage="1" errorTitle="Ошибка" error="Допускается ввод только действительных чисел!" sqref="Q40">
      <formula1>-9.99999999999999E+23</formula1>
      <formula2>9.99999999999999E+23</formula2>
    </dataValidation>
    <dataValidation type="decimal" allowBlank="1" showErrorMessage="1" errorTitle="Ошибка" error="Допускается ввод только действительных чисел!" sqref="P40">
      <formula1>-9.99999999999999E+23</formula1>
      <formula2>9.99999999999999E+23</formula2>
    </dataValidation>
    <dataValidation type="decimal" allowBlank="1" showErrorMessage="1" errorTitle="Ошибка" error="Допускается ввод только действительных чисел!" sqref="O4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0">
      <formula1>900</formula1>
    </dataValidation>
    <dataValidation type="list" allowBlank="1" showInputMessage="1" showErrorMessage="1" errorTitle="Ошибка" error="Выберите значение из списка" prompt="Выберите значение из списка" sqref="H40">
      <formula1>QRE_METHOD_LIST</formula1>
    </dataValidation>
    <dataValidation type="decimal" allowBlank="1" showErrorMessage="1" errorTitle="Ошибка" error="Допускается ввод только действительных чисел!" sqref="DJ39">
      <formula1>-9.99999999999999E+23</formula1>
      <formula2>9.99999999999999E+23</formula2>
    </dataValidation>
    <dataValidation type="decimal" allowBlank="1" showErrorMessage="1" errorTitle="Ошибка" error="Допускается ввод только действительных чисел!" sqref="DI39">
      <formula1>-9.99999999999999E+23</formula1>
      <formula2>9.99999999999999E+23</formula2>
    </dataValidation>
    <dataValidation type="decimal" allowBlank="1" showErrorMessage="1" errorTitle="Ошибка" error="Допускается ввод только действительных чисел!" sqref="DH39">
      <formula1>-9.99999999999999E+23</formula1>
      <formula2>9.99999999999999E+23</formula2>
    </dataValidation>
    <dataValidation type="decimal" allowBlank="1" showErrorMessage="1" errorTitle="Ошибка" error="Допускается ввод только действительных чисел!" sqref="DG39">
      <formula1>-9.99999999999999E+23</formula1>
      <formula2>9.99999999999999E+23</formula2>
    </dataValidation>
    <dataValidation type="decimal" allowBlank="1" showErrorMessage="1" errorTitle="Ошибка" error="Допускается ввод только действительных чисел!" sqref="DF39">
      <formula1>-9.99999999999999E+23</formula1>
      <formula2>9.99999999999999E+23</formula2>
    </dataValidation>
    <dataValidation type="decimal" allowBlank="1" showErrorMessage="1" errorTitle="Ошибка" error="Допускается ввод только действительных чисел!" sqref="DE39">
      <formula1>-9.99999999999999E+23</formula1>
      <formula2>9.99999999999999E+23</formula2>
    </dataValidation>
    <dataValidation type="decimal" allowBlank="1" showErrorMessage="1" errorTitle="Ошибка" error="Допускается ввод только действительных чисел!" sqref="DD39">
      <formula1>-9.99999999999999E+23</formula1>
      <formula2>9.99999999999999E+23</formula2>
    </dataValidation>
    <dataValidation type="decimal" allowBlank="1" showErrorMessage="1" errorTitle="Ошибка" error="Допускается ввод только действительных чисел!" sqref="DC39">
      <formula1>-9.99999999999999E+23</formula1>
      <formula2>9.99999999999999E+23</formula2>
    </dataValidation>
    <dataValidation type="decimal" allowBlank="1" showErrorMessage="1" errorTitle="Ошибка" error="Допускается ввод только действительных чисел!" sqref="DB39">
      <formula1>-9.99999999999999E+23</formula1>
      <formula2>9.99999999999999E+23</formula2>
    </dataValidation>
    <dataValidation type="decimal" allowBlank="1" showErrorMessage="1" errorTitle="Ошибка" error="Допускается ввод только действительных чисел!" sqref="DA39">
      <formula1>-9.99999999999999E+23</formula1>
      <formula2>9.99999999999999E+23</formula2>
    </dataValidation>
    <dataValidation type="decimal" allowBlank="1" showErrorMessage="1" errorTitle="Ошибка" error="Допускается ввод только действительных чисел!" sqref="CZ39">
      <formula1>-9.99999999999999E+23</formula1>
      <formula2>9.99999999999999E+23</formula2>
    </dataValidation>
    <dataValidation type="decimal" allowBlank="1" showErrorMessage="1" errorTitle="Ошибка" error="Допускается ввод только действительных чисел!" sqref="CY39">
      <formula1>-9.99999999999999E+23</formula1>
      <formula2>9.99999999999999E+23</formula2>
    </dataValidation>
    <dataValidation type="decimal" allowBlank="1" showErrorMessage="1" errorTitle="Ошибка" error="Допускается ввод только действительных чисел!" sqref="CK39">
      <formula1>-9.99999999999999E+23</formula1>
      <formula2>9.99999999999999E+23</formula2>
    </dataValidation>
    <dataValidation type="decimal" allowBlank="1" showErrorMessage="1" errorTitle="Ошибка" error="Допускается ввод только действительных чисел!" sqref="CJ39">
      <formula1>-9.99999999999999E+23</formula1>
      <formula2>9.99999999999999E+23</formula2>
    </dataValidation>
    <dataValidation type="decimal" allowBlank="1" showErrorMessage="1" errorTitle="Ошибка" error="Допускается ввод только действительных чисел!" sqref="CI39">
      <formula1>-9.99999999999999E+23</formula1>
      <formula2>9.99999999999999E+23</formula2>
    </dataValidation>
    <dataValidation type="decimal" allowBlank="1" showErrorMessage="1" errorTitle="Ошибка" error="Допускается ввод только действительных чисел!" sqref="CH39">
      <formula1>-9.99999999999999E+23</formula1>
      <formula2>9.99999999999999E+23</formula2>
    </dataValidation>
    <dataValidation type="decimal" allowBlank="1" showErrorMessage="1" errorTitle="Ошибка" error="Допускается ввод только действительных чисел!" sqref="CG39">
      <formula1>-9.99999999999999E+23</formula1>
      <formula2>9.99999999999999E+23</formula2>
    </dataValidation>
    <dataValidation type="decimal" allowBlank="1" showErrorMessage="1" errorTitle="Ошибка" error="Допускается ввод только действительных чисел!" sqref="CF39">
      <formula1>-9.99999999999999E+23</formula1>
      <formula2>9.99999999999999E+23</formula2>
    </dataValidation>
    <dataValidation type="decimal" allowBlank="1" showErrorMessage="1" errorTitle="Ошибка" error="Допускается ввод только действительных чисел!" sqref="CE39">
      <formula1>-9.99999999999999E+23</formula1>
      <formula2>9.99999999999999E+23</formula2>
    </dataValidation>
    <dataValidation type="decimal" allowBlank="1" showErrorMessage="1" errorTitle="Ошибка" error="Допускается ввод только действительных чисел!" sqref="CD39">
      <formula1>-9.99999999999999E+23</formula1>
      <formula2>9.99999999999999E+23</formula2>
    </dataValidation>
    <dataValidation type="decimal" allowBlank="1" showErrorMessage="1" errorTitle="Ошибка" error="Допускается ввод только действительных чисел!" sqref="CC39">
      <formula1>-9.99999999999999E+23</formula1>
      <formula2>9.99999999999999E+23</formula2>
    </dataValidation>
    <dataValidation type="decimal" allowBlank="1" showErrorMessage="1" errorTitle="Ошибка" error="Допускается ввод только действительных чисел!" sqref="CB39">
      <formula1>-9.99999999999999E+23</formula1>
      <formula2>9.99999999999999E+23</formula2>
    </dataValidation>
    <dataValidation type="decimal" allowBlank="1" showErrorMessage="1" errorTitle="Ошибка" error="Допускается ввод только действительных чисел!" sqref="CA39">
      <formula1>-9.99999999999999E+23</formula1>
      <formula2>9.99999999999999E+23</formula2>
    </dataValidation>
    <dataValidation type="decimal" allowBlank="1" showErrorMessage="1" errorTitle="Ошибка" error="Допускается ввод только действительных чисел!" sqref="BZ39">
      <formula1>-9.99999999999999E+23</formula1>
      <formula2>9.99999999999999E+23</formula2>
    </dataValidation>
    <dataValidation type="decimal" allowBlank="1" showErrorMessage="1" errorTitle="Ошибка" error="Допускается ввод только действительных чисел!" sqref="BY39">
      <formula1>-9.99999999999999E+23</formula1>
      <formula2>9.99999999999999E+23</formula2>
    </dataValidation>
    <dataValidation type="decimal" allowBlank="1" showErrorMessage="1" errorTitle="Ошибка" error="Допускается ввод только действительных чисел!" sqref="BX39">
      <formula1>-9.99999999999999E+23</formula1>
      <formula2>9.99999999999999E+23</formula2>
    </dataValidation>
    <dataValidation type="decimal" allowBlank="1" showErrorMessage="1" errorTitle="Ошибка" error="Допускается ввод только действительных чисел!" sqref="BW39">
      <formula1>-9.99999999999999E+23</formula1>
      <formula2>9.99999999999999E+23</formula2>
    </dataValidation>
    <dataValidation type="decimal" allowBlank="1" showErrorMessage="1" errorTitle="Ошибка" error="Допускается ввод только действительных чисел!" sqref="BV39">
      <formula1>-9.99999999999999E+23</formula1>
      <formula2>9.99999999999999E+23</formula2>
    </dataValidation>
    <dataValidation type="decimal" allowBlank="1" showErrorMessage="1" errorTitle="Ошибка" error="Допускается ввод только действительных чисел!" sqref="BU39">
      <formula1>-9.99999999999999E+23</formula1>
      <formula2>9.99999999999999E+23</formula2>
    </dataValidation>
    <dataValidation type="decimal" allowBlank="1" showErrorMessage="1" errorTitle="Ошибка" error="Допускается ввод только действительных чисел!" sqref="BT39">
      <formula1>-9.99999999999999E+23</formula1>
      <formula2>9.99999999999999E+23</formula2>
    </dataValidation>
    <dataValidation type="decimal" allowBlank="1" showErrorMessage="1" errorTitle="Ошибка" error="Допускается ввод только действительных чисел!" sqref="AB39">
      <formula1>-9.99999999999999E+23</formula1>
      <formula2>9.99999999999999E+23</formula2>
    </dataValidation>
    <dataValidation type="decimal" allowBlank="1" showErrorMessage="1" errorTitle="Ошибка" error="Допускается ввод только действительных чисел!" sqref="AA39">
      <formula1>-9.99999999999999E+23</formula1>
      <formula2>9.99999999999999E+23</formula2>
    </dataValidation>
    <dataValidation type="decimal" allowBlank="1" showErrorMessage="1" errorTitle="Ошибка" error="Допускается ввод только действительных чисел!" sqref="Z39">
      <formula1>-9.99999999999999E+23</formula1>
      <formula2>9.99999999999999E+23</formula2>
    </dataValidation>
    <dataValidation type="decimal" allowBlank="1" showErrorMessage="1" errorTitle="Ошибка" error="Допускается ввод только действительных чисел!" sqref="Y39">
      <formula1>-9.99999999999999E+23</formula1>
      <formula2>9.99999999999999E+23</formula2>
    </dataValidation>
    <dataValidation type="decimal" allowBlank="1" showErrorMessage="1" errorTitle="Ошибка" error="Допускается ввод только действительных чисел!" sqref="X39">
      <formula1>-9.99999999999999E+23</formula1>
      <formula2>9.99999999999999E+23</formula2>
    </dataValidation>
    <dataValidation type="decimal" allowBlank="1" showErrorMessage="1" errorTitle="Ошибка" error="Допускается ввод только действительных чисел!" sqref="W39">
      <formula1>-9.99999999999999E+23</formula1>
      <formula2>9.99999999999999E+23</formula2>
    </dataValidation>
    <dataValidation type="decimal" allowBlank="1" showErrorMessage="1" errorTitle="Ошибка" error="Допускается ввод только действительных чисел!" sqref="V39">
      <formula1>-9.99999999999999E+23</formula1>
      <formula2>9.99999999999999E+23</formula2>
    </dataValidation>
    <dataValidation type="decimal" allowBlank="1" showErrorMessage="1" errorTitle="Ошибка" error="Допускается ввод только действительных чисел!" sqref="U39">
      <formula1>-9.99999999999999E+23</formula1>
      <formula2>9.99999999999999E+23</formula2>
    </dataValidation>
    <dataValidation type="decimal" allowBlank="1" showErrorMessage="1" errorTitle="Ошибка" error="Допускается ввод только действительных чисел!" sqref="T39">
      <formula1>-9.99999999999999E+23</formula1>
      <formula2>9.99999999999999E+23</formula2>
    </dataValidation>
    <dataValidation type="decimal" allowBlank="1" showErrorMessage="1" errorTitle="Ошибка" error="Допускается ввод только действительных чисел!" sqref="S39">
      <formula1>-9.99999999999999E+23</formula1>
      <formula2>9.99999999999999E+23</formula2>
    </dataValidation>
    <dataValidation type="decimal" allowBlank="1" showErrorMessage="1" errorTitle="Ошибка" error="Допускается ввод только действительных чисел!" sqref="R39">
      <formula1>-9.99999999999999E+23</formula1>
      <formula2>9.99999999999999E+23</formula2>
    </dataValidation>
    <dataValidation type="decimal" allowBlank="1" showErrorMessage="1" errorTitle="Ошибка" error="Допускается ввод только действительных чисел!" sqref="Q39">
      <formula1>-9.99999999999999E+23</formula1>
      <formula2>9.99999999999999E+23</formula2>
    </dataValidation>
    <dataValidation type="decimal" allowBlank="1" showErrorMessage="1" errorTitle="Ошибка" error="Допускается ввод только действительных чисел!" sqref="P39">
      <formula1>-9.99999999999999E+23</formula1>
      <formula2>9.99999999999999E+23</formula2>
    </dataValidation>
    <dataValidation type="decimal" allowBlank="1" showErrorMessage="1" errorTitle="Ошибка" error="Допускается ввод только действительных чисел!" sqref="O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9">
      <formula1>900</formula1>
    </dataValidation>
    <dataValidation type="list" allowBlank="1" showInputMessage="1" showErrorMessage="1" errorTitle="Ошибка" error="Выберите значение из списка" prompt="Выберите значение из списка" sqref="H39">
      <formula1>QRE_METHOD_LIST</formula1>
    </dataValidation>
    <dataValidation type="decimal" allowBlank="1" showErrorMessage="1" errorTitle="Ошибка" error="Допускается ввод только действительных чисел!" sqref="DJ38">
      <formula1>-9.99999999999999E+23</formula1>
      <formula2>9.99999999999999E+23</formula2>
    </dataValidation>
    <dataValidation type="decimal" allowBlank="1" showErrorMessage="1" errorTitle="Ошибка" error="Допускается ввод только действительных чисел!" sqref="DI38">
      <formula1>-9.99999999999999E+23</formula1>
      <formula2>9.99999999999999E+23</formula2>
    </dataValidation>
    <dataValidation type="decimal" allowBlank="1" showErrorMessage="1" errorTitle="Ошибка" error="Допускается ввод только действительных чисел!" sqref="DH38">
      <formula1>-9.99999999999999E+23</formula1>
      <formula2>9.99999999999999E+23</formula2>
    </dataValidation>
    <dataValidation type="decimal" allowBlank="1" showErrorMessage="1" errorTitle="Ошибка" error="Допускается ввод только действительных чисел!" sqref="DG38">
      <formula1>-9.99999999999999E+23</formula1>
      <formula2>9.99999999999999E+23</formula2>
    </dataValidation>
    <dataValidation type="decimal" allowBlank="1" showErrorMessage="1" errorTitle="Ошибка" error="Допускается ввод только действительных чисел!" sqref="DF38">
      <formula1>-9.99999999999999E+23</formula1>
      <formula2>9.99999999999999E+23</formula2>
    </dataValidation>
    <dataValidation type="decimal" allowBlank="1" showErrorMessage="1" errorTitle="Ошибка" error="Допускается ввод только действительных чисел!" sqref="DE38">
      <formula1>-9.99999999999999E+23</formula1>
      <formula2>9.99999999999999E+23</formula2>
    </dataValidation>
    <dataValidation type="decimal" allowBlank="1" showErrorMessage="1" errorTitle="Ошибка" error="Допускается ввод только действительных чисел!" sqref="DD38">
      <formula1>-9.99999999999999E+23</formula1>
      <formula2>9.99999999999999E+23</formula2>
    </dataValidation>
    <dataValidation type="decimal" allowBlank="1" showErrorMessage="1" errorTitle="Ошибка" error="Допускается ввод только действительных чисел!" sqref="DC38">
      <formula1>-9.99999999999999E+23</formula1>
      <formula2>9.99999999999999E+23</formula2>
    </dataValidation>
    <dataValidation type="decimal" allowBlank="1" showErrorMessage="1" errorTitle="Ошибка" error="Допускается ввод только действительных чисел!" sqref="DB38">
      <formula1>-9.99999999999999E+23</formula1>
      <formula2>9.99999999999999E+23</formula2>
    </dataValidation>
    <dataValidation type="decimal" allowBlank="1" showErrorMessage="1" errorTitle="Ошибка" error="Допускается ввод только действительных чисел!" sqref="DA38">
      <formula1>-9.99999999999999E+23</formula1>
      <formula2>9.99999999999999E+23</formula2>
    </dataValidation>
    <dataValidation type="decimal" allowBlank="1" showErrorMessage="1" errorTitle="Ошибка" error="Допускается ввод только действительных чисел!" sqref="CZ38">
      <formula1>-9.99999999999999E+23</formula1>
      <formula2>9.99999999999999E+23</formula2>
    </dataValidation>
    <dataValidation type="decimal" allowBlank="1" showErrorMessage="1" errorTitle="Ошибка" error="Допускается ввод только действительных чисел!" sqref="CY38">
      <formula1>-9.99999999999999E+23</formula1>
      <formula2>9.99999999999999E+23</formula2>
    </dataValidation>
    <dataValidation type="decimal" allowBlank="1" showErrorMessage="1" errorTitle="Ошибка" error="Допускается ввод только действительных чисел!" sqref="CK38">
      <formula1>-9.99999999999999E+23</formula1>
      <formula2>9.99999999999999E+23</formula2>
    </dataValidation>
    <dataValidation type="decimal" allowBlank="1" showErrorMessage="1" errorTitle="Ошибка" error="Допускается ввод только действительных чисел!" sqref="CJ38">
      <formula1>-9.99999999999999E+23</formula1>
      <formula2>9.99999999999999E+23</formula2>
    </dataValidation>
    <dataValidation type="decimal" allowBlank="1" showErrorMessage="1" errorTitle="Ошибка" error="Допускается ввод только действительных чисел!" sqref="CI38">
      <formula1>-9.99999999999999E+23</formula1>
      <formula2>9.99999999999999E+23</formula2>
    </dataValidation>
    <dataValidation type="decimal" allowBlank="1" showErrorMessage="1" errorTitle="Ошибка" error="Допускается ввод только действительных чисел!" sqref="CH38">
      <formula1>-9.99999999999999E+23</formula1>
      <formula2>9.99999999999999E+23</formula2>
    </dataValidation>
    <dataValidation type="decimal" allowBlank="1" showErrorMessage="1" errorTitle="Ошибка" error="Допускается ввод только действительных чисел!" sqref="CG38">
      <formula1>-9.99999999999999E+23</formula1>
      <formula2>9.99999999999999E+23</formula2>
    </dataValidation>
    <dataValidation type="decimal" allowBlank="1" showErrorMessage="1" errorTitle="Ошибка" error="Допускается ввод только действительных чисел!" sqref="CF38">
      <formula1>-9.99999999999999E+23</formula1>
      <formula2>9.99999999999999E+23</formula2>
    </dataValidation>
    <dataValidation type="decimal" allowBlank="1" showErrorMessage="1" errorTitle="Ошибка" error="Допускается ввод только действительных чисел!" sqref="CE38">
      <formula1>-9.99999999999999E+23</formula1>
      <formula2>9.99999999999999E+23</formula2>
    </dataValidation>
    <dataValidation type="decimal" allowBlank="1" showErrorMessage="1" errorTitle="Ошибка" error="Допускается ввод только действительных чисел!" sqref="CD38">
      <formula1>-9.99999999999999E+23</formula1>
      <formula2>9.99999999999999E+23</formula2>
    </dataValidation>
    <dataValidation type="decimal" allowBlank="1" showErrorMessage="1" errorTitle="Ошибка" error="Допускается ввод только действительных чисел!" sqref="CC38">
      <formula1>-9.99999999999999E+23</formula1>
      <formula2>9.99999999999999E+23</formula2>
    </dataValidation>
    <dataValidation type="decimal" allowBlank="1" showErrorMessage="1" errorTitle="Ошибка" error="Допускается ввод только действительных чисел!" sqref="CB38">
      <formula1>-9.99999999999999E+23</formula1>
      <formula2>9.99999999999999E+23</formula2>
    </dataValidation>
    <dataValidation type="decimal" allowBlank="1" showErrorMessage="1" errorTitle="Ошибка" error="Допускается ввод только действительных чисел!" sqref="CA38">
      <formula1>-9.99999999999999E+23</formula1>
      <formula2>9.99999999999999E+23</formula2>
    </dataValidation>
    <dataValidation type="decimal" allowBlank="1" showErrorMessage="1" errorTitle="Ошибка" error="Допускается ввод только действительных чисел!" sqref="BZ38">
      <formula1>-9.99999999999999E+23</formula1>
      <formula2>9.99999999999999E+23</formula2>
    </dataValidation>
    <dataValidation type="decimal" allowBlank="1" showErrorMessage="1" errorTitle="Ошибка" error="Допускается ввод только действительных чисел!" sqref="BY38">
      <formula1>-9.99999999999999E+23</formula1>
      <formula2>9.99999999999999E+23</formula2>
    </dataValidation>
    <dataValidation type="decimal" allowBlank="1" showErrorMessage="1" errorTitle="Ошибка" error="Допускается ввод только действительных чисел!" sqref="BX38">
      <formula1>-9.99999999999999E+23</formula1>
      <formula2>9.99999999999999E+23</formula2>
    </dataValidation>
    <dataValidation type="decimal" allowBlank="1" showErrorMessage="1" errorTitle="Ошибка" error="Допускается ввод только действительных чисел!" sqref="BW38">
      <formula1>-9.99999999999999E+23</formula1>
      <formula2>9.99999999999999E+23</formula2>
    </dataValidation>
    <dataValidation type="decimal" allowBlank="1" showErrorMessage="1" errorTitle="Ошибка" error="Допускается ввод только действительных чисел!" sqref="BV38">
      <formula1>-9.99999999999999E+23</formula1>
      <formula2>9.99999999999999E+23</formula2>
    </dataValidation>
    <dataValidation type="decimal" allowBlank="1" showErrorMessage="1" errorTitle="Ошибка" error="Допускается ввод только действительных чисел!" sqref="BU38">
      <formula1>-9.99999999999999E+23</formula1>
      <formula2>9.99999999999999E+23</formula2>
    </dataValidation>
    <dataValidation type="decimal" allowBlank="1" showErrorMessage="1" errorTitle="Ошибка" error="Допускается ввод только действительных чисел!" sqref="BT38">
      <formula1>-9.99999999999999E+23</formula1>
      <formula2>9.99999999999999E+23</formula2>
    </dataValidation>
    <dataValidation type="decimal" allowBlank="1" showErrorMessage="1" errorTitle="Ошибка" error="Допускается ввод только действительных чисел!" sqref="AB38">
      <formula1>-9.99999999999999E+23</formula1>
      <formula2>9.99999999999999E+23</formula2>
    </dataValidation>
    <dataValidation type="decimal" allowBlank="1" showErrorMessage="1" errorTitle="Ошибка" error="Допускается ввод только действительных чисел!" sqref="AA38">
      <formula1>-9.99999999999999E+23</formula1>
      <formula2>9.99999999999999E+23</formula2>
    </dataValidation>
    <dataValidation type="decimal" allowBlank="1" showErrorMessage="1" errorTitle="Ошибка" error="Допускается ввод только действительных чисел!" sqref="Z38">
      <formula1>-9.99999999999999E+23</formula1>
      <formula2>9.99999999999999E+23</formula2>
    </dataValidation>
    <dataValidation type="decimal" allowBlank="1" showErrorMessage="1" errorTitle="Ошибка" error="Допускается ввод только действительных чисел!" sqref="Y38">
      <formula1>-9.99999999999999E+23</formula1>
      <formula2>9.99999999999999E+23</formula2>
    </dataValidation>
    <dataValidation type="decimal" allowBlank="1" showErrorMessage="1" errorTitle="Ошибка" error="Допускается ввод только действительных чисел!" sqref="X38">
      <formula1>-9.99999999999999E+23</formula1>
      <formula2>9.99999999999999E+23</formula2>
    </dataValidation>
    <dataValidation type="decimal" allowBlank="1" showErrorMessage="1" errorTitle="Ошибка" error="Допускается ввод только действительных чисел!" sqref="W38">
      <formula1>-9.99999999999999E+23</formula1>
      <formula2>9.99999999999999E+23</formula2>
    </dataValidation>
    <dataValidation type="decimal" allowBlank="1" showErrorMessage="1" errorTitle="Ошибка" error="Допускается ввод только действительных чисел!" sqref="V38">
      <formula1>-9.99999999999999E+23</formula1>
      <formula2>9.99999999999999E+23</formula2>
    </dataValidation>
    <dataValidation type="decimal" allowBlank="1" showErrorMessage="1" errorTitle="Ошибка" error="Допускается ввод только действительных чисел!" sqref="U38">
      <formula1>-9.99999999999999E+23</formula1>
      <formula2>9.99999999999999E+23</formula2>
    </dataValidation>
    <dataValidation type="decimal" allowBlank="1" showErrorMessage="1" errorTitle="Ошибка" error="Допускается ввод только действительных чисел!" sqref="T38">
      <formula1>-9.99999999999999E+23</formula1>
      <formula2>9.99999999999999E+23</formula2>
    </dataValidation>
    <dataValidation type="decimal" allowBlank="1" showErrorMessage="1" errorTitle="Ошибка" error="Допускается ввод только действительных чисел!" sqref="S38">
      <formula1>-9.99999999999999E+23</formula1>
      <formula2>9.99999999999999E+23</formula2>
    </dataValidation>
    <dataValidation type="decimal" allowBlank="1" showErrorMessage="1" errorTitle="Ошибка" error="Допускается ввод только действительных чисел!" sqref="R38">
      <formula1>-9.99999999999999E+23</formula1>
      <formula2>9.99999999999999E+23</formula2>
    </dataValidation>
    <dataValidation type="decimal" allowBlank="1" showErrorMessage="1" errorTitle="Ошибка" error="Допускается ввод только действительных чисел!" sqref="Q38">
      <formula1>-9.99999999999999E+23</formula1>
      <formula2>9.99999999999999E+23</formula2>
    </dataValidation>
    <dataValidation type="decimal" allowBlank="1" showErrorMessage="1" errorTitle="Ошибка" error="Допускается ввод только действительных чисел!" sqref="P38">
      <formula1>-9.99999999999999E+23</formula1>
      <formula2>9.99999999999999E+23</formula2>
    </dataValidation>
    <dataValidation type="decimal" allowBlank="1" showErrorMessage="1" errorTitle="Ошибка" error="Допускается ввод только действительных чисел!" sqref="O3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8">
      <formula1>900</formula1>
    </dataValidation>
    <dataValidation type="list" allowBlank="1" showInputMessage="1" showErrorMessage="1" errorTitle="Ошибка" error="Выберите значение из списка" prompt="Выберите значение из списка" sqref="H38">
      <formula1>QRE_METHOD_LIST</formula1>
    </dataValidation>
    <dataValidation type="decimal" allowBlank="1" showErrorMessage="1" errorTitle="Ошибка" error="Допускается ввод только действительных чисел!" sqref="DJ37">
      <formula1>-9.99999999999999E+23</formula1>
      <formula2>9.99999999999999E+23</formula2>
    </dataValidation>
    <dataValidation type="decimal" allowBlank="1" showErrorMessage="1" errorTitle="Ошибка" error="Допускается ввод только действительных чисел!" sqref="DI37">
      <formula1>-9.99999999999999E+23</formula1>
      <formula2>9.99999999999999E+23</formula2>
    </dataValidation>
    <dataValidation type="decimal" allowBlank="1" showErrorMessage="1" errorTitle="Ошибка" error="Допускается ввод только действительных чисел!" sqref="DH37">
      <formula1>-9.99999999999999E+23</formula1>
      <formula2>9.99999999999999E+23</formula2>
    </dataValidation>
    <dataValidation type="decimal" allowBlank="1" showErrorMessage="1" errorTitle="Ошибка" error="Допускается ввод только действительных чисел!" sqref="DG37">
      <formula1>-9.99999999999999E+23</formula1>
      <formula2>9.99999999999999E+23</formula2>
    </dataValidation>
    <dataValidation type="decimal" allowBlank="1" showErrorMessage="1" errorTitle="Ошибка" error="Допускается ввод только действительных чисел!" sqref="DF37">
      <formula1>-9.99999999999999E+23</formula1>
      <formula2>9.99999999999999E+23</formula2>
    </dataValidation>
    <dataValidation type="decimal" allowBlank="1" showErrorMessage="1" errorTitle="Ошибка" error="Допускается ввод только действительных чисел!" sqref="DE37">
      <formula1>-9.99999999999999E+23</formula1>
      <formula2>9.99999999999999E+23</formula2>
    </dataValidation>
    <dataValidation type="decimal" allowBlank="1" showErrorMessage="1" errorTitle="Ошибка" error="Допускается ввод только действительных чисел!" sqref="DD37">
      <formula1>-9.99999999999999E+23</formula1>
      <formula2>9.99999999999999E+23</formula2>
    </dataValidation>
    <dataValidation type="decimal" allowBlank="1" showErrorMessage="1" errorTitle="Ошибка" error="Допускается ввод только действительных чисел!" sqref="DC37">
      <formula1>-9.99999999999999E+23</formula1>
      <formula2>9.99999999999999E+23</formula2>
    </dataValidation>
    <dataValidation type="decimal" allowBlank="1" showErrorMessage="1" errorTitle="Ошибка" error="Допускается ввод только действительных чисел!" sqref="DB37">
      <formula1>-9.99999999999999E+23</formula1>
      <formula2>9.99999999999999E+23</formula2>
    </dataValidation>
    <dataValidation type="decimal" allowBlank="1" showErrorMessage="1" errorTitle="Ошибка" error="Допускается ввод только действительных чисел!" sqref="DA37">
      <formula1>-9.99999999999999E+23</formula1>
      <formula2>9.99999999999999E+23</formula2>
    </dataValidation>
    <dataValidation type="decimal" allowBlank="1" showErrorMessage="1" errorTitle="Ошибка" error="Допускается ввод только действительных чисел!" sqref="CZ37">
      <formula1>-9.99999999999999E+23</formula1>
      <formula2>9.99999999999999E+23</formula2>
    </dataValidation>
    <dataValidation type="decimal" allowBlank="1" showErrorMessage="1" errorTitle="Ошибка" error="Допускается ввод только действительных чисел!" sqref="CY37">
      <formula1>-9.99999999999999E+23</formula1>
      <formula2>9.99999999999999E+23</formula2>
    </dataValidation>
    <dataValidation type="decimal" allowBlank="1" showErrorMessage="1" errorTitle="Ошибка" error="Допускается ввод только действительных чисел!" sqref="CK37">
      <formula1>-9.99999999999999E+23</formula1>
      <formula2>9.99999999999999E+23</formula2>
    </dataValidation>
    <dataValidation type="decimal" allowBlank="1" showErrorMessage="1" errorTitle="Ошибка" error="Допускается ввод только действительных чисел!" sqref="CJ37">
      <formula1>-9.99999999999999E+23</formula1>
      <formula2>9.99999999999999E+23</formula2>
    </dataValidation>
    <dataValidation type="decimal" allowBlank="1" showErrorMessage="1" errorTitle="Ошибка" error="Допускается ввод только действительных чисел!" sqref="CI37">
      <formula1>-9.99999999999999E+23</formula1>
      <formula2>9.99999999999999E+23</formula2>
    </dataValidation>
    <dataValidation type="decimal" allowBlank="1" showErrorMessage="1" errorTitle="Ошибка" error="Допускается ввод только действительных чисел!" sqref="CH37">
      <formula1>-9.99999999999999E+23</formula1>
      <formula2>9.99999999999999E+23</formula2>
    </dataValidation>
    <dataValidation type="decimal" allowBlank="1" showErrorMessage="1" errorTitle="Ошибка" error="Допускается ввод только действительных чисел!" sqref="CG37">
      <formula1>-9.99999999999999E+23</formula1>
      <formula2>9.99999999999999E+23</formula2>
    </dataValidation>
    <dataValidation type="decimal" allowBlank="1" showErrorMessage="1" errorTitle="Ошибка" error="Допускается ввод только действительных чисел!" sqref="CF37">
      <formula1>-9.99999999999999E+23</formula1>
      <formula2>9.99999999999999E+23</formula2>
    </dataValidation>
    <dataValidation type="decimal" allowBlank="1" showErrorMessage="1" errorTitle="Ошибка" error="Допускается ввод только действительных чисел!" sqref="CE37">
      <formula1>-9.99999999999999E+23</formula1>
      <formula2>9.99999999999999E+23</formula2>
    </dataValidation>
    <dataValidation type="decimal" allowBlank="1" showErrorMessage="1" errorTitle="Ошибка" error="Допускается ввод только действительных чисел!" sqref="CD37">
      <formula1>-9.99999999999999E+23</formula1>
      <formula2>9.99999999999999E+23</formula2>
    </dataValidation>
    <dataValidation type="decimal" allowBlank="1" showErrorMessage="1" errorTitle="Ошибка" error="Допускается ввод только действительных чисел!" sqref="CC37">
      <formula1>-9.99999999999999E+23</formula1>
      <formula2>9.99999999999999E+23</formula2>
    </dataValidation>
    <dataValidation type="decimal" allowBlank="1" showErrorMessage="1" errorTitle="Ошибка" error="Допускается ввод только действительных чисел!" sqref="CB37">
      <formula1>-9.99999999999999E+23</formula1>
      <formula2>9.99999999999999E+23</formula2>
    </dataValidation>
    <dataValidation type="decimal" allowBlank="1" showErrorMessage="1" errorTitle="Ошибка" error="Допускается ввод только действительных чисел!" sqref="CA37">
      <formula1>-9.99999999999999E+23</formula1>
      <formula2>9.99999999999999E+23</formula2>
    </dataValidation>
    <dataValidation type="decimal" allowBlank="1" showErrorMessage="1" errorTitle="Ошибка" error="Допускается ввод только действительных чисел!" sqref="BZ37">
      <formula1>-9.99999999999999E+23</formula1>
      <formula2>9.99999999999999E+23</formula2>
    </dataValidation>
    <dataValidation type="decimal" allowBlank="1" showErrorMessage="1" errorTitle="Ошибка" error="Допускается ввод только действительных чисел!" sqref="BY37">
      <formula1>-9.99999999999999E+23</formula1>
      <formula2>9.99999999999999E+23</formula2>
    </dataValidation>
    <dataValidation type="decimal" allowBlank="1" showErrorMessage="1" errorTitle="Ошибка" error="Допускается ввод только действительных чисел!" sqref="BX37">
      <formula1>-9.99999999999999E+23</formula1>
      <formula2>9.99999999999999E+23</formula2>
    </dataValidation>
    <dataValidation type="decimal" allowBlank="1" showErrorMessage="1" errorTitle="Ошибка" error="Допускается ввод только действительных чисел!" sqref="BW37">
      <formula1>-9.99999999999999E+23</formula1>
      <formula2>9.99999999999999E+23</formula2>
    </dataValidation>
    <dataValidation type="decimal" allowBlank="1" showErrorMessage="1" errorTitle="Ошибка" error="Допускается ввод только действительных чисел!" sqref="BV37">
      <formula1>-9.99999999999999E+23</formula1>
      <formula2>9.99999999999999E+23</formula2>
    </dataValidation>
    <dataValidation type="decimal" allowBlank="1" showErrorMessage="1" errorTitle="Ошибка" error="Допускается ввод только действительных чисел!" sqref="BU37">
      <formula1>-9.99999999999999E+23</formula1>
      <formula2>9.99999999999999E+23</formula2>
    </dataValidation>
    <dataValidation type="decimal" allowBlank="1" showErrorMessage="1" errorTitle="Ошибка" error="Допускается ввод только действительных чисел!" sqref="BT37">
      <formula1>-9.99999999999999E+23</formula1>
      <formula2>9.99999999999999E+23</formula2>
    </dataValidation>
    <dataValidation type="decimal" allowBlank="1" showErrorMessage="1" errorTitle="Ошибка" error="Допускается ввод только действительных чисел!" sqref="AB37">
      <formula1>-9.99999999999999E+23</formula1>
      <formula2>9.99999999999999E+23</formula2>
    </dataValidation>
    <dataValidation type="decimal" allowBlank="1" showErrorMessage="1" errorTitle="Ошибка" error="Допускается ввод только действительных чисел!" sqref="AA37">
      <formula1>-9.99999999999999E+23</formula1>
      <formula2>9.99999999999999E+23</formula2>
    </dataValidation>
    <dataValidation type="decimal" allowBlank="1" showErrorMessage="1" errorTitle="Ошибка" error="Допускается ввод только действительных чисел!" sqref="Z37">
      <formula1>-9.99999999999999E+23</formula1>
      <formula2>9.99999999999999E+23</formula2>
    </dataValidation>
    <dataValidation type="decimal" allowBlank="1" showErrorMessage="1" errorTitle="Ошибка" error="Допускается ввод только действительных чисел!" sqref="Y37">
      <formula1>-9.99999999999999E+23</formula1>
      <formula2>9.99999999999999E+23</formula2>
    </dataValidation>
    <dataValidation type="decimal" allowBlank="1" showErrorMessage="1" errorTitle="Ошибка" error="Допускается ввод только действительных чисел!" sqref="X37">
      <formula1>-9.99999999999999E+23</formula1>
      <formula2>9.99999999999999E+23</formula2>
    </dataValidation>
    <dataValidation type="decimal" allowBlank="1" showErrorMessage="1" errorTitle="Ошибка" error="Допускается ввод только действительных чисел!" sqref="W37">
      <formula1>-9.99999999999999E+23</formula1>
      <formula2>9.99999999999999E+23</formula2>
    </dataValidation>
    <dataValidation type="decimal" allowBlank="1" showErrorMessage="1" errorTitle="Ошибка" error="Допускается ввод только действительных чисел!" sqref="V37">
      <formula1>-9.99999999999999E+23</formula1>
      <formula2>9.99999999999999E+23</formula2>
    </dataValidation>
    <dataValidation type="decimal" allowBlank="1" showErrorMessage="1" errorTitle="Ошибка" error="Допускается ввод только действительных чисел!" sqref="U37">
      <formula1>-9.99999999999999E+23</formula1>
      <formula2>9.99999999999999E+23</formula2>
    </dataValidation>
    <dataValidation type="decimal" allowBlank="1" showErrorMessage="1" errorTitle="Ошибка" error="Допускается ввод только действительных чисел!" sqref="T37">
      <formula1>-9.99999999999999E+23</formula1>
      <formula2>9.99999999999999E+23</formula2>
    </dataValidation>
    <dataValidation type="decimal" allowBlank="1" showErrorMessage="1" errorTitle="Ошибка" error="Допускается ввод только действительных чисел!" sqref="S37">
      <formula1>-9.99999999999999E+23</formula1>
      <formula2>9.99999999999999E+23</formula2>
    </dataValidation>
    <dataValidation type="decimal" allowBlank="1" showErrorMessage="1" errorTitle="Ошибка" error="Допускается ввод только действительных чисел!" sqref="R37">
      <formula1>-9.99999999999999E+23</formula1>
      <formula2>9.99999999999999E+23</formula2>
    </dataValidation>
    <dataValidation type="decimal" allowBlank="1" showErrorMessage="1" errorTitle="Ошибка" error="Допускается ввод только действительных чисел!" sqref="Q37">
      <formula1>-9.99999999999999E+23</formula1>
      <formula2>9.99999999999999E+23</formula2>
    </dataValidation>
    <dataValidation type="decimal" allowBlank="1" showErrorMessage="1" errorTitle="Ошибка" error="Допускается ввод только действительных чисел!" sqref="P37">
      <formula1>-9.99999999999999E+23</formula1>
      <formula2>9.99999999999999E+23</formula2>
    </dataValidation>
    <dataValidation type="decimal" allowBlank="1" showErrorMessage="1" errorTitle="Ошибка" error="Допускается ввод только действительных чисел!" sqref="O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7">
      <formula1>900</formula1>
    </dataValidation>
    <dataValidation type="list" allowBlank="1" showInputMessage="1" showErrorMessage="1" errorTitle="Ошибка" error="Выберите значение из списка" prompt="Выберите значение из списка" sqref="H37">
      <formula1>QRE_METHOD_LIST</formula1>
    </dataValidation>
    <dataValidation type="decimal" allowBlank="1" showErrorMessage="1" errorTitle="Ошибка" error="Допускается ввод только действительных чисел!" sqref="DJ36">
      <formula1>-9.99999999999999E+23</formula1>
      <formula2>9.99999999999999E+23</formula2>
    </dataValidation>
    <dataValidation type="decimal" allowBlank="1" showErrorMessage="1" errorTitle="Ошибка" error="Допускается ввод только действительных чисел!" sqref="DI36">
      <formula1>-9.99999999999999E+23</formula1>
      <formula2>9.99999999999999E+23</formula2>
    </dataValidation>
    <dataValidation type="decimal" allowBlank="1" showErrorMessage="1" errorTitle="Ошибка" error="Допускается ввод только действительных чисел!" sqref="DH36">
      <formula1>-9.99999999999999E+23</formula1>
      <formula2>9.99999999999999E+23</formula2>
    </dataValidation>
    <dataValidation type="decimal" allowBlank="1" showErrorMessage="1" errorTitle="Ошибка" error="Допускается ввод только действительных чисел!" sqref="DG36">
      <formula1>-9.99999999999999E+23</formula1>
      <formula2>9.99999999999999E+23</formula2>
    </dataValidation>
    <dataValidation type="decimal" allowBlank="1" showErrorMessage="1" errorTitle="Ошибка" error="Допускается ввод только действительных чисел!" sqref="DF36">
      <formula1>-9.99999999999999E+23</formula1>
      <formula2>9.99999999999999E+23</formula2>
    </dataValidation>
    <dataValidation type="decimal" allowBlank="1" showErrorMessage="1" errorTitle="Ошибка" error="Допускается ввод только действительных чисел!" sqref="DE36">
      <formula1>-9.99999999999999E+23</formula1>
      <formula2>9.99999999999999E+23</formula2>
    </dataValidation>
    <dataValidation type="decimal" allowBlank="1" showErrorMessage="1" errorTitle="Ошибка" error="Допускается ввод только действительных чисел!" sqref="DD36">
      <formula1>-9.99999999999999E+23</formula1>
      <formula2>9.99999999999999E+23</formula2>
    </dataValidation>
    <dataValidation type="decimal" allowBlank="1" showErrorMessage="1" errorTitle="Ошибка" error="Допускается ввод только действительных чисел!" sqref="DC36">
      <formula1>-9.99999999999999E+23</formula1>
      <formula2>9.99999999999999E+23</formula2>
    </dataValidation>
    <dataValidation type="decimal" allowBlank="1" showErrorMessage="1" errorTitle="Ошибка" error="Допускается ввод только действительных чисел!" sqref="DB36">
      <formula1>-9.99999999999999E+23</formula1>
      <formula2>9.99999999999999E+23</formula2>
    </dataValidation>
    <dataValidation type="decimal" allowBlank="1" showErrorMessage="1" errorTitle="Ошибка" error="Допускается ввод только действительных чисел!" sqref="DA36">
      <formula1>-9.99999999999999E+23</formula1>
      <formula2>9.99999999999999E+23</formula2>
    </dataValidation>
    <dataValidation type="decimal" allowBlank="1" showErrorMessage="1" errorTitle="Ошибка" error="Допускается ввод только действительных чисел!" sqref="CZ36">
      <formula1>-9.99999999999999E+23</formula1>
      <formula2>9.99999999999999E+23</formula2>
    </dataValidation>
    <dataValidation type="decimal" allowBlank="1" showErrorMessage="1" errorTitle="Ошибка" error="Допускается ввод только действительных чисел!" sqref="CY36">
      <formula1>-9.99999999999999E+23</formula1>
      <formula2>9.99999999999999E+23</formula2>
    </dataValidation>
    <dataValidation type="decimal" allowBlank="1" showErrorMessage="1" errorTitle="Ошибка" error="Допускается ввод только действительных чисел!" sqref="CK36">
      <formula1>-9.99999999999999E+23</formula1>
      <formula2>9.99999999999999E+23</formula2>
    </dataValidation>
    <dataValidation type="decimal" allowBlank="1" showErrorMessage="1" errorTitle="Ошибка" error="Допускается ввод только действительных чисел!" sqref="CJ36">
      <formula1>-9.99999999999999E+23</formula1>
      <formula2>9.99999999999999E+23</formula2>
    </dataValidation>
    <dataValidation type="decimal" allowBlank="1" showErrorMessage="1" errorTitle="Ошибка" error="Допускается ввод только действительных чисел!" sqref="CI36">
      <formula1>-9.99999999999999E+23</formula1>
      <formula2>9.99999999999999E+23</formula2>
    </dataValidation>
    <dataValidation type="decimal" allowBlank="1" showErrorMessage="1" errorTitle="Ошибка" error="Допускается ввод только действительных чисел!" sqref="CH36">
      <formula1>-9.99999999999999E+23</formula1>
      <formula2>9.99999999999999E+23</formula2>
    </dataValidation>
    <dataValidation type="decimal" allowBlank="1" showErrorMessage="1" errorTitle="Ошибка" error="Допускается ввод только действительных чисел!" sqref="CG36">
      <formula1>-9.99999999999999E+23</formula1>
      <formula2>9.99999999999999E+23</formula2>
    </dataValidation>
    <dataValidation type="decimal" allowBlank="1" showErrorMessage="1" errorTitle="Ошибка" error="Допускается ввод только действительных чисел!" sqref="CF36">
      <formula1>-9.99999999999999E+23</formula1>
      <formula2>9.99999999999999E+23</formula2>
    </dataValidation>
    <dataValidation type="decimal" allowBlank="1" showErrorMessage="1" errorTitle="Ошибка" error="Допускается ввод только действительных чисел!" sqref="CE36">
      <formula1>-9.99999999999999E+23</formula1>
      <formula2>9.99999999999999E+23</formula2>
    </dataValidation>
    <dataValidation type="decimal" allowBlank="1" showErrorMessage="1" errorTitle="Ошибка" error="Допускается ввод только действительных чисел!" sqref="CD36">
      <formula1>-9.99999999999999E+23</formula1>
      <formula2>9.99999999999999E+23</formula2>
    </dataValidation>
    <dataValidation type="decimal" allowBlank="1" showErrorMessage="1" errorTitle="Ошибка" error="Допускается ввод только действительных чисел!" sqref="CC36">
      <formula1>-9.99999999999999E+23</formula1>
      <formula2>9.99999999999999E+23</formula2>
    </dataValidation>
    <dataValidation type="decimal" allowBlank="1" showErrorMessage="1" errorTitle="Ошибка" error="Допускается ввод только действительных чисел!" sqref="CB36">
      <formula1>-9.99999999999999E+23</formula1>
      <formula2>9.99999999999999E+23</formula2>
    </dataValidation>
    <dataValidation type="decimal" allowBlank="1" showErrorMessage="1" errorTitle="Ошибка" error="Допускается ввод только действительных чисел!" sqref="CA36">
      <formula1>-9.99999999999999E+23</formula1>
      <formula2>9.99999999999999E+23</formula2>
    </dataValidation>
    <dataValidation type="decimal" allowBlank="1" showErrorMessage="1" errorTitle="Ошибка" error="Допускается ввод только действительных чисел!" sqref="BZ36">
      <formula1>-9.99999999999999E+23</formula1>
      <formula2>9.99999999999999E+23</formula2>
    </dataValidation>
    <dataValidation type="decimal" allowBlank="1" showErrorMessage="1" errorTitle="Ошибка" error="Допускается ввод только действительных чисел!" sqref="BY36">
      <formula1>-9.99999999999999E+23</formula1>
      <formula2>9.99999999999999E+23</formula2>
    </dataValidation>
    <dataValidation type="decimal" allowBlank="1" showErrorMessage="1" errorTitle="Ошибка" error="Допускается ввод только действительных чисел!" sqref="BX36">
      <formula1>-9.99999999999999E+23</formula1>
      <formula2>9.99999999999999E+23</formula2>
    </dataValidation>
    <dataValidation type="decimal" allowBlank="1" showErrorMessage="1" errorTitle="Ошибка" error="Допускается ввод только действительных чисел!" sqref="BW36">
      <formula1>-9.99999999999999E+23</formula1>
      <formula2>9.99999999999999E+23</formula2>
    </dataValidation>
    <dataValidation type="decimal" allowBlank="1" showErrorMessage="1" errorTitle="Ошибка" error="Допускается ввод только действительных чисел!" sqref="BV36">
      <formula1>-9.99999999999999E+23</formula1>
      <formula2>9.99999999999999E+23</formula2>
    </dataValidation>
    <dataValidation type="decimal" allowBlank="1" showErrorMessage="1" errorTitle="Ошибка" error="Допускается ввод только действительных чисел!" sqref="BU36">
      <formula1>-9.99999999999999E+23</formula1>
      <formula2>9.99999999999999E+23</formula2>
    </dataValidation>
    <dataValidation type="decimal" allowBlank="1" showErrorMessage="1" errorTitle="Ошибка" error="Допускается ввод только действительных чисел!" sqref="BT36">
      <formula1>-9.99999999999999E+23</formula1>
      <formula2>9.99999999999999E+23</formula2>
    </dataValidation>
    <dataValidation type="decimal" allowBlank="1" showErrorMessage="1" errorTitle="Ошибка" error="Допускается ввод только действительных чисел!" sqref="AB36">
      <formula1>-9.99999999999999E+23</formula1>
      <formula2>9.99999999999999E+23</formula2>
    </dataValidation>
    <dataValidation type="decimal" allowBlank="1" showErrorMessage="1" errorTitle="Ошибка" error="Допускается ввод только действительных чисел!" sqref="AA36">
      <formula1>-9.99999999999999E+23</formula1>
      <formula2>9.99999999999999E+23</formula2>
    </dataValidation>
    <dataValidation type="decimal" allowBlank="1" showErrorMessage="1" errorTitle="Ошибка" error="Допускается ввод только действительных чисел!" sqref="Z36">
      <formula1>-9.99999999999999E+23</formula1>
      <formula2>9.99999999999999E+23</formula2>
    </dataValidation>
    <dataValidation type="decimal" allowBlank="1" showErrorMessage="1" errorTitle="Ошибка" error="Допускается ввод только действительных чисел!" sqref="Y36">
      <formula1>-9.99999999999999E+23</formula1>
      <formula2>9.99999999999999E+23</formula2>
    </dataValidation>
    <dataValidation type="decimal" allowBlank="1" showErrorMessage="1" errorTitle="Ошибка" error="Допускается ввод только действительных чисел!" sqref="X36">
      <formula1>-9.99999999999999E+23</formula1>
      <formula2>9.99999999999999E+23</formula2>
    </dataValidation>
    <dataValidation type="decimal" allowBlank="1" showErrorMessage="1" errorTitle="Ошибка" error="Допускается ввод только действительных чисел!" sqref="W36">
      <formula1>-9.99999999999999E+23</formula1>
      <formula2>9.99999999999999E+23</formula2>
    </dataValidation>
    <dataValidation type="decimal" allowBlank="1" showErrorMessage="1" errorTitle="Ошибка" error="Допускается ввод только действительных чисел!" sqref="V36">
      <formula1>-9.99999999999999E+23</formula1>
      <formula2>9.99999999999999E+23</formula2>
    </dataValidation>
    <dataValidation type="decimal" allowBlank="1" showErrorMessage="1" errorTitle="Ошибка" error="Допускается ввод только действительных чисел!" sqref="U36">
      <formula1>-9.99999999999999E+23</formula1>
      <formula2>9.99999999999999E+23</formula2>
    </dataValidation>
    <dataValidation type="decimal" allowBlank="1" showErrorMessage="1" errorTitle="Ошибка" error="Допускается ввод только действительных чисел!" sqref="T36">
      <formula1>-9.99999999999999E+23</formula1>
      <formula2>9.99999999999999E+23</formula2>
    </dataValidation>
    <dataValidation type="decimal" allowBlank="1" showErrorMessage="1" errorTitle="Ошибка" error="Допускается ввод только действительных чисел!" sqref="S36">
      <formula1>-9.99999999999999E+23</formula1>
      <formula2>9.99999999999999E+23</formula2>
    </dataValidation>
    <dataValidation type="decimal" allowBlank="1" showErrorMessage="1" errorTitle="Ошибка" error="Допускается ввод только действительных чисел!" sqref="R36">
      <formula1>-9.99999999999999E+23</formula1>
      <formula2>9.99999999999999E+23</formula2>
    </dataValidation>
    <dataValidation type="decimal" allowBlank="1" showErrorMessage="1" errorTitle="Ошибка" error="Допускается ввод только действительных чисел!" sqref="Q36">
      <formula1>-9.99999999999999E+23</formula1>
      <formula2>9.99999999999999E+23</formula2>
    </dataValidation>
    <dataValidation type="decimal" allowBlank="1" showErrorMessage="1" errorTitle="Ошибка" error="Допускается ввод только действительных чисел!" sqref="P36">
      <formula1>-9.99999999999999E+23</formula1>
      <formula2>9.99999999999999E+23</formula2>
    </dataValidation>
    <dataValidation type="decimal" allowBlank="1" showErrorMessage="1" errorTitle="Ошибка" error="Допускается ввод только действительных чисел!" sqref="O3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6">
      <formula1>900</formula1>
    </dataValidation>
    <dataValidation type="list" allowBlank="1" showInputMessage="1" showErrorMessage="1" errorTitle="Ошибка" error="Выберите значение из списка" prompt="Выберите значение из списка" sqref="H36">
      <formula1>QRE_METHOD_LIST</formula1>
    </dataValidation>
    <dataValidation type="decimal" allowBlank="1" showErrorMessage="1" errorTitle="Ошибка" error="Допускается ввод только действительных чисел!" sqref="DJ35">
      <formula1>-9.99999999999999E+23</formula1>
      <formula2>9.99999999999999E+23</formula2>
    </dataValidation>
    <dataValidation type="decimal" allowBlank="1" showErrorMessage="1" errorTitle="Ошибка" error="Допускается ввод только действительных чисел!" sqref="DI35">
      <formula1>-9.99999999999999E+23</formula1>
      <formula2>9.99999999999999E+23</formula2>
    </dataValidation>
    <dataValidation type="decimal" allowBlank="1" showErrorMessage="1" errorTitle="Ошибка" error="Допускается ввод только действительных чисел!" sqref="DH35">
      <formula1>-9.99999999999999E+23</formula1>
      <formula2>9.99999999999999E+23</formula2>
    </dataValidation>
    <dataValidation type="decimal" allowBlank="1" showErrorMessage="1" errorTitle="Ошибка" error="Допускается ввод только действительных чисел!" sqref="DG35">
      <formula1>-9.99999999999999E+23</formula1>
      <formula2>9.99999999999999E+23</formula2>
    </dataValidation>
    <dataValidation type="decimal" allowBlank="1" showErrorMessage="1" errorTitle="Ошибка" error="Допускается ввод только действительных чисел!" sqref="DF35">
      <formula1>-9.99999999999999E+23</formula1>
      <formula2>9.99999999999999E+23</formula2>
    </dataValidation>
    <dataValidation type="decimal" allowBlank="1" showErrorMessage="1" errorTitle="Ошибка" error="Допускается ввод только действительных чисел!" sqref="DE35">
      <formula1>-9.99999999999999E+23</formula1>
      <formula2>9.99999999999999E+23</formula2>
    </dataValidation>
    <dataValidation type="decimal" allowBlank="1" showErrorMessage="1" errorTitle="Ошибка" error="Допускается ввод только действительных чисел!" sqref="DD35">
      <formula1>-9.99999999999999E+23</formula1>
      <formula2>9.99999999999999E+23</formula2>
    </dataValidation>
    <dataValidation type="decimal" allowBlank="1" showErrorMessage="1" errorTitle="Ошибка" error="Допускается ввод только действительных чисел!" sqref="DC35">
      <formula1>-9.99999999999999E+23</formula1>
      <formula2>9.99999999999999E+23</formula2>
    </dataValidation>
    <dataValidation type="decimal" allowBlank="1" showErrorMessage="1" errorTitle="Ошибка" error="Допускается ввод только действительных чисел!" sqref="DB35">
      <formula1>-9.99999999999999E+23</formula1>
      <formula2>9.99999999999999E+23</formula2>
    </dataValidation>
    <dataValidation type="decimal" allowBlank="1" showErrorMessage="1" errorTitle="Ошибка" error="Допускается ввод только действительных чисел!" sqref="DA35">
      <formula1>-9.99999999999999E+23</formula1>
      <formula2>9.99999999999999E+23</formula2>
    </dataValidation>
    <dataValidation type="decimal" allowBlank="1" showErrorMessage="1" errorTitle="Ошибка" error="Допускается ввод только действительных чисел!" sqref="CZ35">
      <formula1>-9.99999999999999E+23</formula1>
      <formula2>9.99999999999999E+23</formula2>
    </dataValidation>
    <dataValidation type="decimal" allowBlank="1" showErrorMessage="1" errorTitle="Ошибка" error="Допускается ввод только действительных чисел!" sqref="CY35">
      <formula1>-9.99999999999999E+23</formula1>
      <formula2>9.99999999999999E+23</formula2>
    </dataValidation>
    <dataValidation type="decimal" allowBlank="1" showErrorMessage="1" errorTitle="Ошибка" error="Допускается ввод только действительных чисел!" sqref="CK35">
      <formula1>-9.99999999999999E+23</formula1>
      <formula2>9.99999999999999E+23</formula2>
    </dataValidation>
    <dataValidation type="decimal" allowBlank="1" showErrorMessage="1" errorTitle="Ошибка" error="Допускается ввод только действительных чисел!" sqref="CJ35">
      <formula1>-9.99999999999999E+23</formula1>
      <formula2>9.99999999999999E+23</formula2>
    </dataValidation>
    <dataValidation type="decimal" allowBlank="1" showErrorMessage="1" errorTitle="Ошибка" error="Допускается ввод только действительных чисел!" sqref="CI35">
      <formula1>-9.99999999999999E+23</formula1>
      <formula2>9.99999999999999E+23</formula2>
    </dataValidation>
    <dataValidation type="decimal" allowBlank="1" showErrorMessage="1" errorTitle="Ошибка" error="Допускается ввод только действительных чисел!" sqref="CH35">
      <formula1>-9.99999999999999E+23</formula1>
      <formula2>9.99999999999999E+23</formula2>
    </dataValidation>
    <dataValidation type="decimal" allowBlank="1" showErrorMessage="1" errorTitle="Ошибка" error="Допускается ввод только действительных чисел!" sqref="CG35">
      <formula1>-9.99999999999999E+23</formula1>
      <formula2>9.99999999999999E+23</formula2>
    </dataValidation>
    <dataValidation type="decimal" allowBlank="1" showErrorMessage="1" errorTitle="Ошибка" error="Допускается ввод только действительных чисел!" sqref="CF35">
      <formula1>-9.99999999999999E+23</formula1>
      <formula2>9.99999999999999E+23</formula2>
    </dataValidation>
    <dataValidation type="decimal" allowBlank="1" showErrorMessage="1" errorTitle="Ошибка" error="Допускается ввод только действительных чисел!" sqref="CE35">
      <formula1>-9.99999999999999E+23</formula1>
      <formula2>9.99999999999999E+23</formula2>
    </dataValidation>
    <dataValidation type="decimal" allowBlank="1" showErrorMessage="1" errorTitle="Ошибка" error="Допускается ввод только действительных чисел!" sqref="CD35">
      <formula1>-9.99999999999999E+23</formula1>
      <formula2>9.99999999999999E+23</formula2>
    </dataValidation>
    <dataValidation type="decimal" allowBlank="1" showErrorMessage="1" errorTitle="Ошибка" error="Допускается ввод только действительных чисел!" sqref="CC35">
      <formula1>-9.99999999999999E+23</formula1>
      <formula2>9.99999999999999E+23</formula2>
    </dataValidation>
    <dataValidation type="decimal" allowBlank="1" showErrorMessage="1" errorTitle="Ошибка" error="Допускается ввод только действительных чисел!" sqref="CB35">
      <formula1>-9.99999999999999E+23</formula1>
      <formula2>9.99999999999999E+23</formula2>
    </dataValidation>
    <dataValidation type="decimal" allowBlank="1" showErrorMessage="1" errorTitle="Ошибка" error="Допускается ввод только действительных чисел!" sqref="CA35">
      <formula1>-9.99999999999999E+23</formula1>
      <formula2>9.99999999999999E+23</formula2>
    </dataValidation>
    <dataValidation type="decimal" allowBlank="1" showErrorMessage="1" errorTitle="Ошибка" error="Допускается ввод только действительных чисел!" sqref="BZ35">
      <formula1>-9.99999999999999E+23</formula1>
      <formula2>9.99999999999999E+23</formula2>
    </dataValidation>
    <dataValidation type="decimal" allowBlank="1" showErrorMessage="1" errorTitle="Ошибка" error="Допускается ввод только действительных чисел!" sqref="BY35">
      <formula1>-9.99999999999999E+23</formula1>
      <formula2>9.99999999999999E+23</formula2>
    </dataValidation>
    <dataValidation type="decimal" allowBlank="1" showErrorMessage="1" errorTitle="Ошибка" error="Допускается ввод только действительных чисел!" sqref="BX35">
      <formula1>-9.99999999999999E+23</formula1>
      <formula2>9.99999999999999E+23</formula2>
    </dataValidation>
    <dataValidation type="decimal" allowBlank="1" showErrorMessage="1" errorTitle="Ошибка" error="Допускается ввод только действительных чисел!" sqref="BW35">
      <formula1>-9.99999999999999E+23</formula1>
      <formula2>9.99999999999999E+23</formula2>
    </dataValidation>
    <dataValidation type="decimal" allowBlank="1" showErrorMessage="1" errorTitle="Ошибка" error="Допускается ввод только действительных чисел!" sqref="BV35">
      <formula1>-9.99999999999999E+23</formula1>
      <formula2>9.99999999999999E+23</formula2>
    </dataValidation>
    <dataValidation type="decimal" allowBlank="1" showErrorMessage="1" errorTitle="Ошибка" error="Допускается ввод только действительных чисел!" sqref="BU35">
      <formula1>-9.99999999999999E+23</formula1>
      <formula2>9.99999999999999E+23</formula2>
    </dataValidation>
    <dataValidation type="decimal" allowBlank="1" showErrorMessage="1" errorTitle="Ошибка" error="Допускается ввод только действительных чисел!" sqref="BT35">
      <formula1>-9.99999999999999E+23</formula1>
      <formula2>9.99999999999999E+23</formula2>
    </dataValidation>
    <dataValidation type="decimal" allowBlank="1" showErrorMessage="1" errorTitle="Ошибка" error="Допускается ввод только действительных чисел!" sqref="AB35">
      <formula1>-9.99999999999999E+23</formula1>
      <formula2>9.99999999999999E+23</formula2>
    </dataValidation>
    <dataValidation type="decimal" allowBlank="1" showErrorMessage="1" errorTitle="Ошибка" error="Допускается ввод только действительных чисел!" sqref="AA35">
      <formula1>-9.99999999999999E+23</formula1>
      <formula2>9.99999999999999E+23</formula2>
    </dataValidation>
    <dataValidation type="decimal" allowBlank="1" showErrorMessage="1" errorTitle="Ошибка" error="Допускается ввод только действительных чисел!" sqref="Z35">
      <formula1>-9.99999999999999E+23</formula1>
      <formula2>9.99999999999999E+23</formula2>
    </dataValidation>
    <dataValidation type="decimal" allowBlank="1" showErrorMessage="1" errorTitle="Ошибка" error="Допускается ввод только действительных чисел!" sqref="Y35">
      <formula1>-9.99999999999999E+23</formula1>
      <formula2>9.99999999999999E+23</formula2>
    </dataValidation>
    <dataValidation type="decimal" allowBlank="1" showErrorMessage="1" errorTitle="Ошибка" error="Допускается ввод только действительных чисел!" sqref="X35">
      <formula1>-9.99999999999999E+23</formula1>
      <formula2>9.99999999999999E+23</formula2>
    </dataValidation>
    <dataValidation type="decimal" allowBlank="1" showErrorMessage="1" errorTitle="Ошибка" error="Допускается ввод только действительных чисел!" sqref="W35">
      <formula1>-9.99999999999999E+23</formula1>
      <formula2>9.99999999999999E+23</formula2>
    </dataValidation>
    <dataValidation type="decimal" allowBlank="1" showErrorMessage="1" errorTitle="Ошибка" error="Допускается ввод только действительных чисел!" sqref="V35">
      <formula1>-9.99999999999999E+23</formula1>
      <formula2>9.99999999999999E+23</formula2>
    </dataValidation>
    <dataValidation type="decimal" allowBlank="1" showErrorMessage="1" errorTitle="Ошибка" error="Допускается ввод только действительных чисел!" sqref="U35">
      <formula1>-9.99999999999999E+23</formula1>
      <formula2>9.99999999999999E+23</formula2>
    </dataValidation>
    <dataValidation type="decimal" allowBlank="1" showErrorMessage="1" errorTitle="Ошибка" error="Допускается ввод только действительных чисел!" sqref="T35">
      <formula1>-9.99999999999999E+23</formula1>
      <formula2>9.99999999999999E+23</formula2>
    </dataValidation>
    <dataValidation type="decimal" allowBlank="1" showErrorMessage="1" errorTitle="Ошибка" error="Допускается ввод только действительных чисел!" sqref="S35">
      <formula1>-9.99999999999999E+23</formula1>
      <formula2>9.99999999999999E+23</formula2>
    </dataValidation>
    <dataValidation type="decimal" allowBlank="1" showErrorMessage="1" errorTitle="Ошибка" error="Допускается ввод только действительных чисел!" sqref="R35">
      <formula1>-9.99999999999999E+23</formula1>
      <formula2>9.99999999999999E+23</formula2>
    </dataValidation>
    <dataValidation type="decimal" allowBlank="1" showErrorMessage="1" errorTitle="Ошибка" error="Допускается ввод только действительных чисел!" sqref="Q35">
      <formula1>-9.99999999999999E+23</formula1>
      <formula2>9.99999999999999E+23</formula2>
    </dataValidation>
    <dataValidation type="decimal" allowBlank="1" showErrorMessage="1" errorTitle="Ошибка" error="Допускается ввод только действительных чисел!" sqref="P35">
      <formula1>-9.99999999999999E+23</formula1>
      <formula2>9.99999999999999E+23</formula2>
    </dataValidation>
    <dataValidation type="decimal" allowBlank="1" showErrorMessage="1" errorTitle="Ошибка" error="Допускается ввод только действительных чисел!" sqref="O3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5">
      <formula1>900</formula1>
    </dataValidation>
    <dataValidation type="list" allowBlank="1" showInputMessage="1" showErrorMessage="1" errorTitle="Ошибка" error="Выберите значение из списка" prompt="Выберите значение из списка" sqref="H35">
      <formula1>QRE_METHOD_LIST</formula1>
    </dataValidation>
    <dataValidation type="decimal" allowBlank="1" showErrorMessage="1" errorTitle="Ошибка" error="Допускается ввод только действительных чисел!" sqref="DJ34">
      <formula1>-9.99999999999999E+23</formula1>
      <formula2>9.99999999999999E+23</formula2>
    </dataValidation>
    <dataValidation type="decimal" allowBlank="1" showErrorMessage="1" errorTitle="Ошибка" error="Допускается ввод только действительных чисел!" sqref="DI34">
      <formula1>-9.99999999999999E+23</formula1>
      <formula2>9.99999999999999E+23</formula2>
    </dataValidation>
    <dataValidation type="decimal" allowBlank="1" showErrorMessage="1" errorTitle="Ошибка" error="Допускается ввод только действительных чисел!" sqref="DH34">
      <formula1>-9.99999999999999E+23</formula1>
      <formula2>9.99999999999999E+23</formula2>
    </dataValidation>
    <dataValidation type="decimal" allowBlank="1" showErrorMessage="1" errorTitle="Ошибка" error="Допускается ввод только действительных чисел!" sqref="DG34">
      <formula1>-9.99999999999999E+23</formula1>
      <formula2>9.99999999999999E+23</formula2>
    </dataValidation>
    <dataValidation type="decimal" allowBlank="1" showErrorMessage="1" errorTitle="Ошибка" error="Допускается ввод только действительных чисел!" sqref="DF34">
      <formula1>-9.99999999999999E+23</formula1>
      <formula2>9.99999999999999E+23</formula2>
    </dataValidation>
    <dataValidation type="decimal" allowBlank="1" showErrorMessage="1" errorTitle="Ошибка" error="Допускается ввод только действительных чисел!" sqref="DE34">
      <formula1>-9.99999999999999E+23</formula1>
      <formula2>9.99999999999999E+23</formula2>
    </dataValidation>
    <dataValidation type="decimal" allowBlank="1" showErrorMessage="1" errorTitle="Ошибка" error="Допускается ввод только действительных чисел!" sqref="DD34">
      <formula1>-9.99999999999999E+23</formula1>
      <formula2>9.99999999999999E+23</formula2>
    </dataValidation>
    <dataValidation type="decimal" allowBlank="1" showErrorMessage="1" errorTitle="Ошибка" error="Допускается ввод только действительных чисел!" sqref="DC34">
      <formula1>-9.99999999999999E+23</formula1>
      <formula2>9.99999999999999E+23</formula2>
    </dataValidation>
    <dataValidation type="decimal" allowBlank="1" showErrorMessage="1" errorTitle="Ошибка" error="Допускается ввод только действительных чисел!" sqref="DB34">
      <formula1>-9.99999999999999E+23</formula1>
      <formula2>9.99999999999999E+23</formula2>
    </dataValidation>
    <dataValidation type="decimal" allowBlank="1" showErrorMessage="1" errorTitle="Ошибка" error="Допускается ввод только действительных чисел!" sqref="DA34">
      <formula1>-9.99999999999999E+23</formula1>
      <formula2>9.99999999999999E+23</formula2>
    </dataValidation>
    <dataValidation type="decimal" allowBlank="1" showErrorMessage="1" errorTitle="Ошибка" error="Допускается ввод только действительных чисел!" sqref="CZ34">
      <formula1>-9.99999999999999E+23</formula1>
      <formula2>9.99999999999999E+23</formula2>
    </dataValidation>
    <dataValidation type="decimal" allowBlank="1" showErrorMessage="1" errorTitle="Ошибка" error="Допускается ввод только действительных чисел!" sqref="CY34">
      <formula1>-9.99999999999999E+23</formula1>
      <formula2>9.99999999999999E+23</formula2>
    </dataValidation>
    <dataValidation type="decimal" allowBlank="1" showErrorMessage="1" errorTitle="Ошибка" error="Допускается ввод только действительных чисел!" sqref="CK34">
      <formula1>-9.99999999999999E+23</formula1>
      <formula2>9.99999999999999E+23</formula2>
    </dataValidation>
    <dataValidation type="decimal" allowBlank="1" showErrorMessage="1" errorTitle="Ошибка" error="Допускается ввод только действительных чисел!" sqref="CJ34">
      <formula1>-9.99999999999999E+23</formula1>
      <formula2>9.99999999999999E+23</formula2>
    </dataValidation>
    <dataValidation type="decimal" allowBlank="1" showErrorMessage="1" errorTitle="Ошибка" error="Допускается ввод только действительных чисел!" sqref="CI34">
      <formula1>-9.99999999999999E+23</formula1>
      <formula2>9.99999999999999E+23</formula2>
    </dataValidation>
    <dataValidation type="decimal" allowBlank="1" showErrorMessage="1" errorTitle="Ошибка" error="Допускается ввод только действительных чисел!" sqref="CH34">
      <formula1>-9.99999999999999E+23</formula1>
      <formula2>9.99999999999999E+23</formula2>
    </dataValidation>
    <dataValidation type="decimal" allowBlank="1" showErrorMessage="1" errorTitle="Ошибка" error="Допускается ввод только действительных чисел!" sqref="CG34">
      <formula1>-9.99999999999999E+23</formula1>
      <formula2>9.99999999999999E+23</formula2>
    </dataValidation>
    <dataValidation type="decimal" allowBlank="1" showErrorMessage="1" errorTitle="Ошибка" error="Допускается ввод только действительных чисел!" sqref="CF34">
      <formula1>-9.99999999999999E+23</formula1>
      <formula2>9.99999999999999E+23</formula2>
    </dataValidation>
    <dataValidation type="decimal" allowBlank="1" showErrorMessage="1" errorTitle="Ошибка" error="Допускается ввод только действительных чисел!" sqref="CE34">
      <formula1>-9.99999999999999E+23</formula1>
      <formula2>9.99999999999999E+23</formula2>
    </dataValidation>
    <dataValidation type="decimal" allowBlank="1" showErrorMessage="1" errorTitle="Ошибка" error="Допускается ввод только действительных чисел!" sqref="CD34">
      <formula1>-9.99999999999999E+23</formula1>
      <formula2>9.99999999999999E+23</formula2>
    </dataValidation>
    <dataValidation type="decimal" allowBlank="1" showErrorMessage="1" errorTitle="Ошибка" error="Допускается ввод только действительных чисел!" sqref="CC34">
      <formula1>-9.99999999999999E+23</formula1>
      <formula2>9.99999999999999E+23</formula2>
    </dataValidation>
    <dataValidation type="decimal" allowBlank="1" showErrorMessage="1" errorTitle="Ошибка" error="Допускается ввод только действительных чисел!" sqref="CB34">
      <formula1>-9.99999999999999E+23</formula1>
      <formula2>9.99999999999999E+23</formula2>
    </dataValidation>
    <dataValidation type="decimal" allowBlank="1" showErrorMessage="1" errorTitle="Ошибка" error="Допускается ввод только действительных чисел!" sqref="CA34">
      <formula1>-9.99999999999999E+23</formula1>
      <formula2>9.99999999999999E+23</formula2>
    </dataValidation>
    <dataValidation type="decimal" allowBlank="1" showErrorMessage="1" errorTitle="Ошибка" error="Допускается ввод только действительных чисел!" sqref="BZ34">
      <formula1>-9.99999999999999E+23</formula1>
      <formula2>9.99999999999999E+23</formula2>
    </dataValidation>
    <dataValidation type="decimal" allowBlank="1" showErrorMessage="1" errorTitle="Ошибка" error="Допускается ввод только действительных чисел!" sqref="BY34">
      <formula1>-9.99999999999999E+23</formula1>
      <formula2>9.99999999999999E+23</formula2>
    </dataValidation>
    <dataValidation type="decimal" allowBlank="1" showErrorMessage="1" errorTitle="Ошибка" error="Допускается ввод только действительных чисел!" sqref="BX34">
      <formula1>-9.99999999999999E+23</formula1>
      <formula2>9.99999999999999E+23</formula2>
    </dataValidation>
    <dataValidation type="decimal" allowBlank="1" showErrorMessage="1" errorTitle="Ошибка" error="Допускается ввод только действительных чисел!" sqref="BW34">
      <formula1>-9.99999999999999E+23</formula1>
      <formula2>9.99999999999999E+23</formula2>
    </dataValidation>
    <dataValidation type="decimal" allowBlank="1" showErrorMessage="1" errorTitle="Ошибка" error="Допускается ввод только действительных чисел!" sqref="BV34">
      <formula1>-9.99999999999999E+23</formula1>
      <formula2>9.99999999999999E+23</formula2>
    </dataValidation>
    <dataValidation type="decimal" allowBlank="1" showErrorMessage="1" errorTitle="Ошибка" error="Допускается ввод только действительных чисел!" sqref="BU34">
      <formula1>-9.99999999999999E+23</formula1>
      <formula2>9.99999999999999E+23</formula2>
    </dataValidation>
    <dataValidation type="decimal" allowBlank="1" showErrorMessage="1" errorTitle="Ошибка" error="Допускается ввод только действительных чисел!" sqref="BT34">
      <formula1>-9.99999999999999E+23</formula1>
      <formula2>9.99999999999999E+23</formula2>
    </dataValidation>
    <dataValidation type="decimal" allowBlank="1" showErrorMessage="1" errorTitle="Ошибка" error="Допускается ввод только действительных чисел!" sqref="AB34">
      <formula1>-9.99999999999999E+23</formula1>
      <formula2>9.99999999999999E+23</formula2>
    </dataValidation>
    <dataValidation type="decimal" allowBlank="1" showErrorMessage="1" errorTitle="Ошибка" error="Допускается ввод только действительных чисел!" sqref="AA34">
      <formula1>-9.99999999999999E+23</formula1>
      <formula2>9.99999999999999E+23</formula2>
    </dataValidation>
    <dataValidation type="decimal" allowBlank="1" showErrorMessage="1" errorTitle="Ошибка" error="Допускается ввод только действительных чисел!" sqref="Z34">
      <formula1>-9.99999999999999E+23</formula1>
      <formula2>9.99999999999999E+23</formula2>
    </dataValidation>
    <dataValidation type="decimal" allowBlank="1" showErrorMessage="1" errorTitle="Ошибка" error="Допускается ввод только действительных чисел!" sqref="Y34">
      <formula1>-9.99999999999999E+23</formula1>
      <formula2>9.99999999999999E+23</formula2>
    </dataValidation>
    <dataValidation type="decimal" allowBlank="1" showErrorMessage="1" errorTitle="Ошибка" error="Допускается ввод только действительных чисел!" sqref="X34">
      <formula1>-9.99999999999999E+23</formula1>
      <formula2>9.99999999999999E+23</formula2>
    </dataValidation>
    <dataValidation type="decimal" allowBlank="1" showErrorMessage="1" errorTitle="Ошибка" error="Допускается ввод только действительных чисел!" sqref="W34">
      <formula1>-9.99999999999999E+23</formula1>
      <formula2>9.99999999999999E+23</formula2>
    </dataValidation>
    <dataValidation type="decimal" allowBlank="1" showErrorMessage="1" errorTitle="Ошибка" error="Допускается ввод только действительных чисел!" sqref="V34">
      <formula1>-9.99999999999999E+23</formula1>
      <formula2>9.99999999999999E+23</formula2>
    </dataValidation>
    <dataValidation type="decimal" allowBlank="1" showErrorMessage="1" errorTitle="Ошибка" error="Допускается ввод только действительных чисел!" sqref="U34">
      <formula1>-9.99999999999999E+23</formula1>
      <formula2>9.99999999999999E+23</formula2>
    </dataValidation>
    <dataValidation type="decimal" allowBlank="1" showErrorMessage="1" errorTitle="Ошибка" error="Допускается ввод только действительных чисел!" sqref="T34">
      <formula1>-9.99999999999999E+23</formula1>
      <formula2>9.99999999999999E+23</formula2>
    </dataValidation>
    <dataValidation type="decimal" allowBlank="1" showErrorMessage="1" errorTitle="Ошибка" error="Допускается ввод только действительных чисел!" sqref="S34">
      <formula1>-9.99999999999999E+23</formula1>
      <formula2>9.99999999999999E+23</formula2>
    </dataValidation>
    <dataValidation type="decimal" allowBlank="1" showErrorMessage="1" errorTitle="Ошибка" error="Допускается ввод только действительных чисел!" sqref="R34">
      <formula1>-9.99999999999999E+23</formula1>
      <formula2>9.99999999999999E+23</formula2>
    </dataValidation>
    <dataValidation type="decimal" allowBlank="1" showErrorMessage="1" errorTitle="Ошибка" error="Допускается ввод только действительных чисел!" sqref="Q34">
      <formula1>-9.99999999999999E+23</formula1>
      <formula2>9.99999999999999E+23</formula2>
    </dataValidation>
    <dataValidation type="decimal" allowBlank="1" showErrorMessage="1" errorTitle="Ошибка" error="Допускается ввод только действительных чисел!" sqref="P34">
      <formula1>-9.99999999999999E+23</formula1>
      <formula2>9.99999999999999E+23</formula2>
    </dataValidation>
    <dataValidation type="decimal" allowBlank="1" showErrorMessage="1" errorTitle="Ошибка" error="Допускается ввод только действительных чисел!" sqref="O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4">
      <formula1>900</formula1>
    </dataValidation>
    <dataValidation type="list" allowBlank="1" showInputMessage="1" showErrorMessage="1" errorTitle="Ошибка" error="Выберите значение из списка" prompt="Выберите значение из списка" sqref="H34">
      <formula1>QRE_METHOD_LIST</formula1>
    </dataValidation>
    <dataValidation type="decimal" allowBlank="1" showErrorMessage="1" errorTitle="Ошибка" error="Допускается ввод только действительных чисел!" sqref="DJ33">
      <formula1>-9.99999999999999E+23</formula1>
      <formula2>9.99999999999999E+23</formula2>
    </dataValidation>
    <dataValidation type="decimal" allowBlank="1" showErrorMessage="1" errorTitle="Ошибка" error="Допускается ввод только действительных чисел!" sqref="DI33">
      <formula1>-9.99999999999999E+23</formula1>
      <formula2>9.99999999999999E+23</formula2>
    </dataValidation>
    <dataValidation type="decimal" allowBlank="1" showErrorMessage="1" errorTitle="Ошибка" error="Допускается ввод только действительных чисел!" sqref="DH33">
      <formula1>-9.99999999999999E+23</formula1>
      <formula2>9.99999999999999E+23</formula2>
    </dataValidation>
    <dataValidation type="decimal" allowBlank="1" showErrorMessage="1" errorTitle="Ошибка" error="Допускается ввод только действительных чисел!" sqref="DG33">
      <formula1>-9.99999999999999E+23</formula1>
      <formula2>9.99999999999999E+23</formula2>
    </dataValidation>
    <dataValidation type="decimal" allowBlank="1" showErrorMessage="1" errorTitle="Ошибка" error="Допускается ввод только действительных чисел!" sqref="DF33">
      <formula1>-9.99999999999999E+23</formula1>
      <formula2>9.99999999999999E+23</formula2>
    </dataValidation>
    <dataValidation type="decimal" allowBlank="1" showErrorMessage="1" errorTitle="Ошибка" error="Допускается ввод только действительных чисел!" sqref="DE33">
      <formula1>-9.99999999999999E+23</formula1>
      <formula2>9.99999999999999E+23</formula2>
    </dataValidation>
    <dataValidation type="decimal" allowBlank="1" showErrorMessage="1" errorTitle="Ошибка" error="Допускается ввод только действительных чисел!" sqref="DD33">
      <formula1>-9.99999999999999E+23</formula1>
      <formula2>9.99999999999999E+23</formula2>
    </dataValidation>
    <dataValidation type="decimal" allowBlank="1" showErrorMessage="1" errorTitle="Ошибка" error="Допускается ввод только действительных чисел!" sqref="DC33">
      <formula1>-9.99999999999999E+23</formula1>
      <formula2>9.99999999999999E+23</formula2>
    </dataValidation>
    <dataValidation type="decimal" allowBlank="1" showErrorMessage="1" errorTitle="Ошибка" error="Допускается ввод только действительных чисел!" sqref="DB33">
      <formula1>-9.99999999999999E+23</formula1>
      <formula2>9.99999999999999E+23</formula2>
    </dataValidation>
    <dataValidation type="decimal" allowBlank="1" showErrorMessage="1" errorTitle="Ошибка" error="Допускается ввод только действительных чисел!" sqref="DA33">
      <formula1>-9.99999999999999E+23</formula1>
      <formula2>9.99999999999999E+23</formula2>
    </dataValidation>
    <dataValidation type="decimal" allowBlank="1" showErrorMessage="1" errorTitle="Ошибка" error="Допускается ввод только действительных чисел!" sqref="CZ33">
      <formula1>-9.99999999999999E+23</formula1>
      <formula2>9.99999999999999E+23</formula2>
    </dataValidation>
    <dataValidation type="decimal" allowBlank="1" showErrorMessage="1" errorTitle="Ошибка" error="Допускается ввод только действительных чисел!" sqref="CY33">
      <formula1>-9.99999999999999E+23</formula1>
      <formula2>9.99999999999999E+23</formula2>
    </dataValidation>
    <dataValidation type="decimal" allowBlank="1" showErrorMessage="1" errorTitle="Ошибка" error="Допускается ввод только действительных чисел!" sqref="CK33">
      <formula1>-9.99999999999999E+23</formula1>
      <formula2>9.99999999999999E+23</formula2>
    </dataValidation>
    <dataValidation type="decimal" allowBlank="1" showErrorMessage="1" errorTitle="Ошибка" error="Допускается ввод только действительных чисел!" sqref="CJ33">
      <formula1>-9.99999999999999E+23</formula1>
      <formula2>9.99999999999999E+23</formula2>
    </dataValidation>
    <dataValidation type="decimal" allowBlank="1" showErrorMessage="1" errorTitle="Ошибка" error="Допускается ввод только действительных чисел!" sqref="CI33">
      <formula1>-9.99999999999999E+23</formula1>
      <formula2>9.99999999999999E+23</formula2>
    </dataValidation>
    <dataValidation type="decimal" allowBlank="1" showErrorMessage="1" errorTitle="Ошибка" error="Допускается ввод только действительных чисел!" sqref="CH33">
      <formula1>-9.99999999999999E+23</formula1>
      <formula2>9.99999999999999E+23</formula2>
    </dataValidation>
    <dataValidation type="decimal" allowBlank="1" showErrorMessage="1" errorTitle="Ошибка" error="Допускается ввод только действительных чисел!" sqref="CG33">
      <formula1>-9.99999999999999E+23</formula1>
      <formula2>9.99999999999999E+23</formula2>
    </dataValidation>
    <dataValidation type="decimal" allowBlank="1" showErrorMessage="1" errorTitle="Ошибка" error="Допускается ввод только действительных чисел!" sqref="CF33">
      <formula1>-9.99999999999999E+23</formula1>
      <formula2>9.99999999999999E+23</formula2>
    </dataValidation>
    <dataValidation type="decimal" allowBlank="1" showErrorMessage="1" errorTitle="Ошибка" error="Допускается ввод только действительных чисел!" sqref="CE33">
      <formula1>-9.99999999999999E+23</formula1>
      <formula2>9.99999999999999E+23</formula2>
    </dataValidation>
    <dataValidation type="decimal" allowBlank="1" showErrorMessage="1" errorTitle="Ошибка" error="Допускается ввод только действительных чисел!" sqref="CD33">
      <formula1>-9.99999999999999E+23</formula1>
      <formula2>9.99999999999999E+23</formula2>
    </dataValidation>
    <dataValidation type="decimal" allowBlank="1" showErrorMessage="1" errorTitle="Ошибка" error="Допускается ввод только действительных чисел!" sqref="CC33">
      <formula1>-9.99999999999999E+23</formula1>
      <formula2>9.99999999999999E+23</formula2>
    </dataValidation>
    <dataValidation type="decimal" allowBlank="1" showErrorMessage="1" errorTitle="Ошибка" error="Допускается ввод только действительных чисел!" sqref="CB33">
      <formula1>-9.99999999999999E+23</formula1>
      <formula2>9.99999999999999E+23</formula2>
    </dataValidation>
    <dataValidation type="decimal" allowBlank="1" showErrorMessage="1" errorTitle="Ошибка" error="Допускается ввод только действительных чисел!" sqref="CA33">
      <formula1>-9.99999999999999E+23</formula1>
      <formula2>9.99999999999999E+23</formula2>
    </dataValidation>
    <dataValidation type="decimal" allowBlank="1" showErrorMessage="1" errorTitle="Ошибка" error="Допускается ввод только действительных чисел!" sqref="BZ33">
      <formula1>-9.99999999999999E+23</formula1>
      <formula2>9.99999999999999E+23</formula2>
    </dataValidation>
    <dataValidation type="decimal" allowBlank="1" showErrorMessage="1" errorTitle="Ошибка" error="Допускается ввод только действительных чисел!" sqref="BY33">
      <formula1>-9.99999999999999E+23</formula1>
      <formula2>9.99999999999999E+23</formula2>
    </dataValidation>
    <dataValidation type="decimal" allowBlank="1" showErrorMessage="1" errorTitle="Ошибка" error="Допускается ввод только действительных чисел!" sqref="BX33">
      <formula1>-9.99999999999999E+23</formula1>
      <formula2>9.99999999999999E+23</formula2>
    </dataValidation>
    <dataValidation type="decimal" allowBlank="1" showErrorMessage="1" errorTitle="Ошибка" error="Допускается ввод только действительных чисел!" sqref="BW33">
      <formula1>-9.99999999999999E+23</formula1>
      <formula2>9.99999999999999E+23</formula2>
    </dataValidation>
    <dataValidation type="decimal" allowBlank="1" showErrorMessage="1" errorTitle="Ошибка" error="Допускается ввод только действительных чисел!" sqref="BV33">
      <formula1>-9.99999999999999E+23</formula1>
      <formula2>9.99999999999999E+23</formula2>
    </dataValidation>
    <dataValidation type="decimal" allowBlank="1" showErrorMessage="1" errorTitle="Ошибка" error="Допускается ввод только действительных чисел!" sqref="BU33">
      <formula1>-9.99999999999999E+23</formula1>
      <formula2>9.99999999999999E+23</formula2>
    </dataValidation>
    <dataValidation type="decimal" allowBlank="1" showErrorMessage="1" errorTitle="Ошибка" error="Допускается ввод только действительных чисел!" sqref="BT33">
      <formula1>-9.99999999999999E+23</formula1>
      <formula2>9.99999999999999E+23</formula2>
    </dataValidation>
    <dataValidation type="decimal" allowBlank="1" showErrorMessage="1" errorTitle="Ошибка" error="Допускается ввод только действительных чисел!" sqref="AB33">
      <formula1>-9.99999999999999E+23</formula1>
      <formula2>9.99999999999999E+23</formula2>
    </dataValidation>
    <dataValidation type="decimal" allowBlank="1" showErrorMessage="1" errorTitle="Ошибка" error="Допускается ввод только действительных чисел!" sqref="AA33">
      <formula1>-9.99999999999999E+23</formula1>
      <formula2>9.99999999999999E+23</formula2>
    </dataValidation>
    <dataValidation type="decimal" allowBlank="1" showErrorMessage="1" errorTitle="Ошибка" error="Допускается ввод только действительных чисел!" sqref="Z33">
      <formula1>-9.99999999999999E+23</formula1>
      <formula2>9.99999999999999E+23</formula2>
    </dataValidation>
    <dataValidation type="decimal" allowBlank="1" showErrorMessage="1" errorTitle="Ошибка" error="Допускается ввод только действительных чисел!" sqref="Y33">
      <formula1>-9.99999999999999E+23</formula1>
      <formula2>9.99999999999999E+23</formula2>
    </dataValidation>
    <dataValidation type="decimal" allowBlank="1" showErrorMessage="1" errorTitle="Ошибка" error="Допускается ввод только действительных чисел!" sqref="X33">
      <formula1>-9.99999999999999E+23</formula1>
      <formula2>9.99999999999999E+23</formula2>
    </dataValidation>
    <dataValidation type="decimal" allowBlank="1" showErrorMessage="1" errorTitle="Ошибка" error="Допускается ввод только действительных чисел!" sqref="W33">
      <formula1>-9.99999999999999E+23</formula1>
      <formula2>9.99999999999999E+23</formula2>
    </dataValidation>
    <dataValidation type="decimal" allowBlank="1" showErrorMessage="1" errorTitle="Ошибка" error="Допускается ввод только действительных чисел!" sqref="V33">
      <formula1>-9.99999999999999E+23</formula1>
      <formula2>9.99999999999999E+23</formula2>
    </dataValidation>
    <dataValidation type="decimal" allowBlank="1" showErrorMessage="1" errorTitle="Ошибка" error="Допускается ввод только действительных чисел!" sqref="U33">
      <formula1>-9.99999999999999E+23</formula1>
      <formula2>9.99999999999999E+23</formula2>
    </dataValidation>
    <dataValidation type="decimal" allowBlank="1" showErrorMessage="1" errorTitle="Ошибка" error="Допускается ввод только действительных чисел!" sqref="T33">
      <formula1>-9.99999999999999E+23</formula1>
      <formula2>9.99999999999999E+23</formula2>
    </dataValidation>
    <dataValidation type="decimal" allowBlank="1" showErrorMessage="1" errorTitle="Ошибка" error="Допускается ввод только действительных чисел!" sqref="S33">
      <formula1>-9.99999999999999E+23</formula1>
      <formula2>9.99999999999999E+23</formula2>
    </dataValidation>
    <dataValidation type="decimal" allowBlank="1" showErrorMessage="1" errorTitle="Ошибка" error="Допускается ввод только действительных чисел!" sqref="R33">
      <formula1>-9.99999999999999E+23</formula1>
      <formula2>9.99999999999999E+23</formula2>
    </dataValidation>
    <dataValidation type="decimal" allowBlank="1" showErrorMessage="1" errorTitle="Ошибка" error="Допускается ввод только действительных чисел!" sqref="Q33">
      <formula1>-9.99999999999999E+23</formula1>
      <formula2>9.99999999999999E+23</formula2>
    </dataValidation>
    <dataValidation type="decimal" allowBlank="1" showErrorMessage="1" errorTitle="Ошибка" error="Допускается ввод только действительных чисел!" sqref="P33">
      <formula1>-9.99999999999999E+23</formula1>
      <formula2>9.99999999999999E+23</formula2>
    </dataValidation>
    <dataValidation type="decimal" allowBlank="1" showErrorMessage="1" errorTitle="Ошибка" error="Допускается ввод только действительных чисел!" sqref="O3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3">
      <formula1>900</formula1>
    </dataValidation>
    <dataValidation type="list" allowBlank="1" showInputMessage="1" showErrorMessage="1" errorTitle="Ошибка" error="Выберите значение из списка" prompt="Выберите значение из списка" sqref="H33">
      <formula1>QRE_METHOD_LIST</formula1>
    </dataValidation>
    <dataValidation type="decimal" allowBlank="1" showErrorMessage="1" errorTitle="Ошибка" error="Допускается ввод только действительных чисел!" sqref="DJ32">
      <formula1>-9.99999999999999E+23</formula1>
      <formula2>9.99999999999999E+23</formula2>
    </dataValidation>
    <dataValidation type="decimal" allowBlank="1" showErrorMessage="1" errorTitle="Ошибка" error="Допускается ввод только действительных чисел!" sqref="DI32">
      <formula1>-9.99999999999999E+23</formula1>
      <formula2>9.99999999999999E+23</formula2>
    </dataValidation>
    <dataValidation type="decimal" allowBlank="1" showErrorMessage="1" errorTitle="Ошибка" error="Допускается ввод только действительных чисел!" sqref="DH32">
      <formula1>-9.99999999999999E+23</formula1>
      <formula2>9.99999999999999E+23</formula2>
    </dataValidation>
    <dataValidation type="decimal" allowBlank="1" showErrorMessage="1" errorTitle="Ошибка" error="Допускается ввод только действительных чисел!" sqref="DG32">
      <formula1>-9.99999999999999E+23</formula1>
      <formula2>9.99999999999999E+23</formula2>
    </dataValidation>
    <dataValidation type="decimal" allowBlank="1" showErrorMessage="1" errorTitle="Ошибка" error="Допускается ввод только действительных чисел!" sqref="DF32">
      <formula1>-9.99999999999999E+23</formula1>
      <formula2>9.99999999999999E+23</formula2>
    </dataValidation>
    <dataValidation type="decimal" allowBlank="1" showErrorMessage="1" errorTitle="Ошибка" error="Допускается ввод только действительных чисел!" sqref="DE32">
      <formula1>-9.99999999999999E+23</formula1>
      <formula2>9.99999999999999E+23</formula2>
    </dataValidation>
    <dataValidation type="decimal" allowBlank="1" showErrorMessage="1" errorTitle="Ошибка" error="Допускается ввод только действительных чисел!" sqref="DD32">
      <formula1>-9.99999999999999E+23</formula1>
      <formula2>9.99999999999999E+23</formula2>
    </dataValidation>
    <dataValidation type="decimal" allowBlank="1" showErrorMessage="1" errorTitle="Ошибка" error="Допускается ввод только действительных чисел!" sqref="DC32">
      <formula1>-9.99999999999999E+23</formula1>
      <formula2>9.99999999999999E+23</formula2>
    </dataValidation>
    <dataValidation type="decimal" allowBlank="1" showErrorMessage="1" errorTitle="Ошибка" error="Допускается ввод только действительных чисел!" sqref="DB32">
      <formula1>-9.99999999999999E+23</formula1>
      <formula2>9.99999999999999E+23</formula2>
    </dataValidation>
    <dataValidation type="decimal" allowBlank="1" showErrorMessage="1" errorTitle="Ошибка" error="Допускается ввод только действительных чисел!" sqref="DA32">
      <formula1>-9.99999999999999E+23</formula1>
      <formula2>9.99999999999999E+23</formula2>
    </dataValidation>
    <dataValidation type="decimal" allowBlank="1" showErrorMessage="1" errorTitle="Ошибка" error="Допускается ввод только действительных чисел!" sqref="CZ32">
      <formula1>-9.99999999999999E+23</formula1>
      <formula2>9.99999999999999E+23</formula2>
    </dataValidation>
    <dataValidation type="decimal" allowBlank="1" showErrorMessage="1" errorTitle="Ошибка" error="Допускается ввод только действительных чисел!" sqref="CY32">
      <formula1>-9.99999999999999E+23</formula1>
      <formula2>9.99999999999999E+23</formula2>
    </dataValidation>
    <dataValidation type="decimal" allowBlank="1" showErrorMessage="1" errorTitle="Ошибка" error="Допускается ввод только действительных чисел!" sqref="CK32">
      <formula1>-9.99999999999999E+23</formula1>
      <formula2>9.99999999999999E+23</formula2>
    </dataValidation>
    <dataValidation type="decimal" allowBlank="1" showErrorMessage="1" errorTitle="Ошибка" error="Допускается ввод только действительных чисел!" sqref="CJ32">
      <formula1>-9.99999999999999E+23</formula1>
      <formula2>9.99999999999999E+23</formula2>
    </dataValidation>
    <dataValidation type="decimal" allowBlank="1" showErrorMessage="1" errorTitle="Ошибка" error="Допускается ввод только действительных чисел!" sqref="CI32">
      <formula1>-9.99999999999999E+23</formula1>
      <formula2>9.99999999999999E+23</formula2>
    </dataValidation>
    <dataValidation type="decimal" allowBlank="1" showErrorMessage="1" errorTitle="Ошибка" error="Допускается ввод только действительных чисел!" sqref="CH32">
      <formula1>-9.99999999999999E+23</formula1>
      <formula2>9.99999999999999E+23</formula2>
    </dataValidation>
    <dataValidation type="decimal" allowBlank="1" showErrorMessage="1" errorTitle="Ошибка" error="Допускается ввод только действительных чисел!" sqref="CG32">
      <formula1>-9.99999999999999E+23</formula1>
      <formula2>9.99999999999999E+23</formula2>
    </dataValidation>
    <dataValidation type="decimal" allowBlank="1" showErrorMessage="1" errorTitle="Ошибка" error="Допускается ввод только действительных чисел!" sqref="CF32">
      <formula1>-9.99999999999999E+23</formula1>
      <formula2>9.99999999999999E+23</formula2>
    </dataValidation>
    <dataValidation type="decimal" allowBlank="1" showErrorMessage="1" errorTitle="Ошибка" error="Допускается ввод только действительных чисел!" sqref="CE32">
      <formula1>-9.99999999999999E+23</formula1>
      <formula2>9.99999999999999E+23</formula2>
    </dataValidation>
    <dataValidation type="decimal" allowBlank="1" showErrorMessage="1" errorTitle="Ошибка" error="Допускается ввод только действительных чисел!" sqref="CD32">
      <formula1>-9.99999999999999E+23</formula1>
      <formula2>9.99999999999999E+23</formula2>
    </dataValidation>
    <dataValidation type="decimal" allowBlank="1" showErrorMessage="1" errorTitle="Ошибка" error="Допускается ввод только действительных чисел!" sqref="CC32">
      <formula1>-9.99999999999999E+23</formula1>
      <formula2>9.99999999999999E+23</formula2>
    </dataValidation>
    <dataValidation type="decimal" allowBlank="1" showErrorMessage="1" errorTitle="Ошибка" error="Допускается ввод только действительных чисел!" sqref="CB32">
      <formula1>-9.99999999999999E+23</formula1>
      <formula2>9.99999999999999E+23</formula2>
    </dataValidation>
    <dataValidation type="decimal" allowBlank="1" showErrorMessage="1" errorTitle="Ошибка" error="Допускается ввод только действительных чисел!" sqref="CA32">
      <formula1>-9.99999999999999E+23</formula1>
      <formula2>9.99999999999999E+23</formula2>
    </dataValidation>
    <dataValidation type="decimal" allowBlank="1" showErrorMessage="1" errorTitle="Ошибка" error="Допускается ввод только действительных чисел!" sqref="BZ32">
      <formula1>-9.99999999999999E+23</formula1>
      <formula2>9.99999999999999E+23</formula2>
    </dataValidation>
    <dataValidation type="decimal" allowBlank="1" showErrorMessage="1" errorTitle="Ошибка" error="Допускается ввод только действительных чисел!" sqref="BY32">
      <formula1>-9.99999999999999E+23</formula1>
      <formula2>9.99999999999999E+23</formula2>
    </dataValidation>
    <dataValidation type="decimal" allowBlank="1" showErrorMessage="1" errorTitle="Ошибка" error="Допускается ввод только действительных чисел!" sqref="BX32">
      <formula1>-9.99999999999999E+23</formula1>
      <formula2>9.99999999999999E+23</formula2>
    </dataValidation>
    <dataValidation type="decimal" allowBlank="1" showErrorMessage="1" errorTitle="Ошибка" error="Допускается ввод только действительных чисел!" sqref="BW32">
      <formula1>-9.99999999999999E+23</formula1>
      <formula2>9.99999999999999E+23</formula2>
    </dataValidation>
    <dataValidation type="decimal" allowBlank="1" showErrorMessage="1" errorTitle="Ошибка" error="Допускается ввод только действительных чисел!" sqref="BV32">
      <formula1>-9.99999999999999E+23</formula1>
      <formula2>9.99999999999999E+23</formula2>
    </dataValidation>
    <dataValidation type="decimal" allowBlank="1" showErrorMessage="1" errorTitle="Ошибка" error="Допускается ввод только действительных чисел!" sqref="BU32">
      <formula1>-9.99999999999999E+23</formula1>
      <formula2>9.99999999999999E+23</formula2>
    </dataValidation>
    <dataValidation type="decimal" allowBlank="1" showErrorMessage="1" errorTitle="Ошибка" error="Допускается ввод только действительных чисел!" sqref="BT32">
      <formula1>-9.99999999999999E+23</formula1>
      <formula2>9.99999999999999E+23</formula2>
    </dataValidation>
    <dataValidation type="decimal" allowBlank="1" showErrorMessage="1" errorTitle="Ошибка" error="Допускается ввод только действительных чисел!" sqref="AB32">
      <formula1>-9.99999999999999E+23</formula1>
      <formula2>9.99999999999999E+23</formula2>
    </dataValidation>
    <dataValidation type="decimal" allowBlank="1" showErrorMessage="1" errorTitle="Ошибка" error="Допускается ввод только действительных чисел!" sqref="AA32">
      <formula1>-9.99999999999999E+23</formula1>
      <formula2>9.99999999999999E+23</formula2>
    </dataValidation>
    <dataValidation type="decimal" allowBlank="1" showErrorMessage="1" errorTitle="Ошибка" error="Допускается ввод только действительных чисел!" sqref="Z32">
      <formula1>-9.99999999999999E+23</formula1>
      <formula2>9.99999999999999E+23</formula2>
    </dataValidation>
    <dataValidation type="decimal" allowBlank="1" showErrorMessage="1" errorTitle="Ошибка" error="Допускается ввод только действительных чисел!" sqref="Y32">
      <formula1>-9.99999999999999E+23</formula1>
      <formula2>9.99999999999999E+23</formula2>
    </dataValidation>
    <dataValidation type="decimal" allowBlank="1" showErrorMessage="1" errorTitle="Ошибка" error="Допускается ввод только действительных чисел!" sqref="X32">
      <formula1>-9.99999999999999E+23</formula1>
      <formula2>9.99999999999999E+23</formula2>
    </dataValidation>
    <dataValidation type="decimal" allowBlank="1" showErrorMessage="1" errorTitle="Ошибка" error="Допускается ввод только действительных чисел!" sqref="W32">
      <formula1>-9.99999999999999E+23</formula1>
      <formula2>9.99999999999999E+23</formula2>
    </dataValidation>
    <dataValidation type="decimal" allowBlank="1" showErrorMessage="1" errorTitle="Ошибка" error="Допускается ввод только действительных чисел!" sqref="V32">
      <formula1>-9.99999999999999E+23</formula1>
      <formula2>9.99999999999999E+23</formula2>
    </dataValidation>
    <dataValidation type="decimal" allowBlank="1" showErrorMessage="1" errorTitle="Ошибка" error="Допускается ввод только действительных чисел!" sqref="U32">
      <formula1>-9.99999999999999E+23</formula1>
      <formula2>9.99999999999999E+23</formula2>
    </dataValidation>
    <dataValidation type="decimal" allowBlank="1" showErrorMessage="1" errorTitle="Ошибка" error="Допускается ввод только действительных чисел!" sqref="T32">
      <formula1>-9.99999999999999E+23</formula1>
      <formula2>9.99999999999999E+23</formula2>
    </dataValidation>
    <dataValidation type="decimal" allowBlank="1" showErrorMessage="1" errorTitle="Ошибка" error="Допускается ввод только действительных чисел!" sqref="S32">
      <formula1>-9.99999999999999E+23</formula1>
      <formula2>9.99999999999999E+23</formula2>
    </dataValidation>
    <dataValidation type="decimal" allowBlank="1" showErrorMessage="1" errorTitle="Ошибка" error="Допускается ввод только действительных чисел!" sqref="R32">
      <formula1>-9.99999999999999E+23</formula1>
      <formula2>9.99999999999999E+23</formula2>
    </dataValidation>
    <dataValidation type="decimal" allowBlank="1" showErrorMessage="1" errorTitle="Ошибка" error="Допускается ввод только действительных чисел!" sqref="Q32">
      <formula1>-9.99999999999999E+23</formula1>
      <formula2>9.99999999999999E+23</formula2>
    </dataValidation>
    <dataValidation type="decimal" allowBlank="1" showErrorMessage="1" errorTitle="Ошибка" error="Допускается ввод только действительных чисел!" sqref="P32">
      <formula1>-9.99999999999999E+23</formula1>
      <formula2>9.99999999999999E+23</formula2>
    </dataValidation>
    <dataValidation type="decimal" allowBlank="1" showErrorMessage="1" errorTitle="Ошибка" error="Допускается ввод только действительных чисел!" sqref="O3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2">
      <formula1>900</formula1>
    </dataValidation>
    <dataValidation type="list" allowBlank="1" showInputMessage="1" showErrorMessage="1" errorTitle="Ошибка" error="Выберите значение из списка" prompt="Выберите значение из списка" sqref="H32">
      <formula1>QRE_METHOD_LIST</formula1>
    </dataValidation>
    <dataValidation type="decimal" allowBlank="1" showErrorMessage="1" errorTitle="Ошибка" error="Допускается ввод только действительных чисел!" sqref="DJ31">
      <formula1>-9.99999999999999E+23</formula1>
      <formula2>9.99999999999999E+23</formula2>
    </dataValidation>
    <dataValidation type="decimal" allowBlank="1" showErrorMessage="1" errorTitle="Ошибка" error="Допускается ввод только действительных чисел!" sqref="DI31">
      <formula1>-9.99999999999999E+23</formula1>
      <formula2>9.99999999999999E+23</formula2>
    </dataValidation>
    <dataValidation type="decimal" allowBlank="1" showErrorMessage="1" errorTitle="Ошибка" error="Допускается ввод только действительных чисел!" sqref="DH31">
      <formula1>-9.99999999999999E+23</formula1>
      <formula2>9.99999999999999E+23</formula2>
    </dataValidation>
    <dataValidation type="decimal" allowBlank="1" showErrorMessage="1" errorTitle="Ошибка" error="Допускается ввод только действительных чисел!" sqref="DG31">
      <formula1>-9.99999999999999E+23</formula1>
      <formula2>9.99999999999999E+23</formula2>
    </dataValidation>
    <dataValidation type="decimal" allowBlank="1" showErrorMessage="1" errorTitle="Ошибка" error="Допускается ввод только действительных чисел!" sqref="DF31">
      <formula1>-9.99999999999999E+23</formula1>
      <formula2>9.99999999999999E+23</formula2>
    </dataValidation>
    <dataValidation type="decimal" allowBlank="1" showErrorMessage="1" errorTitle="Ошибка" error="Допускается ввод только действительных чисел!" sqref="DE31">
      <formula1>-9.99999999999999E+23</formula1>
      <formula2>9.99999999999999E+23</formula2>
    </dataValidation>
    <dataValidation type="decimal" allowBlank="1" showErrorMessage="1" errorTitle="Ошибка" error="Допускается ввод только действительных чисел!" sqref="DD31">
      <formula1>-9.99999999999999E+23</formula1>
      <formula2>9.99999999999999E+23</formula2>
    </dataValidation>
    <dataValidation type="decimal" allowBlank="1" showErrorMessage="1" errorTitle="Ошибка" error="Допускается ввод только действительных чисел!" sqref="DC31">
      <formula1>-9.99999999999999E+23</formula1>
      <formula2>9.99999999999999E+23</formula2>
    </dataValidation>
    <dataValidation type="decimal" allowBlank="1" showErrorMessage="1" errorTitle="Ошибка" error="Допускается ввод только действительных чисел!" sqref="DB31">
      <formula1>-9.99999999999999E+23</formula1>
      <formula2>9.99999999999999E+23</formula2>
    </dataValidation>
    <dataValidation type="decimal" allowBlank="1" showErrorMessage="1" errorTitle="Ошибка" error="Допускается ввод только действительных чисел!" sqref="DA31">
      <formula1>-9.99999999999999E+23</formula1>
      <formula2>9.99999999999999E+23</formula2>
    </dataValidation>
    <dataValidation type="decimal" allowBlank="1" showErrorMessage="1" errorTitle="Ошибка" error="Допускается ввод только действительных чисел!" sqref="CZ31">
      <formula1>-9.99999999999999E+23</formula1>
      <formula2>9.99999999999999E+23</formula2>
    </dataValidation>
    <dataValidation type="decimal" allowBlank="1" showErrorMessage="1" errorTitle="Ошибка" error="Допускается ввод только действительных чисел!" sqref="CY31">
      <formula1>-9.99999999999999E+23</formula1>
      <formula2>9.99999999999999E+23</formula2>
    </dataValidation>
    <dataValidation type="decimal" allowBlank="1" showErrorMessage="1" errorTitle="Ошибка" error="Допускается ввод только действительных чисел!" sqref="CK31">
      <formula1>-9.99999999999999E+23</formula1>
      <formula2>9.99999999999999E+23</formula2>
    </dataValidation>
    <dataValidation type="decimal" allowBlank="1" showErrorMessage="1" errorTitle="Ошибка" error="Допускается ввод только действительных чисел!" sqref="CJ31">
      <formula1>-9.99999999999999E+23</formula1>
      <formula2>9.99999999999999E+23</formula2>
    </dataValidation>
    <dataValidation type="decimal" allowBlank="1" showErrorMessage="1" errorTitle="Ошибка" error="Допускается ввод только действительных чисел!" sqref="CI31">
      <formula1>-9.99999999999999E+23</formula1>
      <formula2>9.99999999999999E+23</formula2>
    </dataValidation>
    <dataValidation type="decimal" allowBlank="1" showErrorMessage="1" errorTitle="Ошибка" error="Допускается ввод только действительных чисел!" sqref="CH31">
      <formula1>-9.99999999999999E+23</formula1>
      <formula2>9.99999999999999E+23</formula2>
    </dataValidation>
    <dataValidation type="decimal" allowBlank="1" showErrorMessage="1" errorTitle="Ошибка" error="Допускается ввод только действительных чисел!" sqref="CG31">
      <formula1>-9.99999999999999E+23</formula1>
      <formula2>9.99999999999999E+23</formula2>
    </dataValidation>
    <dataValidation type="decimal" allowBlank="1" showErrorMessage="1" errorTitle="Ошибка" error="Допускается ввод только действительных чисел!" sqref="CF31">
      <formula1>-9.99999999999999E+23</formula1>
      <formula2>9.99999999999999E+23</formula2>
    </dataValidation>
    <dataValidation type="decimal" allowBlank="1" showErrorMessage="1" errorTitle="Ошибка" error="Допускается ввод только действительных чисел!" sqref="CE31">
      <formula1>-9.99999999999999E+23</formula1>
      <formula2>9.99999999999999E+23</formula2>
    </dataValidation>
    <dataValidation type="decimal" allowBlank="1" showErrorMessage="1" errorTitle="Ошибка" error="Допускается ввод только действительных чисел!" sqref="CD31">
      <formula1>-9.99999999999999E+23</formula1>
      <formula2>9.99999999999999E+23</formula2>
    </dataValidation>
    <dataValidation type="decimal" allowBlank="1" showErrorMessage="1" errorTitle="Ошибка" error="Допускается ввод только действительных чисел!" sqref="CC31">
      <formula1>-9.99999999999999E+23</formula1>
      <formula2>9.99999999999999E+23</formula2>
    </dataValidation>
    <dataValidation type="decimal" allowBlank="1" showErrorMessage="1" errorTitle="Ошибка" error="Допускается ввод только действительных чисел!" sqref="CB31">
      <formula1>-9.99999999999999E+23</formula1>
      <formula2>9.99999999999999E+23</formula2>
    </dataValidation>
    <dataValidation type="decimal" allowBlank="1" showErrorMessage="1" errorTitle="Ошибка" error="Допускается ввод только действительных чисел!" sqref="CA31">
      <formula1>-9.99999999999999E+23</formula1>
      <formula2>9.99999999999999E+23</formula2>
    </dataValidation>
    <dataValidation type="decimal" allowBlank="1" showErrorMessage="1" errorTitle="Ошибка" error="Допускается ввод только действительных чисел!" sqref="BZ31">
      <formula1>-9.99999999999999E+23</formula1>
      <formula2>9.99999999999999E+23</formula2>
    </dataValidation>
    <dataValidation type="decimal" allowBlank="1" showErrorMessage="1" errorTitle="Ошибка" error="Допускается ввод только действительных чисел!" sqref="BY31">
      <formula1>-9.99999999999999E+23</formula1>
      <formula2>9.99999999999999E+23</formula2>
    </dataValidation>
    <dataValidation type="decimal" allowBlank="1" showErrorMessage="1" errorTitle="Ошибка" error="Допускается ввод только действительных чисел!" sqref="BX31">
      <formula1>-9.99999999999999E+23</formula1>
      <formula2>9.99999999999999E+23</formula2>
    </dataValidation>
    <dataValidation type="decimal" allowBlank="1" showErrorMessage="1" errorTitle="Ошибка" error="Допускается ввод только действительных чисел!" sqref="BW31">
      <formula1>-9.99999999999999E+23</formula1>
      <formula2>9.99999999999999E+23</formula2>
    </dataValidation>
    <dataValidation type="decimal" allowBlank="1" showErrorMessage="1" errorTitle="Ошибка" error="Допускается ввод только действительных чисел!" sqref="BV31">
      <formula1>-9.99999999999999E+23</formula1>
      <formula2>9.99999999999999E+23</formula2>
    </dataValidation>
    <dataValidation type="decimal" allowBlank="1" showErrorMessage="1" errorTitle="Ошибка" error="Допускается ввод только действительных чисел!" sqref="BU31">
      <formula1>-9.99999999999999E+23</formula1>
      <formula2>9.99999999999999E+23</formula2>
    </dataValidation>
    <dataValidation type="decimal" allowBlank="1" showErrorMessage="1" errorTitle="Ошибка" error="Допускается ввод только действительных чисел!" sqref="BT31">
      <formula1>-9.99999999999999E+23</formula1>
      <formula2>9.99999999999999E+23</formula2>
    </dataValidation>
    <dataValidation type="decimal" allowBlank="1" showErrorMessage="1" errorTitle="Ошибка" error="Допускается ввод только действительных чисел!" sqref="AB31">
      <formula1>-9.99999999999999E+23</formula1>
      <formula2>9.99999999999999E+23</formula2>
    </dataValidation>
    <dataValidation type="decimal" allowBlank="1" showErrorMessage="1" errorTitle="Ошибка" error="Допускается ввод только действительных чисел!" sqref="AA31">
      <formula1>-9.99999999999999E+23</formula1>
      <formula2>9.99999999999999E+23</formula2>
    </dataValidation>
    <dataValidation type="decimal" allowBlank="1" showErrorMessage="1" errorTitle="Ошибка" error="Допускается ввод только действительных чисел!" sqref="Z31">
      <formula1>-9.99999999999999E+23</formula1>
      <formula2>9.99999999999999E+23</formula2>
    </dataValidation>
    <dataValidation type="decimal" allowBlank="1" showErrorMessage="1" errorTitle="Ошибка" error="Допускается ввод только действительных чисел!" sqref="Y31">
      <formula1>-9.99999999999999E+23</formula1>
      <formula2>9.99999999999999E+23</formula2>
    </dataValidation>
    <dataValidation type="decimal" allowBlank="1" showErrorMessage="1" errorTitle="Ошибка" error="Допускается ввод только действительных чисел!" sqref="X31">
      <formula1>-9.99999999999999E+23</formula1>
      <formula2>9.99999999999999E+23</formula2>
    </dataValidation>
    <dataValidation type="decimal" allowBlank="1" showErrorMessage="1" errorTitle="Ошибка" error="Допускается ввод только действительных чисел!" sqref="W31">
      <formula1>-9.99999999999999E+23</formula1>
      <formula2>9.99999999999999E+23</formula2>
    </dataValidation>
    <dataValidation type="decimal" allowBlank="1" showErrorMessage="1" errorTitle="Ошибка" error="Допускается ввод только действительных чисел!" sqref="V31">
      <formula1>-9.99999999999999E+23</formula1>
      <formula2>9.99999999999999E+23</formula2>
    </dataValidation>
    <dataValidation type="decimal" allowBlank="1" showErrorMessage="1" errorTitle="Ошибка" error="Допускается ввод только действительных чисел!" sqref="U31">
      <formula1>-9.99999999999999E+23</formula1>
      <formula2>9.99999999999999E+23</formula2>
    </dataValidation>
    <dataValidation type="decimal" allowBlank="1" showErrorMessage="1" errorTitle="Ошибка" error="Допускается ввод только действительных чисел!" sqref="T31">
      <formula1>-9.99999999999999E+23</formula1>
      <formula2>9.99999999999999E+23</formula2>
    </dataValidation>
    <dataValidation type="decimal" allowBlank="1" showErrorMessage="1" errorTitle="Ошибка" error="Допускается ввод только действительных чисел!" sqref="S31">
      <formula1>-9.99999999999999E+23</formula1>
      <formula2>9.99999999999999E+23</formula2>
    </dataValidation>
    <dataValidation type="decimal" allowBlank="1" showErrorMessage="1" errorTitle="Ошибка" error="Допускается ввод только действительных чисел!" sqref="R31">
      <formula1>-9.99999999999999E+23</formula1>
      <formula2>9.99999999999999E+23</formula2>
    </dataValidation>
    <dataValidation type="decimal" allowBlank="1" showErrorMessage="1" errorTitle="Ошибка" error="Допускается ввод только действительных чисел!" sqref="Q31">
      <formula1>-9.99999999999999E+23</formula1>
      <formula2>9.99999999999999E+23</formula2>
    </dataValidation>
    <dataValidation type="decimal" allowBlank="1" showErrorMessage="1" errorTitle="Ошибка" error="Допускается ввод только действительных чисел!" sqref="P31">
      <formula1>-9.99999999999999E+23</formula1>
      <formula2>9.99999999999999E+23</formula2>
    </dataValidation>
    <dataValidation type="decimal" allowBlank="1" showErrorMessage="1" errorTitle="Ошибка" error="Допускается ввод только действительных чисел!" sqref="O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1">
      <formula1>900</formula1>
    </dataValidation>
    <dataValidation type="list" allowBlank="1" showInputMessage="1" showErrorMessage="1" errorTitle="Ошибка" error="Выберите значение из списка" prompt="Выберите значение из списка" sqref="H31">
      <formula1>QRE_METHOD_LIST</formula1>
    </dataValidation>
    <dataValidation type="decimal" allowBlank="1" showErrorMessage="1" errorTitle="Ошибка" error="Допускается ввод только действительных чисел!" sqref="DJ30">
      <formula1>-9.99999999999999E+23</formula1>
      <formula2>9.99999999999999E+23</formula2>
    </dataValidation>
    <dataValidation type="decimal" allowBlank="1" showErrorMessage="1" errorTitle="Ошибка" error="Допускается ввод только действительных чисел!" sqref="DI30">
      <formula1>-9.99999999999999E+23</formula1>
      <formula2>9.99999999999999E+23</formula2>
    </dataValidation>
    <dataValidation type="decimal" allowBlank="1" showErrorMessage="1" errorTitle="Ошибка" error="Допускается ввод только действительных чисел!" sqref="DH30">
      <formula1>-9.99999999999999E+23</formula1>
      <formula2>9.99999999999999E+23</formula2>
    </dataValidation>
    <dataValidation type="decimal" allowBlank="1" showErrorMessage="1" errorTitle="Ошибка" error="Допускается ввод только действительных чисел!" sqref="DG30">
      <formula1>-9.99999999999999E+23</formula1>
      <formula2>9.99999999999999E+23</formula2>
    </dataValidation>
    <dataValidation type="decimal" allowBlank="1" showErrorMessage="1" errorTitle="Ошибка" error="Допускается ввод только действительных чисел!" sqref="DF30">
      <formula1>-9.99999999999999E+23</formula1>
      <formula2>9.99999999999999E+23</formula2>
    </dataValidation>
    <dataValidation type="decimal" allowBlank="1" showErrorMessage="1" errorTitle="Ошибка" error="Допускается ввод только действительных чисел!" sqref="DE30">
      <formula1>-9.99999999999999E+23</formula1>
      <formula2>9.99999999999999E+23</formula2>
    </dataValidation>
    <dataValidation type="decimal" allowBlank="1" showErrorMessage="1" errorTitle="Ошибка" error="Допускается ввод только действительных чисел!" sqref="DD30">
      <formula1>-9.99999999999999E+23</formula1>
      <formula2>9.99999999999999E+23</formula2>
    </dataValidation>
    <dataValidation type="decimal" allowBlank="1" showErrorMessage="1" errorTitle="Ошибка" error="Допускается ввод только действительных чисел!" sqref="DC30">
      <formula1>-9.99999999999999E+23</formula1>
      <formula2>9.99999999999999E+23</formula2>
    </dataValidation>
    <dataValidation type="decimal" allowBlank="1" showErrorMessage="1" errorTitle="Ошибка" error="Допускается ввод только действительных чисел!" sqref="DB30">
      <formula1>-9.99999999999999E+23</formula1>
      <formula2>9.99999999999999E+23</formula2>
    </dataValidation>
    <dataValidation type="decimal" allowBlank="1" showErrorMessage="1" errorTitle="Ошибка" error="Допускается ввод только действительных чисел!" sqref="DA30">
      <formula1>-9.99999999999999E+23</formula1>
      <formula2>9.99999999999999E+23</formula2>
    </dataValidation>
    <dataValidation type="decimal" allowBlank="1" showErrorMessage="1" errorTitle="Ошибка" error="Допускается ввод только действительных чисел!" sqref="CZ30">
      <formula1>-9.99999999999999E+23</formula1>
      <formula2>9.99999999999999E+23</formula2>
    </dataValidation>
    <dataValidation type="decimal" allowBlank="1" showErrorMessage="1" errorTitle="Ошибка" error="Допускается ввод только действительных чисел!" sqref="CY30">
      <formula1>-9.99999999999999E+23</formula1>
      <formula2>9.99999999999999E+23</formula2>
    </dataValidation>
    <dataValidation type="decimal" allowBlank="1" showErrorMessage="1" errorTitle="Ошибка" error="Допускается ввод только действительных чисел!" sqref="CK30">
      <formula1>-9.99999999999999E+23</formula1>
      <formula2>9.99999999999999E+23</formula2>
    </dataValidation>
    <dataValidation type="decimal" allowBlank="1" showErrorMessage="1" errorTitle="Ошибка" error="Допускается ввод только действительных чисел!" sqref="CJ30">
      <formula1>-9.99999999999999E+23</formula1>
      <formula2>9.99999999999999E+23</formula2>
    </dataValidation>
    <dataValidation type="decimal" allowBlank="1" showErrorMessage="1" errorTitle="Ошибка" error="Допускается ввод только действительных чисел!" sqref="CI30">
      <formula1>-9.99999999999999E+23</formula1>
      <formula2>9.99999999999999E+23</formula2>
    </dataValidation>
    <dataValidation type="decimal" allowBlank="1" showErrorMessage="1" errorTitle="Ошибка" error="Допускается ввод только действительных чисел!" sqref="CH30">
      <formula1>-9.99999999999999E+23</formula1>
      <formula2>9.99999999999999E+23</formula2>
    </dataValidation>
    <dataValidation type="decimal" allowBlank="1" showErrorMessage="1" errorTitle="Ошибка" error="Допускается ввод только действительных чисел!" sqref="CG30">
      <formula1>-9.99999999999999E+23</formula1>
      <formula2>9.99999999999999E+23</formula2>
    </dataValidation>
    <dataValidation type="decimal" allowBlank="1" showErrorMessage="1" errorTitle="Ошибка" error="Допускается ввод только действительных чисел!" sqref="CF30">
      <formula1>-9.99999999999999E+23</formula1>
      <formula2>9.99999999999999E+23</formula2>
    </dataValidation>
    <dataValidation type="decimal" allowBlank="1" showErrorMessage="1" errorTitle="Ошибка" error="Допускается ввод только действительных чисел!" sqref="CE30">
      <formula1>-9.99999999999999E+23</formula1>
      <formula2>9.99999999999999E+23</formula2>
    </dataValidation>
    <dataValidation type="decimal" allowBlank="1" showErrorMessage="1" errorTitle="Ошибка" error="Допускается ввод только действительных чисел!" sqref="CD30">
      <formula1>-9.99999999999999E+23</formula1>
      <formula2>9.99999999999999E+23</formula2>
    </dataValidation>
    <dataValidation type="decimal" allowBlank="1" showErrorMessage="1" errorTitle="Ошибка" error="Допускается ввод только действительных чисел!" sqref="CC30">
      <formula1>-9.99999999999999E+23</formula1>
      <formula2>9.99999999999999E+23</formula2>
    </dataValidation>
    <dataValidation type="decimal" allowBlank="1" showErrorMessage="1" errorTitle="Ошибка" error="Допускается ввод только действительных чисел!" sqref="CB30">
      <formula1>-9.99999999999999E+23</formula1>
      <formula2>9.99999999999999E+23</formula2>
    </dataValidation>
    <dataValidation type="decimal" allowBlank="1" showErrorMessage="1" errorTitle="Ошибка" error="Допускается ввод только действительных чисел!" sqref="CA30">
      <formula1>-9.99999999999999E+23</formula1>
      <formula2>9.99999999999999E+23</formula2>
    </dataValidation>
    <dataValidation type="decimal" allowBlank="1" showErrorMessage="1" errorTitle="Ошибка" error="Допускается ввод только действительных чисел!" sqref="BZ30">
      <formula1>-9.99999999999999E+23</formula1>
      <formula2>9.99999999999999E+23</formula2>
    </dataValidation>
    <dataValidation type="decimal" allowBlank="1" showErrorMessage="1" errorTitle="Ошибка" error="Допускается ввод только действительных чисел!" sqref="BY30">
      <formula1>-9.99999999999999E+23</formula1>
      <formula2>9.99999999999999E+23</formula2>
    </dataValidation>
    <dataValidation type="decimal" allowBlank="1" showErrorMessage="1" errorTitle="Ошибка" error="Допускается ввод только действительных чисел!" sqref="BX30">
      <formula1>-9.99999999999999E+23</formula1>
      <formula2>9.99999999999999E+23</formula2>
    </dataValidation>
    <dataValidation type="decimal" allowBlank="1" showErrorMessage="1" errorTitle="Ошибка" error="Допускается ввод только действительных чисел!" sqref="BW30">
      <formula1>-9.99999999999999E+23</formula1>
      <formula2>9.99999999999999E+23</formula2>
    </dataValidation>
    <dataValidation type="decimal" allowBlank="1" showErrorMessage="1" errorTitle="Ошибка" error="Допускается ввод только действительных чисел!" sqref="BV30">
      <formula1>-9.99999999999999E+23</formula1>
      <formula2>9.99999999999999E+23</formula2>
    </dataValidation>
    <dataValidation type="decimal" allowBlank="1" showErrorMessage="1" errorTitle="Ошибка" error="Допускается ввод только действительных чисел!" sqref="BU30">
      <formula1>-9.99999999999999E+23</formula1>
      <formula2>9.99999999999999E+23</formula2>
    </dataValidation>
    <dataValidation type="decimal" allowBlank="1" showErrorMessage="1" errorTitle="Ошибка" error="Допускается ввод только действительных чисел!" sqref="BT30">
      <formula1>-9.99999999999999E+23</formula1>
      <formula2>9.99999999999999E+23</formula2>
    </dataValidation>
    <dataValidation type="decimal" allowBlank="1" showErrorMessage="1" errorTitle="Ошибка" error="Допускается ввод только действительных чисел!" sqref="AB30">
      <formula1>-9.99999999999999E+23</formula1>
      <formula2>9.99999999999999E+23</formula2>
    </dataValidation>
    <dataValidation type="decimal" allowBlank="1" showErrorMessage="1" errorTitle="Ошибка" error="Допускается ввод только действительных чисел!" sqref="AA30">
      <formula1>-9.99999999999999E+23</formula1>
      <formula2>9.99999999999999E+23</formula2>
    </dataValidation>
    <dataValidation type="decimal" allowBlank="1" showErrorMessage="1" errorTitle="Ошибка" error="Допускается ввод только действительных чисел!" sqref="Z30">
      <formula1>-9.99999999999999E+23</formula1>
      <formula2>9.99999999999999E+23</formula2>
    </dataValidation>
    <dataValidation type="decimal" allowBlank="1" showErrorMessage="1" errorTitle="Ошибка" error="Допускается ввод только действительных чисел!" sqref="Y30">
      <formula1>-9.99999999999999E+23</formula1>
      <formula2>9.99999999999999E+23</formula2>
    </dataValidation>
    <dataValidation type="decimal" allowBlank="1" showErrorMessage="1" errorTitle="Ошибка" error="Допускается ввод только действительных чисел!" sqref="X30">
      <formula1>-9.99999999999999E+23</formula1>
      <formula2>9.99999999999999E+23</formula2>
    </dataValidation>
    <dataValidation type="decimal" allowBlank="1" showErrorMessage="1" errorTitle="Ошибка" error="Допускается ввод только действительных чисел!" sqref="W30">
      <formula1>-9.99999999999999E+23</formula1>
      <formula2>9.99999999999999E+23</formula2>
    </dataValidation>
    <dataValidation type="decimal" allowBlank="1" showErrorMessage="1" errorTitle="Ошибка" error="Допускается ввод только действительных чисел!" sqref="V30">
      <formula1>-9.99999999999999E+23</formula1>
      <formula2>9.99999999999999E+23</formula2>
    </dataValidation>
    <dataValidation type="decimal" allowBlank="1" showErrorMessage="1" errorTitle="Ошибка" error="Допускается ввод только действительных чисел!" sqref="U30">
      <formula1>-9.99999999999999E+23</formula1>
      <formula2>9.99999999999999E+23</formula2>
    </dataValidation>
    <dataValidation type="decimal" allowBlank="1" showErrorMessage="1" errorTitle="Ошибка" error="Допускается ввод только действительных чисел!" sqref="T30">
      <formula1>-9.99999999999999E+23</formula1>
      <formula2>9.99999999999999E+23</formula2>
    </dataValidation>
    <dataValidation type="decimal" allowBlank="1" showErrorMessage="1" errorTitle="Ошибка" error="Допускается ввод только действительных чисел!" sqref="S30">
      <formula1>-9.99999999999999E+23</formula1>
      <formula2>9.99999999999999E+23</formula2>
    </dataValidation>
    <dataValidation type="decimal" allowBlank="1" showErrorMessage="1" errorTitle="Ошибка" error="Допускается ввод только действительных чисел!" sqref="R30">
      <formula1>-9.99999999999999E+23</formula1>
      <formula2>9.99999999999999E+23</formula2>
    </dataValidation>
    <dataValidation type="decimal" allowBlank="1" showErrorMessage="1" errorTitle="Ошибка" error="Допускается ввод только действительных чисел!" sqref="Q30">
      <formula1>-9.99999999999999E+23</formula1>
      <formula2>9.99999999999999E+23</formula2>
    </dataValidation>
    <dataValidation type="decimal" allowBlank="1" showErrorMessage="1" errorTitle="Ошибка" error="Допускается ввод только действительных чисел!" sqref="P30">
      <formula1>-9.99999999999999E+23</formula1>
      <formula2>9.99999999999999E+23</formula2>
    </dataValidation>
    <dataValidation type="decimal" allowBlank="1" showErrorMessage="1" errorTitle="Ошибка" error="Допускается ввод только действительных чисел!" sqref="O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0">
      <formula1>900</formula1>
    </dataValidation>
    <dataValidation type="list" allowBlank="1" showInputMessage="1" showErrorMessage="1" errorTitle="Ошибка" error="Выберите значение из списка" prompt="Выберите значение из списка" sqref="H30">
      <formula1>QRE_METHOD_LIST</formula1>
    </dataValidation>
    <dataValidation type="decimal" allowBlank="1" showErrorMessage="1" errorTitle="Ошибка" error="Допускается ввод только действительных чисел!" sqref="DJ29">
      <formula1>-9.99999999999999E+23</formula1>
      <formula2>9.99999999999999E+23</formula2>
    </dataValidation>
    <dataValidation type="decimal" allowBlank="1" showErrorMessage="1" errorTitle="Ошибка" error="Допускается ввод только действительных чисел!" sqref="DI29">
      <formula1>-9.99999999999999E+23</formula1>
      <formula2>9.99999999999999E+23</formula2>
    </dataValidation>
    <dataValidation type="decimal" allowBlank="1" showErrorMessage="1" errorTitle="Ошибка" error="Допускается ввод только действительных чисел!" sqref="DH29">
      <formula1>-9.99999999999999E+23</formula1>
      <formula2>9.99999999999999E+23</formula2>
    </dataValidation>
    <dataValidation type="decimal" allowBlank="1" showErrorMessage="1" errorTitle="Ошибка" error="Допускается ввод только действительных чисел!" sqref="DG29">
      <formula1>-9.99999999999999E+23</formula1>
      <formula2>9.99999999999999E+23</formula2>
    </dataValidation>
    <dataValidation type="decimal" allowBlank="1" showErrorMessage="1" errorTitle="Ошибка" error="Допускается ввод только действительных чисел!" sqref="DF29">
      <formula1>-9.99999999999999E+23</formula1>
      <formula2>9.99999999999999E+23</formula2>
    </dataValidation>
    <dataValidation type="decimal" allowBlank="1" showErrorMessage="1" errorTitle="Ошибка" error="Допускается ввод только действительных чисел!" sqref="DE29">
      <formula1>-9.99999999999999E+23</formula1>
      <formula2>9.99999999999999E+23</formula2>
    </dataValidation>
    <dataValidation type="decimal" allowBlank="1" showErrorMessage="1" errorTitle="Ошибка" error="Допускается ввод только действительных чисел!" sqref="DD29">
      <formula1>-9.99999999999999E+23</formula1>
      <formula2>9.99999999999999E+23</formula2>
    </dataValidation>
    <dataValidation type="decimal" allowBlank="1" showErrorMessage="1" errorTitle="Ошибка" error="Допускается ввод только действительных чисел!" sqref="DC29">
      <formula1>-9.99999999999999E+23</formula1>
      <formula2>9.99999999999999E+23</formula2>
    </dataValidation>
    <dataValidation type="decimal" allowBlank="1" showErrorMessage="1" errorTitle="Ошибка" error="Допускается ввод только действительных чисел!" sqref="DB29">
      <formula1>-9.99999999999999E+23</formula1>
      <formula2>9.99999999999999E+23</formula2>
    </dataValidation>
    <dataValidation type="decimal" allowBlank="1" showErrorMessage="1" errorTitle="Ошибка" error="Допускается ввод только действительных чисел!" sqref="DA29">
      <formula1>-9.99999999999999E+23</formula1>
      <formula2>9.99999999999999E+23</formula2>
    </dataValidation>
    <dataValidation type="decimal" allowBlank="1" showErrorMessage="1" errorTitle="Ошибка" error="Допускается ввод только действительных чисел!" sqref="CZ29">
      <formula1>-9.99999999999999E+23</formula1>
      <formula2>9.99999999999999E+23</formula2>
    </dataValidation>
    <dataValidation type="decimal" allowBlank="1" showErrorMessage="1" errorTitle="Ошибка" error="Допускается ввод только действительных чисел!" sqref="CY29">
      <formula1>-9.99999999999999E+23</formula1>
      <formula2>9.99999999999999E+23</formula2>
    </dataValidation>
    <dataValidation type="decimal" allowBlank="1" showErrorMessage="1" errorTitle="Ошибка" error="Допускается ввод только действительных чисел!" sqref="CK29">
      <formula1>-9.99999999999999E+23</formula1>
      <formula2>9.99999999999999E+23</formula2>
    </dataValidation>
    <dataValidation type="decimal" allowBlank="1" showErrorMessage="1" errorTitle="Ошибка" error="Допускается ввод только действительных чисел!" sqref="CJ29">
      <formula1>-9.99999999999999E+23</formula1>
      <formula2>9.99999999999999E+23</formula2>
    </dataValidation>
    <dataValidation type="decimal" allowBlank="1" showErrorMessage="1" errorTitle="Ошибка" error="Допускается ввод только действительных чисел!" sqref="CI29">
      <formula1>-9.99999999999999E+23</formula1>
      <formula2>9.99999999999999E+23</formula2>
    </dataValidation>
    <dataValidation type="decimal" allowBlank="1" showErrorMessage="1" errorTitle="Ошибка" error="Допускается ввод только действительных чисел!" sqref="CH29">
      <formula1>-9.99999999999999E+23</formula1>
      <formula2>9.99999999999999E+23</formula2>
    </dataValidation>
    <dataValidation type="decimal" allowBlank="1" showErrorMessage="1" errorTitle="Ошибка" error="Допускается ввод только действительных чисел!" sqref="CG29">
      <formula1>-9.99999999999999E+23</formula1>
      <formula2>9.99999999999999E+23</formula2>
    </dataValidation>
    <dataValidation type="decimal" allowBlank="1" showErrorMessage="1" errorTitle="Ошибка" error="Допускается ввод только действительных чисел!" sqref="CF29">
      <formula1>-9.99999999999999E+23</formula1>
      <formula2>9.99999999999999E+23</formula2>
    </dataValidation>
    <dataValidation type="decimal" allowBlank="1" showErrorMessage="1" errorTitle="Ошибка" error="Допускается ввод только действительных чисел!" sqref="CE29">
      <formula1>-9.99999999999999E+23</formula1>
      <formula2>9.99999999999999E+23</formula2>
    </dataValidation>
    <dataValidation type="decimal" allowBlank="1" showErrorMessage="1" errorTitle="Ошибка" error="Допускается ввод только действительных чисел!" sqref="CD29">
      <formula1>-9.99999999999999E+23</formula1>
      <formula2>9.99999999999999E+23</formula2>
    </dataValidation>
    <dataValidation type="decimal" allowBlank="1" showErrorMessage="1" errorTitle="Ошибка" error="Допускается ввод только действительных чисел!" sqref="CC29">
      <formula1>-9.99999999999999E+23</formula1>
      <formula2>9.99999999999999E+23</formula2>
    </dataValidation>
    <dataValidation type="decimal" allowBlank="1" showErrorMessage="1" errorTitle="Ошибка" error="Допускается ввод только действительных чисел!" sqref="CB29">
      <formula1>-9.99999999999999E+23</formula1>
      <formula2>9.99999999999999E+23</formula2>
    </dataValidation>
    <dataValidation type="decimal" allowBlank="1" showErrorMessage="1" errorTitle="Ошибка" error="Допускается ввод только действительных чисел!" sqref="CA29">
      <formula1>-9.99999999999999E+23</formula1>
      <formula2>9.99999999999999E+23</formula2>
    </dataValidation>
    <dataValidation type="decimal" allowBlank="1" showErrorMessage="1" errorTitle="Ошибка" error="Допускается ввод только действительных чисел!" sqref="BZ29">
      <formula1>-9.99999999999999E+23</formula1>
      <formula2>9.99999999999999E+23</formula2>
    </dataValidation>
    <dataValidation type="decimal" allowBlank="1" showErrorMessage="1" errorTitle="Ошибка" error="Допускается ввод только действительных чисел!" sqref="BY29">
      <formula1>-9.99999999999999E+23</formula1>
      <formula2>9.99999999999999E+23</formula2>
    </dataValidation>
    <dataValidation type="decimal" allowBlank="1" showErrorMessage="1" errorTitle="Ошибка" error="Допускается ввод только действительных чисел!" sqref="BX29">
      <formula1>-9.99999999999999E+23</formula1>
      <formula2>9.99999999999999E+23</formula2>
    </dataValidation>
    <dataValidation type="decimal" allowBlank="1" showErrorMessage="1" errorTitle="Ошибка" error="Допускается ввод только действительных чисел!" sqref="BW29">
      <formula1>-9.99999999999999E+23</formula1>
      <formula2>9.99999999999999E+23</formula2>
    </dataValidation>
    <dataValidation type="decimal" allowBlank="1" showErrorMessage="1" errorTitle="Ошибка" error="Допускается ввод только действительных чисел!" sqref="BV29">
      <formula1>-9.99999999999999E+23</formula1>
      <formula2>9.99999999999999E+23</formula2>
    </dataValidation>
    <dataValidation type="decimal" allowBlank="1" showErrorMessage="1" errorTitle="Ошибка" error="Допускается ввод только действительных чисел!" sqref="BU29">
      <formula1>-9.99999999999999E+23</formula1>
      <formula2>9.99999999999999E+23</formula2>
    </dataValidation>
    <dataValidation type="decimal" allowBlank="1" showErrorMessage="1" errorTitle="Ошибка" error="Допускается ввод только действительных чисел!" sqref="BT29">
      <formula1>-9.99999999999999E+23</formula1>
      <formula2>9.99999999999999E+23</formula2>
    </dataValidation>
    <dataValidation type="decimal" allowBlank="1" showErrorMessage="1" errorTitle="Ошибка" error="Допускается ввод только действительных чисел!" sqref="AB29">
      <formula1>-9.99999999999999E+23</formula1>
      <formula2>9.99999999999999E+23</formula2>
    </dataValidation>
    <dataValidation type="decimal" allowBlank="1" showErrorMessage="1" errorTitle="Ошибка" error="Допускается ввод только действительных чисел!" sqref="AA29">
      <formula1>-9.99999999999999E+23</formula1>
      <formula2>9.99999999999999E+23</formula2>
    </dataValidation>
    <dataValidation type="decimal" allowBlank="1" showErrorMessage="1" errorTitle="Ошибка" error="Допускается ввод только действительных чисел!" sqref="Z29">
      <formula1>-9.99999999999999E+23</formula1>
      <formula2>9.99999999999999E+23</formula2>
    </dataValidation>
    <dataValidation type="decimal" allowBlank="1" showErrorMessage="1" errorTitle="Ошибка" error="Допускается ввод только действительных чисел!" sqref="Y29">
      <formula1>-9.99999999999999E+23</formula1>
      <formula2>9.99999999999999E+23</formula2>
    </dataValidation>
    <dataValidation type="decimal" allowBlank="1" showErrorMessage="1" errorTitle="Ошибка" error="Допускается ввод только действительных чисел!" sqref="X29">
      <formula1>-9.99999999999999E+23</formula1>
      <formula2>9.99999999999999E+23</formula2>
    </dataValidation>
    <dataValidation type="decimal" allowBlank="1" showErrorMessage="1" errorTitle="Ошибка" error="Допускается ввод только действительных чисел!" sqref="W29">
      <formula1>-9.99999999999999E+23</formula1>
      <formula2>9.99999999999999E+23</formula2>
    </dataValidation>
    <dataValidation type="decimal" allowBlank="1" showErrorMessage="1" errorTitle="Ошибка" error="Допускается ввод только действительных чисел!" sqref="V29">
      <formula1>-9.99999999999999E+23</formula1>
      <formula2>9.99999999999999E+23</formula2>
    </dataValidation>
    <dataValidation type="decimal" allowBlank="1" showErrorMessage="1" errorTitle="Ошибка" error="Допускается ввод только действительных чисел!" sqref="U29">
      <formula1>-9.99999999999999E+23</formula1>
      <formula2>9.99999999999999E+23</formula2>
    </dataValidation>
    <dataValidation type="decimal" allowBlank="1" showErrorMessage="1" errorTitle="Ошибка" error="Допускается ввод только действительных чисел!" sqref="T29">
      <formula1>-9.99999999999999E+23</formula1>
      <formula2>9.99999999999999E+23</formula2>
    </dataValidation>
    <dataValidation type="decimal" allowBlank="1" showErrorMessage="1" errorTitle="Ошибка" error="Допускается ввод только действительных чисел!" sqref="S29">
      <formula1>-9.99999999999999E+23</formula1>
      <formula2>9.99999999999999E+23</formula2>
    </dataValidation>
    <dataValidation type="decimal" allowBlank="1" showErrorMessage="1" errorTitle="Ошибка" error="Допускается ввод только действительных чисел!" sqref="R29">
      <formula1>-9.99999999999999E+23</formula1>
      <formula2>9.99999999999999E+23</formula2>
    </dataValidation>
    <dataValidation type="decimal" allowBlank="1" showErrorMessage="1" errorTitle="Ошибка" error="Допускается ввод только действительных чисел!" sqref="Q29">
      <formula1>-9.99999999999999E+23</formula1>
      <formula2>9.99999999999999E+23</formula2>
    </dataValidation>
    <dataValidation type="decimal" allowBlank="1" showErrorMessage="1" errorTitle="Ошибка" error="Допускается ввод только действительных чисел!" sqref="P29">
      <formula1>-9.99999999999999E+23</formula1>
      <formula2>9.99999999999999E+23</formula2>
    </dataValidation>
    <dataValidation type="decimal" allowBlank="1" showErrorMessage="1" errorTitle="Ошибка" error="Допускается ввод только действительных чисел!" sqref="O2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9">
      <formula1>900</formula1>
    </dataValidation>
    <dataValidation type="list" allowBlank="1" showInputMessage="1" showErrorMessage="1" errorTitle="Ошибка" error="Выберите значение из списка" prompt="Выберите значение из списка" sqref="H29">
      <formula1>QRE_METHOD_LIST</formula1>
    </dataValidation>
    <dataValidation type="decimal" allowBlank="1" showErrorMessage="1" errorTitle="Ошибка" error="Допускается ввод только действительных чисел!" sqref="DJ28">
      <formula1>-9.99999999999999E+23</formula1>
      <formula2>9.99999999999999E+23</formula2>
    </dataValidation>
    <dataValidation type="decimal" allowBlank="1" showErrorMessage="1" errorTitle="Ошибка" error="Допускается ввод только действительных чисел!" sqref="DI28">
      <formula1>-9.99999999999999E+23</formula1>
      <formula2>9.99999999999999E+23</formula2>
    </dataValidation>
    <dataValidation type="decimal" allowBlank="1" showErrorMessage="1" errorTitle="Ошибка" error="Допускается ввод только действительных чисел!" sqref="DH28">
      <formula1>-9.99999999999999E+23</formula1>
      <formula2>9.99999999999999E+23</formula2>
    </dataValidation>
    <dataValidation type="decimal" allowBlank="1" showErrorMessage="1" errorTitle="Ошибка" error="Допускается ввод только действительных чисел!" sqref="DG28">
      <formula1>-9.99999999999999E+23</formula1>
      <formula2>9.99999999999999E+23</formula2>
    </dataValidation>
    <dataValidation type="decimal" allowBlank="1" showErrorMessage="1" errorTitle="Ошибка" error="Допускается ввод только действительных чисел!" sqref="DF28">
      <formula1>-9.99999999999999E+23</formula1>
      <formula2>9.99999999999999E+23</formula2>
    </dataValidation>
    <dataValidation type="decimal" allowBlank="1" showErrorMessage="1" errorTitle="Ошибка" error="Допускается ввод только действительных чисел!" sqref="DE28">
      <formula1>-9.99999999999999E+23</formula1>
      <formula2>9.99999999999999E+23</formula2>
    </dataValidation>
    <dataValidation type="decimal" allowBlank="1" showErrorMessage="1" errorTitle="Ошибка" error="Допускается ввод только действительных чисел!" sqref="DD28">
      <formula1>-9.99999999999999E+23</formula1>
      <formula2>9.99999999999999E+23</formula2>
    </dataValidation>
    <dataValidation type="decimal" allowBlank="1" showErrorMessage="1" errorTitle="Ошибка" error="Допускается ввод только действительных чисел!" sqref="DC28">
      <formula1>-9.99999999999999E+23</formula1>
      <formula2>9.99999999999999E+23</formula2>
    </dataValidation>
    <dataValidation type="decimal" allowBlank="1" showErrorMessage="1" errorTitle="Ошибка" error="Допускается ввод только действительных чисел!" sqref="DB28">
      <formula1>-9.99999999999999E+23</formula1>
      <formula2>9.99999999999999E+23</formula2>
    </dataValidation>
    <dataValidation type="decimal" allowBlank="1" showErrorMessage="1" errorTitle="Ошибка" error="Допускается ввод только действительных чисел!" sqref="DA28">
      <formula1>-9.99999999999999E+23</formula1>
      <formula2>9.99999999999999E+23</formula2>
    </dataValidation>
    <dataValidation type="decimal" allowBlank="1" showErrorMessage="1" errorTitle="Ошибка" error="Допускается ввод только действительных чисел!" sqref="CZ28">
      <formula1>-9.99999999999999E+23</formula1>
      <formula2>9.99999999999999E+23</formula2>
    </dataValidation>
    <dataValidation type="decimal" allowBlank="1" showErrorMessage="1" errorTitle="Ошибка" error="Допускается ввод только действительных чисел!" sqref="CY28">
      <formula1>-9.99999999999999E+23</formula1>
      <formula2>9.99999999999999E+23</formula2>
    </dataValidation>
    <dataValidation type="decimal" allowBlank="1" showErrorMessage="1" errorTitle="Ошибка" error="Допускается ввод только действительных чисел!" sqref="CK28">
      <formula1>-9.99999999999999E+23</formula1>
      <formula2>9.99999999999999E+23</formula2>
    </dataValidation>
    <dataValidation type="decimal" allowBlank="1" showErrorMessage="1" errorTitle="Ошибка" error="Допускается ввод только действительных чисел!" sqref="CJ28">
      <formula1>-9.99999999999999E+23</formula1>
      <formula2>9.99999999999999E+23</formula2>
    </dataValidation>
    <dataValidation type="decimal" allowBlank="1" showErrorMessage="1" errorTitle="Ошибка" error="Допускается ввод только действительных чисел!" sqref="CI28">
      <formula1>-9.99999999999999E+23</formula1>
      <formula2>9.99999999999999E+23</formula2>
    </dataValidation>
    <dataValidation type="decimal" allowBlank="1" showErrorMessage="1" errorTitle="Ошибка" error="Допускается ввод только действительных чисел!" sqref="CH28">
      <formula1>-9.99999999999999E+23</formula1>
      <formula2>9.99999999999999E+23</formula2>
    </dataValidation>
    <dataValidation type="decimal" allowBlank="1" showErrorMessage="1" errorTitle="Ошибка" error="Допускается ввод только действительных чисел!" sqref="CG28">
      <formula1>-9.99999999999999E+23</formula1>
      <formula2>9.99999999999999E+23</formula2>
    </dataValidation>
    <dataValidation type="decimal" allowBlank="1" showErrorMessage="1" errorTitle="Ошибка" error="Допускается ввод только действительных чисел!" sqref="CF28">
      <formula1>-9.99999999999999E+23</formula1>
      <formula2>9.99999999999999E+23</formula2>
    </dataValidation>
    <dataValidation type="decimal" allowBlank="1" showErrorMessage="1" errorTitle="Ошибка" error="Допускается ввод только действительных чисел!" sqref="CE28">
      <formula1>-9.99999999999999E+23</formula1>
      <formula2>9.99999999999999E+23</formula2>
    </dataValidation>
    <dataValidation type="decimal" allowBlank="1" showErrorMessage="1" errorTitle="Ошибка" error="Допускается ввод только действительных чисел!" sqref="CD28">
      <formula1>-9.99999999999999E+23</formula1>
      <formula2>9.99999999999999E+23</formula2>
    </dataValidation>
    <dataValidation type="decimal" allowBlank="1" showErrorMessage="1" errorTitle="Ошибка" error="Допускается ввод только действительных чисел!" sqref="CC28">
      <formula1>-9.99999999999999E+23</formula1>
      <formula2>9.99999999999999E+23</formula2>
    </dataValidation>
    <dataValidation type="decimal" allowBlank="1" showErrorMessage="1" errorTitle="Ошибка" error="Допускается ввод только действительных чисел!" sqref="CB28">
      <formula1>-9.99999999999999E+23</formula1>
      <formula2>9.99999999999999E+23</formula2>
    </dataValidation>
    <dataValidation type="decimal" allowBlank="1" showErrorMessage="1" errorTitle="Ошибка" error="Допускается ввод только действительных чисел!" sqref="CA28">
      <formula1>-9.99999999999999E+23</formula1>
      <formula2>9.99999999999999E+23</formula2>
    </dataValidation>
    <dataValidation type="decimal" allowBlank="1" showErrorMessage="1" errorTitle="Ошибка" error="Допускается ввод только действительных чисел!" sqref="BZ28">
      <formula1>-9.99999999999999E+23</formula1>
      <formula2>9.99999999999999E+23</formula2>
    </dataValidation>
    <dataValidation type="decimal" allowBlank="1" showErrorMessage="1" errorTitle="Ошибка" error="Допускается ввод только действительных чисел!" sqref="BY28">
      <formula1>-9.99999999999999E+23</formula1>
      <formula2>9.99999999999999E+23</formula2>
    </dataValidation>
    <dataValidation type="decimal" allowBlank="1" showErrorMessage="1" errorTitle="Ошибка" error="Допускается ввод только действительных чисел!" sqref="BX28">
      <formula1>-9.99999999999999E+23</formula1>
      <formula2>9.99999999999999E+23</formula2>
    </dataValidation>
    <dataValidation type="decimal" allowBlank="1" showErrorMessage="1" errorTitle="Ошибка" error="Допускается ввод только действительных чисел!" sqref="BW28">
      <formula1>-9.99999999999999E+23</formula1>
      <formula2>9.99999999999999E+23</formula2>
    </dataValidation>
    <dataValidation type="decimal" allowBlank="1" showErrorMessage="1" errorTitle="Ошибка" error="Допускается ввод только действительных чисел!" sqref="BV28">
      <formula1>-9.99999999999999E+23</formula1>
      <formula2>9.99999999999999E+23</formula2>
    </dataValidation>
    <dataValidation type="decimal" allowBlank="1" showErrorMessage="1" errorTitle="Ошибка" error="Допускается ввод только действительных чисел!" sqref="BU28">
      <formula1>-9.99999999999999E+23</formula1>
      <formula2>9.99999999999999E+23</formula2>
    </dataValidation>
    <dataValidation type="decimal" allowBlank="1" showErrorMessage="1" errorTitle="Ошибка" error="Допускается ввод только действительных чисел!" sqref="BT28">
      <formula1>-9.99999999999999E+23</formula1>
      <formula2>9.99999999999999E+23</formula2>
    </dataValidation>
    <dataValidation type="decimal" allowBlank="1" showErrorMessage="1" errorTitle="Ошибка" error="Допускается ввод только действительных чисел!" sqref="AB28">
      <formula1>-9.99999999999999E+23</formula1>
      <formula2>9.99999999999999E+23</formula2>
    </dataValidation>
    <dataValidation type="decimal" allowBlank="1" showErrorMessage="1" errorTitle="Ошибка" error="Допускается ввод только действительных чисел!" sqref="AA28">
      <formula1>-9.99999999999999E+23</formula1>
      <formula2>9.99999999999999E+23</formula2>
    </dataValidation>
    <dataValidation type="decimal" allowBlank="1" showErrorMessage="1" errorTitle="Ошибка" error="Допускается ввод только действительных чисел!" sqref="Z28">
      <formula1>-9.99999999999999E+23</formula1>
      <formula2>9.99999999999999E+23</formula2>
    </dataValidation>
    <dataValidation type="decimal" allowBlank="1" showErrorMessage="1" errorTitle="Ошибка" error="Допускается ввод только действительных чисел!" sqref="Y28">
      <formula1>-9.99999999999999E+23</formula1>
      <formula2>9.99999999999999E+23</formula2>
    </dataValidation>
    <dataValidation type="decimal" allowBlank="1" showErrorMessage="1" errorTitle="Ошибка" error="Допускается ввод только действительных чисел!" sqref="X28">
      <formula1>-9.99999999999999E+23</formula1>
      <formula2>9.99999999999999E+23</formula2>
    </dataValidation>
    <dataValidation type="decimal" allowBlank="1" showErrorMessage="1" errorTitle="Ошибка" error="Допускается ввод только действительных чисел!" sqref="W28">
      <formula1>-9.99999999999999E+23</formula1>
      <formula2>9.99999999999999E+23</formula2>
    </dataValidation>
    <dataValidation type="decimal" allowBlank="1" showErrorMessage="1" errorTitle="Ошибка" error="Допускается ввод только действительных чисел!" sqref="V28">
      <formula1>-9.99999999999999E+23</formula1>
      <formula2>9.99999999999999E+23</formula2>
    </dataValidation>
    <dataValidation type="decimal" allowBlank="1" showErrorMessage="1" errorTitle="Ошибка" error="Допускается ввод только действительных чисел!" sqref="U28">
      <formula1>-9.99999999999999E+23</formula1>
      <formula2>9.99999999999999E+23</formula2>
    </dataValidation>
    <dataValidation type="decimal" allowBlank="1" showErrorMessage="1" errorTitle="Ошибка" error="Допускается ввод только действительных чисел!" sqref="T28">
      <formula1>-9.99999999999999E+23</formula1>
      <formula2>9.99999999999999E+23</formula2>
    </dataValidation>
    <dataValidation type="decimal" allowBlank="1" showErrorMessage="1" errorTitle="Ошибка" error="Допускается ввод только действительных чисел!" sqref="S28">
      <formula1>-9.99999999999999E+23</formula1>
      <formula2>9.99999999999999E+23</formula2>
    </dataValidation>
    <dataValidation type="decimal" allowBlank="1" showErrorMessage="1" errorTitle="Ошибка" error="Допускается ввод только действительных чисел!" sqref="R28">
      <formula1>-9.99999999999999E+23</formula1>
      <formula2>9.99999999999999E+23</formula2>
    </dataValidation>
    <dataValidation type="decimal" allowBlank="1" showErrorMessage="1" errorTitle="Ошибка" error="Допускается ввод только действительных чисел!" sqref="Q28">
      <formula1>-9.99999999999999E+23</formula1>
      <formula2>9.99999999999999E+23</formula2>
    </dataValidation>
    <dataValidation type="decimal" allowBlank="1" showErrorMessage="1" errorTitle="Ошибка" error="Допускается ввод только действительных чисел!" sqref="P28">
      <formula1>-9.99999999999999E+23</formula1>
      <formula2>9.99999999999999E+23</formula2>
    </dataValidation>
    <dataValidation type="decimal" allowBlank="1" showErrorMessage="1" errorTitle="Ошибка" error="Допускается ввод только действительных чисел!" sqref="O2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8">
      <formula1>900</formula1>
    </dataValidation>
    <dataValidation type="list" allowBlank="1" showInputMessage="1" showErrorMessage="1" errorTitle="Ошибка" error="Выберите значение из списка" prompt="Выберите значение из списка" sqref="H28">
      <formula1>QRE_METHOD_LIST</formula1>
    </dataValidation>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7">
      <formula1>900</formula1>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6">
      <formula1>900</formula1>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663CB-C76D-18A8-9D34-30DA2518A0D8}" mc:Ignorable="x14ac xr xr2 xr3">
  <sheetPr>
    <tabColor theme="2" tint="-0.1"/>
  </sheetPr>
  <dimension ref="A1:V23"/>
  <sheetViews>
    <sheetView showGridLines="0" zoomScale="90" workbookViewId="0">
      <pane xSplit="7" ySplit="14" topLeftCell="K15" activePane="bottomRight" state="frozen"/>
      <selection pane="bottomLeft" activeCell="A15" sqref="A15"/>
      <selection pane="topRight" activeCell="H1" sqref="H1"/>
      <selection pane="bottomRight" activeCell="K8" sqref="K8"/>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36.00390625" customWidth="1"/>
    <col min="6" max="6" style="1646" width="9.00390625" customWidth="1"/>
    <col min="7" max="7" style="1646" width="42.421875" hidden="1" customWidth="1"/>
    <col min="8" max="8" style="1646" width="40.7109375" customWidth="1"/>
    <col min="9" max="11" style="1646" width="42.421875" customWidth="1"/>
    <col min="12" max="12" style="1377" width="93.00390625" customWidth="1"/>
    <col min="13" max="20" style="1646" width="10.00390625" customWidth="1"/>
    <col min="21" max="21" style="686" width="10.00390625" customWidth="1"/>
    <col min="22" max="22" style="1646" width="10.57421875" hidden="1"/>
  </cols>
  <sheetData>
    <row s="1377" customFormat="1" customHeight="1" ht="15" hidden="1">
      <c r="C1" s="683"/>
      <c r="H1" s="428">
        <v>4</v>
      </c>
      <c r="I1" s="1377"/>
      <c r="J1" s="1377"/>
      <c r="K1" s="1377"/>
      <c r="U1" s="431"/>
      <c r="V1" s="428" t="s">
        <v>14</v>
      </c>
    </row>
    <row customHeight="1" ht="22.5" hidden="1">
      <c r="C2" s="1936" t="s">
        <v>105</v>
      </c>
      <c r="D2" s="550"/>
      <c r="E2" s="674"/>
      <c r="F2" s="1771" t="str">
        <f>IF(TEMPLATE_SPHERE="HEAT","Гкал/час","тыс. куб. м/сутки")</f>
        <v>Гкал/час</v>
      </c>
      <c r="G2" s="691"/>
      <c r="H2" s="691"/>
      <c r="I2" s="691"/>
      <c r="J2" s="691"/>
      <c r="K2" s="691"/>
      <c r="L2" s="300"/>
      <c r="V2" s="516">
        <v>0</v>
      </c>
    </row>
    <row s="1377" customFormat="1" customHeight="1" ht="15" hidden="1">
      <c r="C3" s="683"/>
      <c r="I3" s="1377"/>
      <c r="J3" s="1377"/>
      <c r="K3" s="1377"/>
      <c r="U3" s="431"/>
      <c r="V3" s="428">
        <v>0</v>
      </c>
    </row>
    <row customHeight="1" ht="15.75">
      <c r="C4" s="187"/>
      <c r="D4" s="520"/>
      <c r="E4" s="520"/>
      <c r="F4" s="520"/>
      <c r="G4" s="520"/>
      <c r="H4" s="520"/>
      <c r="I4" s="1646"/>
      <c r="J4" s="1646"/>
      <c r="K4" s="1646"/>
      <c r="V4" s="516">
        <v>15</v>
      </c>
    </row>
    <row customHeight="1" ht="39.75">
      <c r="C5" s="187"/>
      <c r="D5" s="22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67"/>
      <c r="F5" s="2267"/>
      <c r="G5" s="2267"/>
      <c r="H5" s="2267"/>
      <c r="I5" s="2278"/>
      <c r="J5" s="2278"/>
      <c r="K5" s="2278"/>
      <c r="L5" s="548"/>
      <c r="V5" s="516">
        <v>38</v>
      </c>
    </row>
    <row customHeight="1" ht="15.75">
      <c r="C6" s="187"/>
      <c r="D6" s="2206" t="str">
        <f>IF(org=0,"Не определено",org)</f>
        <v>ПАО "КГК"</v>
      </c>
      <c r="E6" s="2206"/>
      <c r="F6" s="2206"/>
      <c r="G6" s="2206"/>
      <c r="H6" s="2206"/>
      <c r="I6" s="2279"/>
      <c r="J6" s="2279"/>
      <c r="K6" s="2279"/>
      <c r="L6" s="548"/>
      <c r="V6" s="516">
        <v>15</v>
      </c>
    </row>
    <row s="1646" customFormat="1" customHeight="1" ht="15.75">
      <c r="A7" s="770"/>
      <c r="C7" s="187"/>
      <c r="D7" s="687"/>
      <c r="E7" s="687"/>
      <c r="F7" s="687"/>
      <c r="G7" s="687"/>
      <c r="H7" s="763"/>
      <c r="I7" s="2437" t="s">
        <v>22</v>
      </c>
      <c r="J7" s="2437" t="s">
        <v>22</v>
      </c>
      <c r="K7" s="2437" t="s">
        <v>22</v>
      </c>
      <c r="L7" s="548"/>
      <c r="U7" s="686"/>
      <c r="V7" s="769">
        <v>15</v>
      </c>
    </row>
    <row customHeight="1" ht="1.05">
      <c r="C8" s="187"/>
      <c r="D8" s="520"/>
      <c r="E8" s="520"/>
      <c r="F8" s="520"/>
      <c r="G8" s="520"/>
      <c r="H8" s="548" t="s">
        <v>128</v>
      </c>
      <c r="I8" s="1646" t="s">
        <v>132</v>
      </c>
      <c r="J8" s="1646" t="s">
        <v>134</v>
      </c>
      <c r="K8" s="1646" t="s">
        <v>135</v>
      </c>
      <c r="V8" s="516">
        <v>1</v>
      </c>
    </row>
    <row customHeight="1" ht="15.75">
      <c r="C9" s="187"/>
      <c r="D9" s="722"/>
      <c r="E9" s="2397" t="s">
        <v>116</v>
      </c>
      <c r="F9" s="2398"/>
      <c r="G9" s="827" t="str">
        <f>IF(G8="","",INDEX(DIFFERENTIATION_UNMERGE_VD,MATCH(G8,DIFFERENTIATION_ID_DIFF,0)))</f>
        <v/>
      </c>
      <c r="H9" s="827"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9" s="2425"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9" s="2425" t="str">
        <f>IF(J8="","",INDEX(DIFFERENTIATION_UNMERGE_VD,MATCH(J8,DIFFERENTIATION_ID_DIFF,0)))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K9" s="2425"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9" s="2157" t="s">
        <v>315</v>
      </c>
      <c r="V9" s="516">
        <v>15</v>
      </c>
    </row>
    <row s="1646" customFormat="1" customHeight="1" ht="15.75">
      <c r="A10" s="770"/>
      <c r="C10" s="187"/>
      <c r="D10" s="722"/>
      <c r="E10" s="2397" t="s">
        <v>576</v>
      </c>
      <c r="F10" s="2398"/>
      <c r="G10" s="827" t="str">
        <f>IF(G8="","",INDEX(DIFFERENTIATION_UNMERGE_AREA,MATCH(G8,DIFFERENTIATION_ID_DIFF,0)))</f>
        <v/>
      </c>
      <c r="H10" s="827" t="str">
        <f>IF(H8="","",INDEX(DIFFERENTIATION_UNMERGE_AREA,MATCH(H8,DIFFERENTIATION_ID_DIFF,0)))</f>
        <v>Территория 1</v>
      </c>
      <c r="I10" s="2425" t="str">
        <f>IF(I8="","",INDEX(DIFFERENTIATION_UNMERGE_AREA,MATCH(I8,DIFFERENTIATION_ID_DIFF,0)))</f>
        <v>Территория 1</v>
      </c>
      <c r="J10" s="2425" t="str">
        <f>IF(J8="","",INDEX(DIFFERENTIATION_UNMERGE_AREA,MATCH(J8,DIFFERENTIATION_ID_DIFF,0)))</f>
        <v>Территория 2</v>
      </c>
      <c r="K10" s="2425" t="str">
        <f>IF(K8="","",INDEX(DIFFERENTIATION_UNMERGE_AREA,MATCH(K8,DIFFERENTIATION_ID_DIFF,0)))</f>
        <v>Территория 3</v>
      </c>
      <c r="L10" s="2157"/>
      <c r="U10" s="686"/>
      <c r="V10" s="769">
        <v>15</v>
      </c>
    </row>
    <row s="1646" customFormat="1" customHeight="1" ht="15.75">
      <c r="A11" s="770"/>
      <c r="C11" s="187"/>
      <c r="D11" s="722"/>
      <c r="E11" s="2397" t="s">
        <v>577</v>
      </c>
      <c r="F11" s="2398"/>
      <c r="G11" s="827" t="str">
        <f>IF(G8="","",INDEX(DIFFERENTIATION_UNMERGE_SYSTEM,MATCH(G8,DIFFERENTIATION_ID_DIFF,0)))</f>
        <v/>
      </c>
      <c r="H11" s="827" t="str">
        <f>IF(H8="","",INDEX(DIFFERENTIATION_UNMERGE_SYSTEM,MATCH(H8,DIFFERENTIATION_ID_DIFF,0)))</f>
        <v>СП "Тепловые сети"</v>
      </c>
      <c r="I11" s="2425" t="str">
        <f>IF(I8="","",INDEX(DIFFERENTIATION_UNMERGE_SYSTEM,MATCH(I8,DIFFERENTIATION_ID_DIFF,0)))</f>
        <v>ОП "Энергетические сети"</v>
      </c>
      <c r="J11" s="2425" t="str">
        <f>IF(J8="","",INDEX(DIFFERENTIATION_UNMERGE_SYSTEM,MATCH(J8,DIFFERENTIATION_ID_DIFF,0)))</f>
        <v>без дифференциации</v>
      </c>
      <c r="K11" s="2425" t="str">
        <f>IF(K8="","",INDEX(DIFFERENTIATION_UNMERGE_SYSTEM,MATCH(K8,DIFFERENTIATION_ID_DIFF,0)))</f>
        <v>без дифференциации</v>
      </c>
      <c r="L11" s="2157"/>
      <c r="U11" s="686"/>
      <c r="V11" s="769">
        <v>15</v>
      </c>
    </row>
    <row s="1646" customFormat="1" customHeight="1" ht="15.75">
      <c r="A12" s="770"/>
      <c r="C12" s="187"/>
      <c r="D12" s="2399" t="s">
        <v>314</v>
      </c>
      <c r="E12" s="2400"/>
      <c r="F12" s="2400"/>
      <c r="G12" s="898"/>
      <c r="H12" s="898"/>
      <c r="I12" s="2397"/>
      <c r="J12" s="2397"/>
      <c r="K12" s="2397"/>
      <c r="L12" s="2157"/>
      <c r="U12" s="686"/>
      <c r="V12" s="769">
        <v>15</v>
      </c>
    </row>
    <row customHeight="1" ht="35.699999999999996">
      <c r="C13" s="187"/>
      <c r="D13" s="772" t="s">
        <v>89</v>
      </c>
      <c r="E13" s="771" t="s">
        <v>316</v>
      </c>
      <c r="F13" s="771" t="s">
        <v>578</v>
      </c>
      <c r="G13" s="819" t="s">
        <v>317</v>
      </c>
      <c r="H13" s="765" t="s">
        <v>317</v>
      </c>
      <c r="I13" s="2292" t="s">
        <v>317</v>
      </c>
      <c r="J13" s="2292" t="s">
        <v>317</v>
      </c>
      <c r="K13" s="2292" t="s">
        <v>317</v>
      </c>
      <c r="L13" s="2157"/>
      <c r="V13" s="516">
        <v>34</v>
      </c>
    </row>
    <row customHeight="1" ht="15" hidden="1">
      <c r="C14" s="187"/>
      <c r="D14" s="604" t="s">
        <v>120</v>
      </c>
      <c r="E14" s="604" t="s">
        <v>104</v>
      </c>
      <c r="F14" s="604" t="s">
        <v>91</v>
      </c>
      <c r="G14" s="670" t="str">
        <f>G1&amp;".1"</f>
        <v>.1</v>
      </c>
      <c r="H14" s="670" t="str">
        <f>H1&amp;".1"</f>
        <v>4.1</v>
      </c>
      <c r="I14" s="694" t="str">
        <f>I1&amp;".1"</f>
        <v>.1</v>
      </c>
      <c r="J14" s="694" t="str">
        <f>J1&amp;".1"</f>
        <v>.1</v>
      </c>
      <c r="K14" s="694" t="str">
        <f>K1&amp;".1"</f>
        <v>.1</v>
      </c>
      <c r="L14" s="300"/>
      <c r="V14" s="516">
        <v>0</v>
      </c>
    </row>
    <row customHeight="1" ht="15.75">
      <c r="A15" s="516"/>
      <c r="C15" s="537"/>
      <c r="D15" s="532">
        <v>1</v>
      </c>
      <c r="E15" s="1938" t="str">
        <f>TP_P_A</f>
        <v>Количество поданных заявок</v>
      </c>
      <c r="F15" s="532" t="s">
        <v>1388</v>
      </c>
      <c r="G15" s="696"/>
      <c r="H15" s="696"/>
      <c r="I15" s="696"/>
      <c r="J15" s="696"/>
      <c r="K15" s="696"/>
      <c r="L15" s="21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6">
        <v>15</v>
      </c>
    </row>
    <row customHeight="1" ht="15.75">
      <c r="A16" s="516"/>
      <c r="C16" s="537"/>
      <c r="D16" s="532">
        <v>2</v>
      </c>
      <c r="E16" s="1938" t="str">
        <f>TP_P_B</f>
        <v>Количество рассмотренных заявок</v>
      </c>
      <c r="F16" s="532" t="s">
        <v>1388</v>
      </c>
      <c r="G16" s="696"/>
      <c r="H16" s="696"/>
      <c r="I16" s="696"/>
      <c r="J16" s="696"/>
      <c r="K16" s="696"/>
      <c r="L16" s="21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6">
        <v>15</v>
      </c>
    </row>
    <row customHeight="1" ht="77.7">
      <c r="A17" s="516"/>
      <c r="C17" s="537"/>
      <c r="D17" s="532">
        <v>3</v>
      </c>
      <c r="E17" s="193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2" t="s">
        <v>1388</v>
      </c>
      <c r="G17" s="696"/>
      <c r="H17" s="696"/>
      <c r="I17" s="696"/>
      <c r="J17" s="696"/>
      <c r="K17" s="696"/>
      <c r="L17" s="219" t="str">
        <f>TP_P_NOTE_V</f>
        <v>Указывается количество заявок с решением об отказе в течение отчетного квартала.</v>
      </c>
      <c r="V17" s="516">
        <v>74</v>
      </c>
    </row>
    <row customHeight="1" ht="54.75">
      <c r="A18" s="516"/>
      <c r="C18" s="537"/>
      <c r="D18" s="532">
        <v>4</v>
      </c>
      <c r="E18" s="1938" t="str">
        <f>TP_P_V_1</f>
        <v>Причины отказа в заключении договора о подключении (технологическом присоединении) к системе теплоснабжения</v>
      </c>
      <c r="F18" s="532" t="s">
        <v>320</v>
      </c>
      <c r="G18" s="697"/>
      <c r="H18" s="697"/>
      <c r="I18" s="2383"/>
      <c r="J18" s="2383"/>
      <c r="K18" s="2383"/>
      <c r="L18" s="84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6">
        <v>52</v>
      </c>
    </row>
    <row customHeight="1" ht="60">
      <c r="A19" s="516"/>
      <c r="C19" s="537"/>
      <c r="D19" s="532">
        <v>5</v>
      </c>
      <c r="E19" s="1938" t="str">
        <f>TP_P_G</f>
        <v>Резерв мощности источников тепловой энергии, входящих в систему теплоснабжения, в течение одного квартала, в том числе:</v>
      </c>
      <c r="F19" s="532" t="str">
        <f>IF(TEMPLATE_SPHERE="HEAT","Гкал/час","тыс. куб. м/сутки")</f>
        <v>Гкал/час</v>
      </c>
      <c r="G19" s="698">
        <f>SUM(G20:G22)</f>
        <v>0</v>
      </c>
      <c r="H19" s="698">
        <f>SUM(H20:H22)</f>
        <v>0</v>
      </c>
      <c r="I19" s="698">
        <f>SUM(I20:I22)</f>
        <v>0</v>
      </c>
      <c r="J19" s="698">
        <f>SUM(J20:J22)</f>
        <v>0</v>
      </c>
      <c r="K19" s="698">
        <f>SUM(K20:K22)</f>
        <v>0</v>
      </c>
      <c r="L19" s="21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6">
        <v>57</v>
      </c>
    </row>
    <row customHeight="1" ht="15" hidden="1">
      <c r="D20" s="520" t="s">
        <v>1389</v>
      </c>
      <c r="E20" s="699"/>
      <c r="F20" s="520"/>
      <c r="G20" s="520"/>
      <c r="H20" s="520"/>
      <c r="I20" s="1646"/>
      <c r="J20" s="1646"/>
      <c r="K20" s="1646"/>
      <c r="L20" s="1773"/>
      <c r="V20" s="516">
        <v>0</v>
      </c>
    </row>
    <row customHeight="1" ht="29.25">
      <c r="C21" s="462"/>
      <c r="D21" s="550" t="s">
        <v>327</v>
      </c>
      <c r="E21" s="681"/>
      <c r="F21" s="1771" t="str">
        <f>IF(TEMPLATE_SPHERE="HEAT","Гкал/час","тыс. куб. м/сутки")</f>
        <v>Гкал/час</v>
      </c>
      <c r="G21" s="691"/>
      <c r="H21" s="691"/>
      <c r="I21" s="691"/>
      <c r="J21" s="691"/>
      <c r="K21" s="691"/>
      <c r="L21" s="219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6">
        <v>28</v>
      </c>
    </row>
    <row customHeight="1" ht="15.75">
      <c r="A22" s="516"/>
      <c r="C22" s="516"/>
      <c r="D22" s="358"/>
      <c r="E22" s="591" t="s">
        <v>1390</v>
      </c>
      <c r="F22" s="583"/>
      <c r="G22" s="583"/>
      <c r="H22" s="583"/>
      <c r="I22" s="2892"/>
      <c r="J22" s="2893"/>
      <c r="K22" s="2894"/>
      <c r="L22" s="2201"/>
      <c r="U22" s="516"/>
      <c r="V22" s="516">
        <v>15</v>
      </c>
    </row>
    <row customHeight="1" ht="22.5" hidden="1">
      <c r="A23" s="460" t="s">
        <v>83</v>
      </c>
      <c r="B23" s="516">
        <v>0</v>
      </c>
      <c r="C23" s="694">
        <v>4</v>
      </c>
      <c r="D23" s="516">
        <v>6</v>
      </c>
      <c r="E23" s="516">
        <v>36</v>
      </c>
      <c r="F23" s="516">
        <v>9</v>
      </c>
      <c r="G23" s="769">
        <v>0</v>
      </c>
      <c r="H23" s="516">
        <v>40</v>
      </c>
      <c r="I23" s="1646">
        <v>0</v>
      </c>
      <c r="J23" s="1646">
        <v>0</v>
      </c>
      <c r="K23" s="1646">
        <v>0</v>
      </c>
      <c r="L23" s="428">
        <v>93</v>
      </c>
      <c r="M23" s="516">
        <v>10</v>
      </c>
      <c r="N23" s="516">
        <v>10</v>
      </c>
      <c r="O23" s="516">
        <v>10</v>
      </c>
      <c r="P23" s="516">
        <v>10</v>
      </c>
      <c r="Q23" s="516">
        <v>10</v>
      </c>
      <c r="R23" s="516">
        <v>10</v>
      </c>
      <c r="S23" s="516">
        <v>10</v>
      </c>
      <c r="T23" s="516">
        <v>10</v>
      </c>
      <c r="U23" s="686">
        <v>10</v>
      </c>
      <c r="V23" s="516">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B4398-D12C-FCCB-C278-EBEBDD57E8A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27" width="9.140625" hidden="1" customWidth="1"/>
    <col min="2" max="2" style="1377" width="9.140625" hidden="1" customWidth="1"/>
    <col min="3" max="3" style="355" width="3.00390625" customWidth="1"/>
    <col min="4" max="4" style="1646" width="6.00390625" customWidth="1"/>
    <col min="5" max="6" style="1646" width="64.00390625" customWidth="1"/>
    <col min="7" max="7" style="1646" width="140.00390625" customWidth="1"/>
    <col min="8" max="8" style="1646" width="10.00390625" customWidth="1"/>
    <col min="9" max="10" style="1635" width="10.00390625" customWidth="1"/>
    <col min="11" max="16" style="1646" width="10.00390625" customWidth="1"/>
    <col min="17" max="17" style="1646" width="10.57421875" hidden="1"/>
  </cols>
  <sheetData>
    <row customHeight="1" ht="22.5" hidden="1">
      <c r="M1" s="266"/>
      <c r="N1" s="266"/>
      <c r="P1" s="266"/>
      <c r="Q1" s="94" t="s">
        <v>14</v>
      </c>
    </row>
    <row customHeight="1" ht="14.25" hidden="1">
      <c r="Q2" s="94">
        <v>0</v>
      </c>
    </row>
    <row customHeight="1" ht="14.25" hidden="1">
      <c r="Q3" s="94">
        <v>0</v>
      </c>
    </row>
    <row customHeight="1" ht="3">
      <c r="C4" s="107"/>
      <c r="D4" s="95"/>
      <c r="E4" s="95"/>
      <c r="F4" s="96"/>
      <c r="G4" s="96"/>
      <c r="Q4" s="94">
        <v>3</v>
      </c>
    </row>
    <row customHeight="1" ht="29.25">
      <c r="C5" s="107"/>
      <c r="D5" s="248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85"/>
      <c r="F5" s="2485"/>
      <c r="G5" s="2486"/>
      <c r="Q5" s="94">
        <v>28</v>
      </c>
    </row>
    <row s="1646" customFormat="1" customHeight="1" ht="18.75">
      <c r="A6" s="893"/>
      <c r="B6" s="428"/>
      <c r="C6" s="387"/>
      <c r="D6" s="2487" t="str">
        <f>IF(org=0,"Не определено",org)</f>
        <v>ПАО "КГК"</v>
      </c>
      <c r="E6" s="2488"/>
      <c r="F6" s="2488"/>
      <c r="G6" s="2489"/>
      <c r="I6" s="511"/>
      <c r="J6" s="511"/>
      <c r="Q6" s="769">
        <v>18</v>
      </c>
    </row>
    <row customHeight="1" ht="14.699999999999998">
      <c r="C7" s="107"/>
      <c r="D7" s="95"/>
      <c r="E7" s="106"/>
      <c r="F7" s="763"/>
      <c r="G7" s="204"/>
      <c r="Q7" s="94">
        <v>14</v>
      </c>
    </row>
    <row s="1646" customFormat="1" customHeight="1" ht="1.05">
      <c r="A8" s="1679"/>
      <c r="B8" s="1171"/>
      <c r="C8" s="387"/>
      <c r="D8" s="374"/>
      <c r="E8" s="400"/>
      <c r="F8" s="763"/>
      <c r="G8" s="204"/>
      <c r="I8" s="1635"/>
      <c r="J8" s="1635"/>
      <c r="Q8" s="1642">
        <v>1</v>
      </c>
    </row>
    <row customHeight="1" ht="14.699999999999998">
      <c r="C9" s="107"/>
      <c r="D9" s="2239" t="s">
        <v>314</v>
      </c>
      <c r="E9" s="2239"/>
      <c r="F9" s="2239"/>
      <c r="G9" s="2419" t="s">
        <v>315</v>
      </c>
      <c r="Q9" s="94">
        <v>14</v>
      </c>
    </row>
    <row customHeight="1" ht="24">
      <c r="C10" s="107"/>
      <c r="D10" s="116" t="s">
        <v>89</v>
      </c>
      <c r="E10" s="119" t="s">
        <v>316</v>
      </c>
      <c r="F10" s="119" t="s">
        <v>404</v>
      </c>
      <c r="G10" s="2419"/>
      <c r="Q10" s="94">
        <v>23</v>
      </c>
    </row>
    <row customHeight="1" ht="12" hidden="1">
      <c r="C11" s="107"/>
      <c r="D11" s="98"/>
      <c r="E11" s="98"/>
      <c r="F11" s="98"/>
      <c r="G11" s="98"/>
      <c r="Q11" s="94">
        <v>0</v>
      </c>
    </row>
    <row customHeight="1" ht="65.25">
      <c r="A12" s="203"/>
      <c r="C12" s="107"/>
      <c r="D12" s="158">
        <v>1</v>
      </c>
      <c r="E12" s="20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9" t="s">
        <v>320</v>
      </c>
      <c r="G12" s="162"/>
      <c r="Q12" s="94">
        <v>62</v>
      </c>
    </row>
    <row customHeight="1" ht="24">
      <c r="A13" s="203"/>
      <c r="C13" s="107"/>
      <c r="D13" s="158" t="s">
        <v>675</v>
      </c>
      <c r="E13" s="205"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9" t="s">
        <v>320</v>
      </c>
      <c r="G13" s="162"/>
      <c r="Q13" s="94">
        <v>23</v>
      </c>
    </row>
    <row customHeight="1" ht="14.699999999999998">
      <c r="A14" s="203"/>
      <c r="C14" s="107"/>
      <c r="D14" s="158" t="s">
        <v>1319</v>
      </c>
      <c r="E14" s="206"/>
      <c r="F14" s="224"/>
      <c r="G14" s="21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4">
        <v>14</v>
      </c>
    </row>
    <row customHeight="1" ht="15.75">
      <c r="A15" s="203"/>
      <c r="C15" s="107"/>
      <c r="D15" s="120"/>
      <c r="E15" s="360" t="s">
        <v>1391</v>
      </c>
      <c r="F15" s="212"/>
      <c r="G15" s="2201"/>
      <c r="Q15" s="94">
        <v>15</v>
      </c>
    </row>
    <row customHeight="1" ht="14.699999999999998">
      <c r="A16" s="203"/>
      <c r="C16" s="107"/>
      <c r="D16" s="158" t="s">
        <v>1285</v>
      </c>
      <c r="E16" s="20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9" t="s">
        <v>320</v>
      </c>
      <c r="G16" s="348"/>
      <c r="Q16" s="94">
        <v>14</v>
      </c>
    </row>
    <row customHeight="1" ht="14.699999999999998">
      <c r="A17" s="203"/>
      <c r="C17" s="107"/>
      <c r="D17" s="158" t="s">
        <v>1327</v>
      </c>
      <c r="E17" s="206"/>
      <c r="F17" s="396"/>
      <c r="G17" s="21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4">
        <v>14</v>
      </c>
    </row>
    <row s="1646" customFormat="1" customHeight="1" ht="22.049999999999997">
      <c r="A18" s="354"/>
      <c r="B18" s="157"/>
      <c r="C18" s="318"/>
      <c r="D18" s="358"/>
      <c r="E18" s="360" t="s">
        <v>1392</v>
      </c>
      <c r="F18" s="349"/>
      <c r="G18" s="2201"/>
      <c r="I18" s="361"/>
      <c r="J18" s="361"/>
      <c r="Q18" s="353">
        <v>21</v>
      </c>
    </row>
    <row s="1646" customFormat="1" customHeight="1" ht="256.5">
      <c r="A19" s="354"/>
      <c r="B19" s="428"/>
      <c r="C19" s="387"/>
      <c r="D19" s="895" t="s">
        <v>1287</v>
      </c>
      <c r="E19" s="894" t="s">
        <v>1393</v>
      </c>
      <c r="F19" s="396"/>
      <c r="G19" s="348" t="s">
        <v>1394</v>
      </c>
      <c r="I19" s="511"/>
      <c r="J19" s="511"/>
      <c r="Q19" s="769">
        <v>0</v>
      </c>
    </row>
    <row s="1646" customFormat="1" customHeight="1" ht="14.699999999999998">
      <c r="A20" s="354"/>
      <c r="B20" s="157"/>
      <c r="C20" s="318"/>
      <c r="D20" s="896">
        <v>2</v>
      </c>
      <c r="E20" s="341" t="s">
        <v>1395</v>
      </c>
      <c r="F20" s="209" t="s">
        <v>320</v>
      </c>
      <c r="G20" s="348"/>
      <c r="I20" s="361"/>
      <c r="J20" s="361"/>
      <c r="Q20" s="353">
        <v>14</v>
      </c>
    </row>
    <row s="1646" customFormat="1" customHeight="1" ht="18.75" hidden="1">
      <c r="A21" s="354"/>
      <c r="B21" s="157"/>
      <c r="C21" s="318"/>
      <c r="D21" s="344" t="s">
        <v>711</v>
      </c>
      <c r="E21" s="343"/>
      <c r="F21" s="342"/>
      <c r="G21" s="352"/>
      <c r="H21" s="345"/>
      <c r="I21" s="361"/>
      <c r="J21" s="361"/>
      <c r="Q21" s="353">
        <v>0</v>
      </c>
    </row>
    <row customHeight="1" ht="15.75">
      <c r="A22" s="203"/>
      <c r="C22" s="107"/>
      <c r="D22" s="120"/>
      <c r="E22" s="214" t="s">
        <v>336</v>
      </c>
      <c r="F22" s="349"/>
      <c r="G22" s="350"/>
      <c r="Q22" s="94">
        <v>15</v>
      </c>
    </row>
    <row s="1646" customFormat="1" customHeight="1" ht="22.5" hidden="1">
      <c r="A23" s="354"/>
      <c r="B23" s="1171"/>
      <c r="C23" s="387"/>
      <c r="D23" s="1683" t="s">
        <v>104</v>
      </c>
      <c r="E23" s="208" t="s">
        <v>1396</v>
      </c>
      <c r="F23" s="1680" t="s">
        <v>320</v>
      </c>
      <c r="G23" s="356"/>
      <c r="I23" s="1635"/>
      <c r="J23" s="1635"/>
      <c r="Q23" s="1642">
        <v>0</v>
      </c>
    </row>
    <row s="1646" customFormat="1" customHeight="1" ht="14.25" hidden="1">
      <c r="A24" s="354"/>
      <c r="B24" s="1171"/>
      <c r="C24" s="387"/>
      <c r="D24" s="1683" t="s">
        <v>783</v>
      </c>
      <c r="E24" s="1682" t="s">
        <v>1397</v>
      </c>
      <c r="F24" s="1680" t="s">
        <v>320</v>
      </c>
      <c r="G24" s="348"/>
      <c r="I24" s="1635"/>
      <c r="J24" s="1635"/>
      <c r="Q24" s="1642">
        <v>0</v>
      </c>
    </row>
    <row s="1646" customFormat="1" customHeight="1" ht="14.25" hidden="1">
      <c r="A25" s="354"/>
      <c r="B25" s="1171"/>
      <c r="C25" s="387"/>
      <c r="D25" s="1683" t="s">
        <v>786</v>
      </c>
      <c r="E25" s="206"/>
      <c r="F25" s="396"/>
      <c r="G25" s="2199" t="s">
        <v>1398</v>
      </c>
      <c r="I25" s="1635"/>
      <c r="J25" s="1635"/>
      <c r="Q25" s="1642">
        <v>0</v>
      </c>
    </row>
    <row s="1646" customFormat="1" customHeight="1" ht="14.25" hidden="1">
      <c r="A26" s="354"/>
      <c r="B26" s="1171"/>
      <c r="C26" s="387"/>
      <c r="D26" s="358"/>
      <c r="E26" s="360" t="s">
        <v>1399</v>
      </c>
      <c r="F26" s="349"/>
      <c r="G26" s="2201"/>
      <c r="I26" s="1635"/>
      <c r="J26" s="1635"/>
      <c r="Q26" s="1642">
        <v>0</v>
      </c>
    </row>
    <row s="1646" customFormat="1" customHeight="1" ht="33.75" hidden="1">
      <c r="A27" s="354"/>
      <c r="B27" s="1377"/>
      <c r="C27" s="387"/>
      <c r="D27" s="2087" t="s">
        <v>91</v>
      </c>
      <c r="E27" s="208" t="s">
        <v>1400</v>
      </c>
      <c r="F27" s="2088" t="s">
        <v>320</v>
      </c>
      <c r="G27" s="1536"/>
      <c r="I27" s="1635"/>
      <c r="J27" s="1635"/>
      <c r="Q27" s="1642">
        <v>0</v>
      </c>
    </row>
    <row s="1646" customFormat="1" customHeight="1" ht="22.5" hidden="1">
      <c r="A28" s="354"/>
      <c r="B28" s="1377"/>
      <c r="C28" s="387"/>
      <c r="D28" s="2087" t="s">
        <v>338</v>
      </c>
      <c r="E28" s="2089" t="s">
        <v>1401</v>
      </c>
      <c r="F28" s="2088" t="s">
        <v>320</v>
      </c>
      <c r="G28" s="348"/>
      <c r="I28" s="1635"/>
      <c r="J28" s="1635"/>
      <c r="Q28" s="1642">
        <v>0</v>
      </c>
    </row>
    <row s="1646" customFormat="1" customHeight="1" ht="14.25" hidden="1">
      <c r="A29" s="354"/>
      <c r="B29" s="1377"/>
      <c r="C29" s="387"/>
      <c r="D29" s="2087" t="s">
        <v>340</v>
      </c>
      <c r="E29" s="2101"/>
      <c r="F29" s="673"/>
      <c r="G29" s="2199" t="s">
        <v>1402</v>
      </c>
      <c r="I29" s="1635"/>
      <c r="J29" s="1635"/>
      <c r="Q29" s="1642">
        <v>0</v>
      </c>
    </row>
    <row s="1646" customFormat="1" customHeight="1" ht="14.25" hidden="1">
      <c r="A30" s="354"/>
      <c r="B30" s="1377"/>
      <c r="C30" s="387"/>
      <c r="D30" s="358"/>
      <c r="E30" s="582" t="s">
        <v>1399</v>
      </c>
      <c r="F30" s="349"/>
      <c r="G30" s="2201"/>
      <c r="I30" s="1635"/>
      <c r="J30" s="1635"/>
      <c r="Q30" s="1642">
        <v>0</v>
      </c>
    </row>
    <row customHeight="1" ht="3">
      <c r="Q31" s="94">
        <v>3</v>
      </c>
    </row>
    <row customHeight="1" ht="14.699999999999998">
      <c r="D32" s="347"/>
      <c r="E32" s="346"/>
      <c r="F32" s="326"/>
      <c r="G32" s="326"/>
      <c r="H32" s="326"/>
      <c r="I32" s="326"/>
      <c r="J32" s="326"/>
      <c r="K32" s="326"/>
      <c r="L32" s="326"/>
      <c r="M32" s="326"/>
      <c r="N32" s="326"/>
      <c r="O32" s="326"/>
      <c r="P32" s="326"/>
      <c r="Q32" s="94">
        <v>14</v>
      </c>
    </row>
    <row customHeight="1" ht="14.699999999999998">
      <c r="D33" s="347"/>
      <c r="E33" s="593"/>
      <c r="Q33" s="94">
        <v>14</v>
      </c>
    </row>
    <row customHeight="1" ht="14.699999999999998">
      <c r="Q34" s="94">
        <v>14</v>
      </c>
    </row>
    <row customHeight="1" ht="14.699999999999998">
      <c r="E35" s="769"/>
      <c r="Q35" s="94">
        <v>14</v>
      </c>
    </row>
    <row customHeight="1" ht="22.5" hidden="1">
      <c r="A36" s="112" t="s">
        <v>83</v>
      </c>
      <c r="B36" s="157">
        <v>0</v>
      </c>
      <c r="C36" s="108">
        <v>3</v>
      </c>
      <c r="D36" s="94">
        <v>6</v>
      </c>
      <c r="E36" s="94">
        <v>64</v>
      </c>
      <c r="F36" s="94">
        <v>64</v>
      </c>
      <c r="G36" s="94">
        <v>140</v>
      </c>
      <c r="H36" s="94">
        <v>10</v>
      </c>
      <c r="I36" s="166">
        <v>10</v>
      </c>
      <c r="J36" s="166">
        <v>10</v>
      </c>
      <c r="K36" s="94">
        <v>10</v>
      </c>
      <c r="L36" s="94">
        <v>10</v>
      </c>
      <c r="M36" s="94">
        <v>10</v>
      </c>
      <c r="N36" s="94">
        <v>10</v>
      </c>
      <c r="O36" s="94">
        <v>10</v>
      </c>
      <c r="P36" s="94">
        <v>10</v>
      </c>
      <c r="Q36" s="94">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C3408-8828-6558-3222-801A8C9EEC4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6" width="9.140625" hidden="1" customWidth="1"/>
    <col min="2" max="2" style="1377" width="9.140625" hidden="1" customWidth="1"/>
    <col min="3" max="3" style="355" width="3.00390625" customWidth="1"/>
    <col min="4" max="4" style="1646" width="6.00390625" customWidth="1"/>
    <col min="5" max="5" style="1646" width="63.00390625" customWidth="1"/>
    <col min="6" max="6" style="1646" width="1.7109375" hidden="1" customWidth="1"/>
    <col min="7" max="8" style="1646" width="35.00390625" customWidth="1"/>
    <col min="9" max="9" style="1646" width="91.00390625" customWidth="1"/>
    <col min="10" max="10" style="1646" width="68.00390625" customWidth="1"/>
    <col min="11" max="12" style="1635" width="10.00390625" customWidth="1"/>
    <col min="13" max="13" style="1646" width="10.57421875" hidden="1"/>
  </cols>
  <sheetData>
    <row customHeight="1" ht="22.5" hidden="1">
      <c r="M1" s="94" t="s">
        <v>14</v>
      </c>
    </row>
    <row s="1646" customFormat="1" customHeight="1" ht="18.75" hidden="1">
      <c r="A2" s="1693"/>
      <c r="B2" s="1171"/>
      <c r="C2" s="1740" t="s">
        <v>105</v>
      </c>
      <c r="D2" s="1683"/>
      <c r="E2" s="210"/>
      <c r="F2" s="1680"/>
      <c r="G2" s="1680" t="s">
        <v>320</v>
      </c>
      <c r="H2" s="1172"/>
      <c r="K2" s="1635"/>
      <c r="L2" s="1635"/>
      <c r="M2" s="1642">
        <v>0</v>
      </c>
    </row>
    <row s="1646" customFormat="1" customHeight="1" ht="14.25" hidden="1">
      <c r="A3" s="1373"/>
      <c r="B3" s="1171"/>
      <c r="C3" s="355"/>
      <c r="K3" s="1635"/>
      <c r="L3" s="1635"/>
      <c r="M3" s="1642">
        <v>0</v>
      </c>
    </row>
    <row s="1646" customFormat="1" customHeight="1" ht="18.75" hidden="1">
      <c r="A4" s="1693"/>
      <c r="B4" s="1171"/>
      <c r="C4" s="1740" t="s">
        <v>105</v>
      </c>
      <c r="D4" s="1683"/>
      <c r="E4" s="216" t="s">
        <v>1403</v>
      </c>
      <c r="F4" s="1680"/>
      <c r="G4" s="268"/>
      <c r="H4" s="1680" t="s">
        <v>320</v>
      </c>
      <c r="K4" s="1635"/>
      <c r="L4" s="1635"/>
      <c r="M4" s="1642">
        <v>0</v>
      </c>
    </row>
    <row s="1646" customFormat="1" customHeight="1" ht="14.25" hidden="1">
      <c r="A5" s="1373"/>
      <c r="B5" s="1171"/>
      <c r="C5" s="355"/>
      <c r="K5" s="1635"/>
      <c r="L5" s="1635"/>
      <c r="M5" s="1642">
        <v>0</v>
      </c>
    </row>
    <row s="1646" customFormat="1" customHeight="1" ht="18.75" hidden="1">
      <c r="A6" s="1693"/>
      <c r="B6" s="1171"/>
      <c r="C6" s="1740" t="s">
        <v>105</v>
      </c>
      <c r="D6" s="1683"/>
      <c r="E6" s="217" t="s">
        <v>1404</v>
      </c>
      <c r="F6" s="1680"/>
      <c r="G6" s="268"/>
      <c r="H6" s="1680" t="s">
        <v>320</v>
      </c>
      <c r="K6" s="1635"/>
      <c r="L6" s="1635"/>
      <c r="M6" s="1642">
        <v>0</v>
      </c>
    </row>
    <row s="1646" customFormat="1" customHeight="1" ht="14.25" hidden="1">
      <c r="A7" s="1373"/>
      <c r="B7" s="1171"/>
      <c r="C7" s="355"/>
      <c r="K7" s="1635"/>
      <c r="L7" s="1635"/>
      <c r="M7" s="1642">
        <v>0</v>
      </c>
    </row>
    <row s="1646" customFormat="1" customHeight="1" ht="18.75" hidden="1">
      <c r="A8" s="1693"/>
      <c r="B8" s="1171"/>
      <c r="C8" s="1740" t="s">
        <v>105</v>
      </c>
      <c r="D8" s="1683"/>
      <c r="E8" s="217" t="s">
        <v>1405</v>
      </c>
      <c r="F8" s="1680"/>
      <c r="G8" s="268"/>
      <c r="H8" s="1680" t="s">
        <v>320</v>
      </c>
      <c r="K8" s="1635"/>
      <c r="L8" s="1635"/>
      <c r="M8" s="1642">
        <v>0</v>
      </c>
    </row>
    <row s="1646" customFormat="1" customHeight="1" ht="14.25" hidden="1">
      <c r="A9" s="1373"/>
      <c r="B9" s="1171"/>
      <c r="C9" s="355"/>
      <c r="K9" s="1635"/>
      <c r="L9" s="1635"/>
      <c r="M9" s="1642">
        <v>0</v>
      </c>
    </row>
    <row s="1646" customFormat="1" customHeight="1" ht="18.75" hidden="1">
      <c r="A10" s="1693"/>
      <c r="B10" s="1171"/>
      <c r="C10" s="1740" t="s">
        <v>105</v>
      </c>
      <c r="D10" s="1683"/>
      <c r="E10" s="217" t="s">
        <v>1406</v>
      </c>
      <c r="F10" s="1680"/>
      <c r="G10" s="1684"/>
      <c r="H10" s="1680" t="s">
        <v>320</v>
      </c>
      <c r="K10" s="1635"/>
      <c r="L10" s="1635" t="s">
        <v>1407</v>
      </c>
      <c r="M10" s="1642">
        <v>0</v>
      </c>
    </row>
    <row customHeight="1" ht="14.25" hidden="1">
      <c r="M11" s="94">
        <v>0</v>
      </c>
    </row>
    <row customHeight="1" ht="14.25" hidden="1">
      <c r="M12" s="94">
        <v>0</v>
      </c>
    </row>
    <row customHeight="1" ht="14.699999999999998">
      <c r="C13" s="107"/>
      <c r="D13" s="95"/>
      <c r="E13" s="95"/>
      <c r="F13" s="95"/>
      <c r="G13" s="95"/>
      <c r="H13" s="96"/>
      <c r="I13" s="96"/>
      <c r="M13" s="94">
        <v>14</v>
      </c>
    </row>
    <row customHeight="1" ht="29.25">
      <c r="C14" s="107"/>
      <c r="D14" s="248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85"/>
      <c r="F14" s="2485"/>
      <c r="G14" s="2485"/>
      <c r="H14" s="2486"/>
      <c r="J14" s="1642"/>
      <c r="M14" s="94">
        <v>28</v>
      </c>
    </row>
    <row s="1646" customFormat="1" customHeight="1" ht="14.699999999999998">
      <c r="A15" s="1373"/>
      <c r="B15" s="1171"/>
      <c r="C15" s="387"/>
      <c r="D15" s="2487" t="str">
        <f>IF(org=0,"Не определено",org)</f>
        <v>ПАО "КГК"</v>
      </c>
      <c r="E15" s="2488"/>
      <c r="F15" s="2488"/>
      <c r="G15" s="2488"/>
      <c r="H15" s="2489"/>
      <c r="J15" s="863"/>
      <c r="K15" s="1635"/>
      <c r="L15" s="1635"/>
      <c r="M15" s="1642">
        <v>14</v>
      </c>
    </row>
    <row customHeight="1" ht="14.699999999999998">
      <c r="C16" s="107"/>
      <c r="D16" s="95"/>
      <c r="E16" s="106"/>
      <c r="F16" s="106"/>
      <c r="G16" s="106"/>
      <c r="H16" s="763"/>
      <c r="I16" s="204"/>
      <c r="M16" s="94">
        <v>14</v>
      </c>
    </row>
    <row s="1646" customFormat="1" customHeight="1" ht="14.25" hidden="1">
      <c r="A17" s="1373"/>
      <c r="B17" s="1171"/>
      <c r="C17" s="387"/>
      <c r="D17" s="374"/>
      <c r="E17" s="400"/>
      <c r="F17" s="400"/>
      <c r="G17" s="400"/>
      <c r="H17" s="763"/>
      <c r="I17" s="204"/>
      <c r="K17" s="1635"/>
      <c r="L17" s="1635"/>
      <c r="M17" s="1642">
        <v>0</v>
      </c>
    </row>
    <row customHeight="1" ht="22.049999999999997">
      <c r="C18" s="107"/>
      <c r="D18" s="2239" t="s">
        <v>314</v>
      </c>
      <c r="E18" s="2239"/>
      <c r="F18" s="2239"/>
      <c r="G18" s="2239"/>
      <c r="H18" s="2239"/>
      <c r="I18" s="2419" t="s">
        <v>315</v>
      </c>
      <c r="M18" s="94">
        <v>21</v>
      </c>
    </row>
    <row customHeight="1" ht="22.049999999999997">
      <c r="C19" s="107"/>
      <c r="D19" s="116" t="s">
        <v>89</v>
      </c>
      <c r="E19" s="119" t="s">
        <v>316</v>
      </c>
      <c r="F19" s="119"/>
      <c r="G19" s="119" t="s">
        <v>317</v>
      </c>
      <c r="H19" s="119" t="s">
        <v>404</v>
      </c>
      <c r="I19" s="2419"/>
      <c r="M19" s="94">
        <v>21</v>
      </c>
    </row>
    <row customHeight="1" ht="12" hidden="1">
      <c r="C20" s="107"/>
      <c r="D20" s="98"/>
      <c r="E20" s="98"/>
      <c r="F20" s="98"/>
      <c r="G20" s="98"/>
      <c r="H20" s="98"/>
      <c r="I20" s="98"/>
      <c r="M20" s="94">
        <v>0</v>
      </c>
    </row>
    <row customHeight="1" ht="14.699999999999998">
      <c r="A21" s="1693"/>
      <c r="C21" s="107"/>
      <c r="D21" s="158">
        <v>1</v>
      </c>
      <c r="E21" s="2491" t="s">
        <v>1408</v>
      </c>
      <c r="F21" s="2491"/>
      <c r="G21" s="2491"/>
      <c r="H21" s="2491"/>
      <c r="I21" s="219"/>
      <c r="M21" s="94">
        <v>14</v>
      </c>
    </row>
    <row customHeight="1" ht="21">
      <c r="A22" s="1693"/>
      <c r="C22" s="107"/>
      <c r="D22" s="158" t="s">
        <v>675</v>
      </c>
      <c r="E22" s="205" t="s">
        <v>1409</v>
      </c>
      <c r="F22" s="209"/>
      <c r="G22" s="1747"/>
      <c r="H22" s="209" t="s">
        <v>320</v>
      </c>
      <c r="I22" s="162" t="s">
        <v>1410</v>
      </c>
      <c r="M22" s="94">
        <v>20</v>
      </c>
    </row>
    <row customHeight="1" ht="60">
      <c r="A23" s="1693"/>
      <c r="C23" s="107"/>
      <c r="D23" s="158" t="s">
        <v>1285</v>
      </c>
      <c r="E23" s="205" t="s">
        <v>1411</v>
      </c>
      <c r="F23" s="209"/>
      <c r="G23" s="268"/>
      <c r="H23" s="224"/>
      <c r="I23" s="269" t="s">
        <v>1412</v>
      </c>
      <c r="M23" s="94">
        <v>57</v>
      </c>
    </row>
    <row customHeight="1" ht="14.699999999999998">
      <c r="A24" s="1693"/>
      <c r="B24" s="157">
        <v>3</v>
      </c>
      <c r="C24" s="107"/>
      <c r="D24" s="158">
        <v>2</v>
      </c>
      <c r="E24" s="23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9"/>
      <c r="G24" s="209" t="s">
        <v>320</v>
      </c>
      <c r="H24" s="224"/>
      <c r="I24" s="270" t="s">
        <v>706</v>
      </c>
      <c r="M24" s="94">
        <v>14</v>
      </c>
    </row>
    <row customHeight="1" ht="48.29999999999999">
      <c r="A25" s="1693"/>
      <c r="C25" s="107"/>
      <c r="D25" s="158">
        <v>3</v>
      </c>
      <c r="E25" s="249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90"/>
      <c r="G25" s="2490"/>
      <c r="H25" s="2490"/>
      <c r="I25" s="267"/>
      <c r="M25" s="94">
        <v>46</v>
      </c>
    </row>
    <row customHeight="1" ht="14.699999999999998">
      <c r="A26" s="1693"/>
      <c r="C26" s="107"/>
      <c r="D26" s="158" t="s">
        <v>338</v>
      </c>
      <c r="E26" s="210"/>
      <c r="F26" s="209"/>
      <c r="G26" s="209" t="s">
        <v>320</v>
      </c>
      <c r="H26" s="224"/>
      <c r="I26" s="2199" t="s">
        <v>1413</v>
      </c>
      <c r="M26" s="94">
        <v>14</v>
      </c>
    </row>
    <row customHeight="1" ht="15.75">
      <c r="A27" s="1693" t="s">
        <v>120</v>
      </c>
      <c r="C27" s="107"/>
      <c r="D27" s="120"/>
      <c r="E27" s="214" t="s">
        <v>336</v>
      </c>
      <c r="F27" s="215"/>
      <c r="G27" s="215"/>
      <c r="H27" s="212"/>
      <c r="I27" s="2201"/>
      <c r="M27" s="94">
        <v>15</v>
      </c>
    </row>
    <row customHeight="1" ht="39.75">
      <c r="A28" s="1693"/>
      <c r="B28" s="157">
        <v>3</v>
      </c>
      <c r="C28" s="107"/>
      <c r="D28" s="158">
        <v>4</v>
      </c>
      <c r="E28" s="249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90"/>
      <c r="G28" s="2490"/>
      <c r="H28" s="2490"/>
      <c r="I28" s="267"/>
      <c r="M28" s="94">
        <v>38</v>
      </c>
    </row>
    <row customHeight="1" ht="21">
      <c r="A29" s="1693"/>
      <c r="C29" s="107"/>
      <c r="D29" s="158" t="s">
        <v>834</v>
      </c>
      <c r="E29" s="216" t="s">
        <v>1403</v>
      </c>
      <c r="F29" s="209"/>
      <c r="G29" s="268"/>
      <c r="H29" s="209" t="s">
        <v>320</v>
      </c>
      <c r="I29" s="2199" t="s">
        <v>1414</v>
      </c>
      <c r="M29" s="94">
        <v>20</v>
      </c>
    </row>
    <row customHeight="1" ht="15.75">
      <c r="A30" s="1693" t="s">
        <v>104</v>
      </c>
      <c r="C30" s="107"/>
      <c r="D30" s="120"/>
      <c r="E30" s="214" t="s">
        <v>336</v>
      </c>
      <c r="F30" s="215"/>
      <c r="G30" s="215"/>
      <c r="H30" s="212"/>
      <c r="I30" s="2201"/>
      <c r="M30" s="94">
        <v>15</v>
      </c>
    </row>
    <row customHeight="1" ht="31.5">
      <c r="A31" s="1693"/>
      <c r="B31" s="157">
        <v>3</v>
      </c>
      <c r="C31" s="107"/>
      <c r="D31" s="158">
        <v>5</v>
      </c>
      <c r="E31" s="249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90"/>
      <c r="G31" s="2490"/>
      <c r="H31" s="2490"/>
      <c r="I31" s="267"/>
      <c r="M31" s="94">
        <v>30</v>
      </c>
    </row>
    <row customHeight="1" ht="27.299999999999997">
      <c r="A32" s="1693"/>
      <c r="C32" s="107"/>
      <c r="D32" s="158" t="s">
        <v>327</v>
      </c>
      <c r="E32" s="243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33"/>
      <c r="G32" s="2433"/>
      <c r="H32" s="2433"/>
      <c r="I32" s="267"/>
      <c r="M32" s="94">
        <v>26</v>
      </c>
    </row>
    <row customHeight="1" ht="14.699999999999998">
      <c r="A33" s="1693"/>
      <c r="C33" s="107"/>
      <c r="D33" s="158" t="s">
        <v>1415</v>
      </c>
      <c r="E33" s="217" t="s">
        <v>1404</v>
      </c>
      <c r="F33" s="209"/>
      <c r="G33" s="268"/>
      <c r="H33" s="209" t="s">
        <v>320</v>
      </c>
      <c r="I33" s="2199" t="s">
        <v>1416</v>
      </c>
      <c r="M33" s="94">
        <v>14</v>
      </c>
    </row>
    <row customHeight="1" ht="15.75">
      <c r="A34" s="1693" t="s">
        <v>91</v>
      </c>
      <c r="C34" s="107"/>
      <c r="D34" s="120"/>
      <c r="E34" s="215" t="s">
        <v>336</v>
      </c>
      <c r="F34" s="211"/>
      <c r="G34" s="211"/>
      <c r="H34" s="212"/>
      <c r="I34" s="2201"/>
      <c r="M34" s="94">
        <v>15</v>
      </c>
    </row>
    <row customHeight="1" ht="25.2">
      <c r="A35" s="1693"/>
      <c r="C35" s="107"/>
      <c r="D35" s="158" t="s">
        <v>975</v>
      </c>
      <c r="E35" s="243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33"/>
      <c r="G35" s="2433"/>
      <c r="H35" s="2433"/>
      <c r="I35" s="267"/>
      <c r="M35" s="94">
        <v>24</v>
      </c>
    </row>
    <row customHeight="1" ht="14.699999999999998">
      <c r="A36" s="1693"/>
      <c r="C36" s="107"/>
      <c r="D36" s="158" t="s">
        <v>1417</v>
      </c>
      <c r="E36" s="217" t="s">
        <v>1405</v>
      </c>
      <c r="F36" s="209"/>
      <c r="G36" s="268"/>
      <c r="H36" s="209" t="s">
        <v>320</v>
      </c>
      <c r="I36" s="2173" t="s">
        <v>1418</v>
      </c>
      <c r="M36" s="94">
        <v>14</v>
      </c>
    </row>
    <row customHeight="1" ht="15.75">
      <c r="A37" s="1693" t="s">
        <v>92</v>
      </c>
      <c r="C37" s="107"/>
      <c r="D37" s="120"/>
      <c r="E37" s="215" t="s">
        <v>336</v>
      </c>
      <c r="F37" s="211"/>
      <c r="G37" s="211"/>
      <c r="H37" s="212"/>
      <c r="I37" s="2173"/>
      <c r="M37" s="94">
        <v>15</v>
      </c>
    </row>
    <row customHeight="1" ht="27.299999999999997">
      <c r="A38" s="1693"/>
      <c r="C38" s="107"/>
      <c r="D38" s="158" t="s">
        <v>976</v>
      </c>
      <c r="E38" s="243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33"/>
      <c r="G38" s="2433"/>
      <c r="H38" s="2433"/>
      <c r="I38" s="267"/>
      <c r="M38" s="94">
        <v>26</v>
      </c>
    </row>
    <row customHeight="1" ht="14.699999999999998">
      <c r="A39" s="1693"/>
      <c r="C39" s="107"/>
      <c r="D39" s="158" t="s">
        <v>977</v>
      </c>
      <c r="E39" s="217" t="s">
        <v>1406</v>
      </c>
      <c r="F39" s="209"/>
      <c r="G39" s="218"/>
      <c r="H39" s="209" t="s">
        <v>320</v>
      </c>
      <c r="I39" s="2199" t="s">
        <v>1419</v>
      </c>
      <c r="L39" s="166" t="s">
        <v>1407</v>
      </c>
      <c r="M39" s="94">
        <v>14</v>
      </c>
    </row>
    <row customHeight="1" ht="15.75">
      <c r="A40" s="1693" t="s">
        <v>121</v>
      </c>
      <c r="C40" s="107"/>
      <c r="D40" s="120"/>
      <c r="E40" s="215" t="s">
        <v>336</v>
      </c>
      <c r="F40" s="211"/>
      <c r="G40" s="211"/>
      <c r="H40" s="212"/>
      <c r="I40" s="2201"/>
      <c r="M40" s="94">
        <v>15</v>
      </c>
    </row>
    <row s="1833" customFormat="1" customHeight="1" ht="3">
      <c r="A41" s="1693"/>
      <c r="K41" s="207"/>
      <c r="L41" s="207"/>
      <c r="M41" s="151">
        <v>3</v>
      </c>
    </row>
    <row customHeight="1" ht="26.25">
      <c r="D42" s="1691" t="s">
        <v>896</v>
      </c>
      <c r="E42" s="231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15"/>
      <c r="G42" s="2315"/>
      <c r="H42" s="2315"/>
      <c r="I42" s="2315"/>
      <c r="M42" s="94">
        <v>25</v>
      </c>
    </row>
    <row customHeight="1" ht="22.5" hidden="1">
      <c r="A43" s="1373" t="s">
        <v>83</v>
      </c>
      <c r="B43" s="157">
        <v>0</v>
      </c>
      <c r="C43" s="108">
        <v>3</v>
      </c>
      <c r="D43" s="94">
        <v>6</v>
      </c>
      <c r="E43" s="94">
        <v>63</v>
      </c>
      <c r="F43" s="94">
        <v>0</v>
      </c>
      <c r="G43" s="94">
        <v>35</v>
      </c>
      <c r="H43" s="94">
        <v>35</v>
      </c>
      <c r="I43" s="94">
        <v>91</v>
      </c>
      <c r="J43" s="94">
        <v>68</v>
      </c>
      <c r="K43" s="166">
        <v>10</v>
      </c>
      <c r="L43" s="166">
        <v>10</v>
      </c>
      <c r="M43" s="9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579648-0BC8-E2A8-2408-8ECDC0B6C55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9" width="25.140625" hidden="1" customWidth="1"/>
    <col min="3" max="3" style="1697" width="9.140625" hidden="1" customWidth="1"/>
    <col min="4" max="4" style="355" width="3.00390625" customWidth="1"/>
    <col min="5" max="5" style="1646" width="6.00390625" customWidth="1"/>
    <col min="6" max="6" style="1646" width="46.7109375" customWidth="1"/>
    <col min="7" max="7" style="1646" width="35.00390625" customWidth="1"/>
    <col min="8" max="8" style="1646" width="3.00390625" customWidth="1"/>
    <col min="9" max="10" style="1646" width="11.00390625" customWidth="1"/>
    <col min="11" max="12" style="1646" width="35.00390625" customWidth="1"/>
    <col min="13" max="13" style="1646" width="84.00390625" customWidth="1"/>
    <col min="14" max="14" style="1646" width="10.00390625" customWidth="1"/>
    <col min="15" max="16" style="1635" width="10.00390625" customWidth="1"/>
    <col min="17" max="33" style="1646" width="10.00390625" customWidth="1"/>
    <col min="34" max="34" style="1646" width="10.57421875" hidden="1"/>
  </cols>
  <sheetData>
    <row s="1646" customFormat="1" customHeight="1" ht="22.5" hidden="1">
      <c r="A1" s="1789"/>
      <c r="B1" s="1789"/>
      <c r="C1" s="380"/>
      <c r="D1" s="355"/>
      <c r="N1" s="1647">
        <f>_xlfn.IFERROR(MATCH("метод экономически обоснованных расходов (затрат)",OFFER_METHOD,0),0)</f>
        <v>0</v>
      </c>
      <c r="O1" s="1635"/>
      <c r="P1" s="1635"/>
      <c r="T1" s="842"/>
      <c r="AG1" s="266"/>
      <c r="AH1" s="1642" t="s">
        <v>14</v>
      </c>
    </row>
    <row s="1646" customFormat="1" customHeight="1" ht="18.75" hidden="1">
      <c r="A2" s="1790" t="s">
        <v>171</v>
      </c>
      <c r="B2" s="1790" t="s">
        <v>172</v>
      </c>
      <c r="C2" s="380"/>
      <c r="D2" s="355"/>
      <c r="E2" s="1042"/>
      <c r="F2" s="1042"/>
      <c r="G2" s="2457" t="str">
        <f>INDEX(PT_DIFFERENTIATION_NTAR,MATCH(B2,PT_DIFFERENTIATION_NTAR_ID,0))</f>
        <v/>
      </c>
      <c r="H2" s="1872"/>
      <c r="I2" s="1749"/>
      <c r="J2" s="1783"/>
      <c r="K2" s="1873"/>
      <c r="L2" s="1872" t="s">
        <v>320</v>
      </c>
      <c r="M2" s="1883"/>
      <c r="N2" s="345"/>
      <c r="O2" s="1635"/>
      <c r="P2" s="1635"/>
      <c r="AH2" s="1642">
        <v>0</v>
      </c>
    </row>
    <row s="1646" customFormat="1" customHeight="1" ht="18.75" hidden="1">
      <c r="A3" s="1790"/>
      <c r="B3" s="1790"/>
      <c r="C3" s="380" t="s">
        <v>1420</v>
      </c>
      <c r="D3" s="355"/>
      <c r="E3" s="1042"/>
      <c r="F3" s="1042"/>
      <c r="G3" s="2457"/>
      <c r="H3" s="1511"/>
      <c r="I3" s="662" t="s">
        <v>1421</v>
      </c>
      <c r="J3" s="582"/>
      <c r="K3" s="1511"/>
      <c r="L3" s="225"/>
      <c r="M3" s="1883"/>
      <c r="N3" s="345"/>
      <c r="O3" s="1635"/>
      <c r="P3" s="1635"/>
      <c r="AH3" s="1642">
        <v>0</v>
      </c>
    </row>
    <row s="1646" customFormat="1" customHeight="1" ht="14.25" hidden="1">
      <c r="A4" s="1789"/>
      <c r="B4" s="1789"/>
      <c r="C4" s="380"/>
      <c r="D4" s="355"/>
      <c r="N4" s="1647">
        <f>_xlfn.IFERROR(MATCH("метод экономически обоснованных расходов (затрат)",OFFER_METHOD,0),0)</f>
        <v>0</v>
      </c>
      <c r="O4" s="1635"/>
      <c r="P4" s="1635"/>
      <c r="T4" s="842"/>
      <c r="AG4" s="266"/>
      <c r="AH4" s="1642">
        <v>0</v>
      </c>
    </row>
    <row s="1646" customFormat="1" customHeight="1" ht="18.75" hidden="1">
      <c r="A5" s="1790" t="s">
        <v>171</v>
      </c>
      <c r="B5" s="1790" t="s">
        <v>172</v>
      </c>
      <c r="C5" s="380"/>
      <c r="D5" s="355"/>
      <c r="E5" s="1042"/>
      <c r="F5" s="1042"/>
      <c r="G5" s="2457" t="str">
        <f>INDEX(PT_DIFFERENTIATION_NTAR,MATCH(B5,PT_DIFFERENTIATION_NTAR_ID,0))</f>
        <v/>
      </c>
      <c r="H5" s="1872"/>
      <c r="I5" s="1749"/>
      <c r="J5" s="1783"/>
      <c r="K5" s="1788"/>
      <c r="L5" s="1872" t="s">
        <v>320</v>
      </c>
      <c r="M5" s="1883"/>
      <c r="N5" s="345"/>
      <c r="O5" s="1635"/>
      <c r="P5" s="1635"/>
      <c r="AH5" s="1642">
        <v>0</v>
      </c>
    </row>
    <row s="1646" customFormat="1" customHeight="1" ht="18.75" hidden="1">
      <c r="A6" s="1790"/>
      <c r="B6" s="1790"/>
      <c r="C6" s="380" t="s">
        <v>1422</v>
      </c>
      <c r="D6" s="355"/>
      <c r="E6" s="1042"/>
      <c r="F6" s="1042"/>
      <c r="G6" s="2457"/>
      <c r="H6" s="1511"/>
      <c r="I6" s="662" t="s">
        <v>1421</v>
      </c>
      <c r="J6" s="582"/>
      <c r="K6" s="1511"/>
      <c r="L6" s="225"/>
      <c r="M6" s="1883"/>
      <c r="N6" s="345"/>
      <c r="O6" s="1635"/>
      <c r="P6" s="1635"/>
      <c r="AH6" s="1642">
        <v>0</v>
      </c>
    </row>
    <row s="1646" customFormat="1" customHeight="1" ht="14.25" hidden="1">
      <c r="A7" s="1789"/>
      <c r="B7" s="1789"/>
      <c r="C7" s="380"/>
      <c r="D7" s="355"/>
      <c r="N7" s="1647">
        <f>_xlfn.IFERROR(MATCH("метод экономически обоснованных расходов (затрат)",OFFER_METHOD,0),0)</f>
        <v>0</v>
      </c>
      <c r="O7" s="1635"/>
      <c r="P7" s="1635"/>
      <c r="T7" s="842"/>
      <c r="AG7" s="266"/>
      <c r="AH7" s="1642">
        <v>0</v>
      </c>
    </row>
    <row s="1646" customFormat="1" customHeight="1" ht="56.25" hidden="1">
      <c r="A8" s="1790"/>
      <c r="B8" s="1790"/>
      <c r="C8" s="380"/>
      <c r="D8" s="355"/>
      <c r="E8" s="1042"/>
      <c r="F8" s="1042"/>
      <c r="G8" s="1042"/>
      <c r="H8" s="1781"/>
      <c r="I8" s="1749"/>
      <c r="J8" s="1783"/>
      <c r="K8" s="1873"/>
      <c r="L8" s="1781" t="s">
        <v>320</v>
      </c>
      <c r="M8" s="1883"/>
      <c r="N8" s="345"/>
      <c r="O8" s="1635"/>
      <c r="P8" s="1635"/>
      <c r="AH8" s="1642">
        <v>0</v>
      </c>
    </row>
    <row customHeight="1" ht="14.25" hidden="1">
      <c r="T9" s="408"/>
      <c r="AG9" s="266"/>
      <c r="AH9" s="385">
        <v>0</v>
      </c>
    </row>
    <row s="1646" customFormat="1" customHeight="1" ht="56.25" hidden="1">
      <c r="A10" s="1790"/>
      <c r="B10" s="1790"/>
      <c r="C10" s="380"/>
      <c r="D10" s="355"/>
      <c r="E10" s="1042"/>
      <c r="F10" s="1042"/>
      <c r="G10" s="1042"/>
      <c r="H10" s="1780"/>
      <c r="I10" s="1749"/>
      <c r="J10" s="1783"/>
      <c r="K10" s="1788"/>
      <c r="L10" s="1781" t="s">
        <v>320</v>
      </c>
      <c r="M10" s="1883"/>
      <c r="N10" s="345"/>
      <c r="O10" s="1635"/>
      <c r="P10" s="1635"/>
      <c r="AH10" s="1642">
        <v>0</v>
      </c>
    </row>
    <row customHeight="1" ht="14.25" hidden="1">
      <c r="AH11" s="385">
        <v>0</v>
      </c>
    </row>
    <row customHeight="1" ht="14.25" hidden="1">
      <c r="AH12" s="385">
        <v>0</v>
      </c>
    </row>
    <row customHeight="1" ht="6.3">
      <c r="D13" s="387"/>
      <c r="E13" s="374"/>
      <c r="F13" s="374"/>
      <c r="G13" s="374"/>
      <c r="H13" s="374"/>
      <c r="I13" s="374"/>
      <c r="J13" s="374"/>
      <c r="K13" s="374"/>
      <c r="L13" s="96"/>
      <c r="M13" s="96"/>
      <c r="AH13" s="385">
        <v>6</v>
      </c>
    </row>
    <row customHeight="1" ht="14.699999999999998">
      <c r="D14" s="387"/>
      <c r="E14" s="249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95"/>
      <c r="G14" s="2495"/>
      <c r="H14" s="2495"/>
      <c r="I14" s="2495"/>
      <c r="J14" s="2495"/>
      <c r="K14" s="2495"/>
      <c r="L14" s="2495"/>
      <c r="M14" s="231"/>
      <c r="AH14" s="385">
        <v>14</v>
      </c>
    </row>
    <row customHeight="1" ht="6.3">
      <c r="D15" s="387"/>
      <c r="E15" s="374"/>
      <c r="F15" s="400"/>
      <c r="G15" s="400"/>
      <c r="H15" s="400"/>
      <c r="I15" s="400"/>
      <c r="J15" s="400"/>
      <c r="K15" s="400"/>
      <c r="L15" s="333"/>
      <c r="M15" s="204"/>
      <c r="AH15" s="385">
        <v>6</v>
      </c>
    </row>
    <row customHeight="1" ht="24">
      <c r="D16" s="387"/>
      <c r="E16" s="374"/>
      <c r="F16" s="316" t="str">
        <f>"Дата подачи заявления об "&amp;IF(TITLE_DATE_PR_CHANGE="","утверждении","изменении")&amp;" тарифов"</f>
        <v>Дата подачи заявления об утверждении тарифов</v>
      </c>
      <c r="G16" s="2294" t="str">
        <f>IF(TITLE_DATE_PR_CHANGE="",IF(TITLE_DATE_PR="","",TITLE_DATE_PR),TITLE_DATE_PR_CHANGE)</f>
        <v/>
      </c>
      <c r="H16" s="2294"/>
      <c r="I16" s="2294"/>
      <c r="J16" s="2294"/>
      <c r="K16" s="2294"/>
      <c r="L16" s="2294"/>
      <c r="M16" s="409"/>
      <c r="N16" s="337"/>
      <c r="AH16" s="385">
        <v>23</v>
      </c>
    </row>
    <row customHeight="1" ht="24">
      <c r="D17" s="387"/>
      <c r="E17" s="374"/>
      <c r="F17" s="316" t="str">
        <f>"Номер подачи заявления об "&amp;IF(TITLE_DATE_PR_CHANGE="","утверждении","изменении")&amp;" тарифов"</f>
        <v>Номер подачи заявления об утверждении тарифов</v>
      </c>
      <c r="G17" s="2281" t="str">
        <f>IF(TITLE_NUMBER_PR_CHANGE="",IF(TITLE_NUMBER_PR="","",TITLE_NUMBER_PR),TITLE_NUMBER_PR_CHANGE)</f>
        <v/>
      </c>
      <c r="H17" s="2281"/>
      <c r="I17" s="2281"/>
      <c r="J17" s="2281"/>
      <c r="K17" s="2281"/>
      <c r="L17" s="2281"/>
      <c r="M17" s="409"/>
      <c r="N17" s="337"/>
      <c r="AH17" s="385">
        <v>23</v>
      </c>
    </row>
    <row customHeight="1" ht="14.699999999999998">
      <c r="D18" s="387"/>
      <c r="E18" s="374"/>
      <c r="F18" s="400"/>
      <c r="G18" s="400"/>
      <c r="H18" s="400"/>
      <c r="I18" s="400"/>
      <c r="J18" s="400"/>
      <c r="K18" s="400"/>
      <c r="L18" s="763"/>
      <c r="M18" s="204"/>
      <c r="AH18" s="385">
        <v>14</v>
      </c>
    </row>
    <row customHeight="1" ht="22.049999999999997">
      <c r="D19" s="387"/>
      <c r="E19" s="2239" t="s">
        <v>314</v>
      </c>
      <c r="F19" s="2239"/>
      <c r="G19" s="2239"/>
      <c r="H19" s="2239"/>
      <c r="I19" s="2239"/>
      <c r="J19" s="2239"/>
      <c r="K19" s="2239"/>
      <c r="L19" s="2239"/>
      <c r="M19" s="2419" t="s">
        <v>315</v>
      </c>
      <c r="AH19" s="385">
        <v>21</v>
      </c>
    </row>
    <row customHeight="1" ht="22.049999999999997">
      <c r="D20" s="387"/>
      <c r="E20" s="2307" t="s">
        <v>89</v>
      </c>
      <c r="F20" s="2254" t="s">
        <v>138</v>
      </c>
      <c r="G20" s="2254" t="s">
        <v>139</v>
      </c>
      <c r="H20" s="2416" t="s">
        <v>1423</v>
      </c>
      <c r="I20" s="2417"/>
      <c r="J20" s="2463"/>
      <c r="K20" s="2254" t="s">
        <v>317</v>
      </c>
      <c r="L20" s="2254" t="s">
        <v>404</v>
      </c>
      <c r="M20" s="2419"/>
      <c r="AH20" s="385">
        <v>21</v>
      </c>
    </row>
    <row customHeight="1" ht="22.049999999999997">
      <c r="D21" s="387"/>
      <c r="E21" s="2309"/>
      <c r="F21" s="2255"/>
      <c r="G21" s="2255"/>
      <c r="H21" s="2248" t="s">
        <v>1424</v>
      </c>
      <c r="I21" s="2250"/>
      <c r="J21" s="119" t="s">
        <v>1425</v>
      </c>
      <c r="K21" s="2255"/>
      <c r="L21" s="2255"/>
      <c r="M21" s="2419"/>
      <c r="AH21" s="385">
        <v>21</v>
      </c>
    </row>
    <row customHeight="1" ht="12.75">
      <c r="D22" s="387"/>
      <c r="E22" s="292"/>
      <c r="F22" s="292"/>
      <c r="G22" s="292"/>
      <c r="H22" s="2497"/>
      <c r="I22" s="2497"/>
      <c r="J22" s="292"/>
      <c r="K22" s="292"/>
      <c r="L22" s="292"/>
      <c r="M22" s="292"/>
      <c r="AH22" s="385">
        <v>12</v>
      </c>
    </row>
    <row customHeight="1" ht="19.95">
      <c r="A23" s="1790"/>
      <c r="B23" s="1790"/>
      <c r="D23" s="387"/>
      <c r="E23" s="1874" t="s">
        <v>120</v>
      </c>
      <c r="F23" s="2498" t="str">
        <f>"Предлагаемый метод регулирования"&amp;IF(TEMPLATE_SPHERE="HEAT"," в сфере "&amp;TEMPLATE_SPHERE_RUS,"")</f>
        <v>Предлагаемый метод регулирования в сфере теплоснабжения</v>
      </c>
      <c r="G23" s="2499"/>
      <c r="H23" s="2491"/>
      <c r="I23" s="2491"/>
      <c r="J23" s="2491"/>
      <c r="K23" s="2499" t="s">
        <v>320</v>
      </c>
      <c r="L23" s="2491"/>
      <c r="M23" s="1779"/>
      <c r="N23" s="345"/>
      <c r="AH23" s="385">
        <v>19</v>
      </c>
    </row>
    <row customHeight="1" ht="60.75" hidden="1">
      <c r="A24" s="1790" t="s">
        <v>171</v>
      </c>
      <c r="B24" s="1790" t="s">
        <v>172</v>
      </c>
      <c r="D24" s="2496"/>
      <c r="E24" s="2234"/>
      <c r="F24" s="250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7" t="str">
        <f>INDEX(PT_DIFFERENTIATION_NTAR,MATCH(B24,PT_DIFFERENTIATION_NTAR_ID,0))</f>
        <v/>
      </c>
      <c r="H24" s="1870"/>
      <c r="I24" s="1749"/>
      <c r="J24" s="1783"/>
      <c r="K24" s="1873"/>
      <c r="L24" s="1778" t="s">
        <v>320</v>
      </c>
      <c r="M24" s="21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5"/>
      <c r="AH24" s="385">
        <v>0</v>
      </c>
    </row>
    <row s="1646" customFormat="1" customHeight="1" ht="18.75" hidden="1">
      <c r="A25" s="1790"/>
      <c r="B25" s="1790"/>
      <c r="C25" s="380" t="s">
        <v>1420</v>
      </c>
      <c r="D25" s="2496"/>
      <c r="E25" s="2234"/>
      <c r="F25" s="2500"/>
      <c r="G25" s="2457"/>
      <c r="H25" s="1511"/>
      <c r="I25" s="662" t="s">
        <v>1421</v>
      </c>
      <c r="J25" s="582"/>
      <c r="K25" s="1511"/>
      <c r="L25" s="225"/>
      <c r="M25" s="2200"/>
      <c r="N25" s="345"/>
      <c r="O25" s="1635"/>
      <c r="P25" s="1635"/>
      <c r="AH25" s="1642">
        <v>0</v>
      </c>
    </row>
    <row customHeight="1" ht="0.75" hidden="1">
      <c r="A26" s="1790"/>
      <c r="B26" s="1790"/>
      <c r="C26" s="380" t="s">
        <v>1426</v>
      </c>
      <c r="D26" s="2496"/>
      <c r="E26" s="2234"/>
      <c r="F26" s="2413"/>
      <c r="G26" s="411"/>
      <c r="H26" s="1511"/>
      <c r="I26" s="406"/>
      <c r="J26" s="360"/>
      <c r="K26" s="1511"/>
      <c r="L26" s="212"/>
      <c r="M26" s="2200"/>
      <c r="N26" s="345"/>
      <c r="AH26" s="385">
        <v>0</v>
      </c>
    </row>
    <row s="1646" customFormat="1" customHeight="1" ht="45" hidden="1">
      <c r="A27" s="1790" t="s">
        <v>176</v>
      </c>
      <c r="B27" s="1790" t="s">
        <v>177</v>
      </c>
      <c r="C27" s="380"/>
      <c r="D27" s="2492"/>
      <c r="E27" s="2493"/>
      <c r="F27" s="2494" t="str">
        <f>INDEX(PT_DIFFERENTIATION_VTAR,MATCH(A27,PT_DIFFERENTIATION_VTAR_ID,0))</f>
        <v/>
      </c>
      <c r="G27" s="2457" t="str">
        <f>INDEX(PT_DIFFERENTIATION_NTAR,MATCH(B27,PT_DIFFERENTIATION_NTAR_ID,0))</f>
        <v/>
      </c>
      <c r="H27" s="1870"/>
      <c r="I27" s="1749"/>
      <c r="J27" s="1783"/>
      <c r="K27" s="1873"/>
      <c r="L27" s="1870" t="s">
        <v>320</v>
      </c>
      <c r="M27" s="2200"/>
      <c r="N27" s="345"/>
      <c r="O27" s="1635"/>
      <c r="P27" s="1635"/>
      <c r="AH27" s="1642">
        <v>0</v>
      </c>
    </row>
    <row s="1646" customFormat="1" customHeight="1" ht="18.75" hidden="1">
      <c r="A28" s="1790"/>
      <c r="B28" s="1790"/>
      <c r="C28" s="380" t="s">
        <v>1420</v>
      </c>
      <c r="D28" s="2492"/>
      <c r="E28" s="2493"/>
      <c r="F28" s="2494"/>
      <c r="G28" s="2457"/>
      <c r="H28" s="1511"/>
      <c r="I28" s="662" t="s">
        <v>1421</v>
      </c>
      <c r="J28" s="582"/>
      <c r="K28" s="1511"/>
      <c r="L28" s="225"/>
      <c r="M28" s="2200"/>
      <c r="N28" s="345"/>
      <c r="O28" s="1635"/>
      <c r="P28" s="1635"/>
      <c r="AH28" s="1642">
        <v>0</v>
      </c>
    </row>
    <row s="1646" customFormat="1" customHeight="1" ht="0.75" hidden="1">
      <c r="A29" s="1790"/>
      <c r="B29" s="1790"/>
      <c r="C29" s="380" t="s">
        <v>1426</v>
      </c>
      <c r="D29" s="2492"/>
      <c r="E29" s="2234"/>
      <c r="F29" s="2413"/>
      <c r="G29" s="411"/>
      <c r="H29" s="1511"/>
      <c r="I29" s="662"/>
      <c r="J29" s="582"/>
      <c r="K29" s="1511"/>
      <c r="L29" s="225"/>
      <c r="M29" s="2200"/>
      <c r="N29" s="345"/>
      <c r="O29" s="1635"/>
      <c r="P29" s="1635"/>
      <c r="AH29" s="1642">
        <v>0</v>
      </c>
    </row>
    <row s="1646" customFormat="1" customHeight="1" ht="45" hidden="1">
      <c r="A30" s="1790" t="s">
        <v>183</v>
      </c>
      <c r="B30" s="1790" t="s">
        <v>184</v>
      </c>
      <c r="C30" s="380"/>
      <c r="D30" s="2492"/>
      <c r="E30" s="2234"/>
      <c r="F30" s="241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7" t="str">
        <f>INDEX(PT_DIFFERENTIATION_NTAR,MATCH(B30,PT_DIFFERENTIATION_NTAR_ID,0))</f>
        <v/>
      </c>
      <c r="H30" s="1870"/>
      <c r="I30" s="1749"/>
      <c r="J30" s="1783"/>
      <c r="K30" s="1873"/>
      <c r="L30" s="1870" t="s">
        <v>320</v>
      </c>
      <c r="M30" s="2200"/>
      <c r="N30" s="345"/>
      <c r="O30" s="1635"/>
      <c r="P30" s="1635"/>
      <c r="AH30" s="1642">
        <v>0</v>
      </c>
    </row>
    <row s="1646" customFormat="1" customHeight="1" ht="18.75" hidden="1">
      <c r="A31" s="1790"/>
      <c r="B31" s="1790"/>
      <c r="C31" s="380" t="s">
        <v>1420</v>
      </c>
      <c r="D31" s="2492"/>
      <c r="E31" s="2234"/>
      <c r="F31" s="2413"/>
      <c r="G31" s="2457"/>
      <c r="H31" s="1511"/>
      <c r="I31" s="662" t="s">
        <v>1421</v>
      </c>
      <c r="J31" s="582"/>
      <c r="K31" s="1511"/>
      <c r="L31" s="225"/>
      <c r="M31" s="2200"/>
      <c r="N31" s="345"/>
      <c r="O31" s="1635"/>
      <c r="P31" s="1635"/>
      <c r="AH31" s="1642">
        <v>0</v>
      </c>
    </row>
    <row s="1646" customFormat="1" customHeight="1" ht="0.75" hidden="1">
      <c r="A32" s="1790"/>
      <c r="B32" s="1790"/>
      <c r="C32" s="380" t="s">
        <v>1426</v>
      </c>
      <c r="D32" s="2492"/>
      <c r="E32" s="2234"/>
      <c r="F32" s="2413"/>
      <c r="G32" s="411"/>
      <c r="H32" s="1511"/>
      <c r="I32" s="662"/>
      <c r="J32" s="582"/>
      <c r="K32" s="1511"/>
      <c r="L32" s="225"/>
      <c r="M32" s="2200"/>
      <c r="N32" s="345"/>
      <c r="O32" s="1635"/>
      <c r="P32" s="1635"/>
      <c r="AH32" s="1642">
        <v>0</v>
      </c>
    </row>
    <row s="1646" customFormat="1" customHeight="1" ht="45" hidden="1">
      <c r="A33" s="1790" t="s">
        <v>189</v>
      </c>
      <c r="B33" s="1790" t="s">
        <v>190</v>
      </c>
      <c r="C33" s="380"/>
      <c r="D33" s="2492"/>
      <c r="E33" s="2234"/>
      <c r="F33" s="241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7" t="str">
        <f>INDEX(PT_DIFFERENTIATION_NTAR,MATCH(B33,PT_DIFFERENTIATION_NTAR_ID,0))</f>
        <v/>
      </c>
      <c r="H33" s="1870"/>
      <c r="I33" s="1749"/>
      <c r="J33" s="1783"/>
      <c r="K33" s="1873"/>
      <c r="L33" s="1870" t="s">
        <v>320</v>
      </c>
      <c r="M33" s="2200"/>
      <c r="N33" s="345"/>
      <c r="O33" s="1635"/>
      <c r="P33" s="1635"/>
      <c r="AH33" s="1642">
        <v>0</v>
      </c>
    </row>
    <row s="1646" customFormat="1" customHeight="1" ht="18.75" hidden="1">
      <c r="A34" s="1790"/>
      <c r="B34" s="1790"/>
      <c r="C34" s="380" t="s">
        <v>1420</v>
      </c>
      <c r="D34" s="2492"/>
      <c r="E34" s="2234"/>
      <c r="F34" s="2413"/>
      <c r="G34" s="2457"/>
      <c r="H34" s="1511"/>
      <c r="I34" s="662" t="s">
        <v>1421</v>
      </c>
      <c r="J34" s="582"/>
      <c r="K34" s="1511"/>
      <c r="L34" s="225"/>
      <c r="M34" s="2200"/>
      <c r="N34" s="345"/>
      <c r="O34" s="1635"/>
      <c r="P34" s="1635"/>
      <c r="AH34" s="1642">
        <v>0</v>
      </c>
    </row>
    <row s="1646" customFormat="1" customHeight="1" ht="0.75" hidden="1">
      <c r="A35" s="1790"/>
      <c r="B35" s="1790"/>
      <c r="C35" s="380" t="s">
        <v>1426</v>
      </c>
      <c r="D35" s="2492"/>
      <c r="E35" s="2234"/>
      <c r="F35" s="2413"/>
      <c r="G35" s="411"/>
      <c r="H35" s="1511"/>
      <c r="I35" s="662"/>
      <c r="J35" s="582"/>
      <c r="K35" s="1511"/>
      <c r="L35" s="225"/>
      <c r="M35" s="2200"/>
      <c r="N35" s="345"/>
      <c r="O35" s="1635"/>
      <c r="P35" s="1635"/>
      <c r="AH35" s="1642">
        <v>0</v>
      </c>
    </row>
    <row s="1646" customFormat="1" customHeight="1" ht="18.75" hidden="1">
      <c r="A36" s="1790" t="s">
        <v>195</v>
      </c>
      <c r="B36" s="1790" t="s">
        <v>196</v>
      </c>
      <c r="C36" s="380"/>
      <c r="D36" s="2492"/>
      <c r="E36" s="2234"/>
      <c r="F36" s="2413" t="str">
        <f>INDEX(PT_DIFFERENTIATION_VTAR,MATCH(A36,PT_DIFFERENTIATION_VTAR_ID,0))</f>
        <v>Тарифы на услуги по передаче тепловой энергии</v>
      </c>
      <c r="G36" s="2457" t="str">
        <f>INDEX(PT_DIFFERENTIATION_NTAR,MATCH(B36,PT_DIFFERENTIATION_NTAR_ID,0))</f>
        <v/>
      </c>
      <c r="H36" s="1870"/>
      <c r="I36" s="1749"/>
      <c r="J36" s="1783"/>
      <c r="K36" s="1873"/>
      <c r="L36" s="1870" t="s">
        <v>320</v>
      </c>
      <c r="M36" s="2200"/>
      <c r="N36" s="345"/>
      <c r="O36" s="1635"/>
      <c r="P36" s="1635"/>
      <c r="AH36" s="1642">
        <v>0</v>
      </c>
    </row>
    <row s="1646" customFormat="1" customHeight="1" ht="18.75" hidden="1">
      <c r="A37" s="1790"/>
      <c r="B37" s="1790"/>
      <c r="C37" s="380" t="s">
        <v>1420</v>
      </c>
      <c r="D37" s="2492"/>
      <c r="E37" s="2234"/>
      <c r="F37" s="2413"/>
      <c r="G37" s="2457"/>
      <c r="H37" s="1511"/>
      <c r="I37" s="662" t="s">
        <v>1421</v>
      </c>
      <c r="J37" s="582"/>
      <c r="K37" s="1511"/>
      <c r="L37" s="225"/>
      <c r="M37" s="2200"/>
      <c r="N37" s="345"/>
      <c r="O37" s="1635"/>
      <c r="P37" s="1635"/>
      <c r="AH37" s="1642">
        <v>0</v>
      </c>
    </row>
    <row s="1646" customFormat="1" customHeight="1" ht="0.75" hidden="1">
      <c r="A38" s="1790"/>
      <c r="B38" s="1790"/>
      <c r="C38" s="380" t="s">
        <v>1426</v>
      </c>
      <c r="D38" s="2492"/>
      <c r="E38" s="2234"/>
      <c r="F38" s="2413"/>
      <c r="G38" s="411"/>
      <c r="H38" s="1511"/>
      <c r="I38" s="662"/>
      <c r="J38" s="582"/>
      <c r="K38" s="1511"/>
      <c r="L38" s="225"/>
      <c r="M38" s="2200"/>
      <c r="N38" s="345"/>
      <c r="O38" s="1635"/>
      <c r="P38" s="1635"/>
      <c r="AH38" s="1642">
        <v>0</v>
      </c>
    </row>
    <row s="1646" customFormat="1" customHeight="1" ht="18.75" hidden="1">
      <c r="A39" s="1790" t="s">
        <v>201</v>
      </c>
      <c r="B39" s="1790" t="s">
        <v>202</v>
      </c>
      <c r="C39" s="380"/>
      <c r="D39" s="2492"/>
      <c r="E39" s="2234"/>
      <c r="F39" s="2413" t="str">
        <f>INDEX(PT_DIFFERENTIATION_VTAR,MATCH(A39,PT_DIFFERENTIATION_VTAR_ID,0))</f>
        <v>Тарифы на услуги по передаче теплоносителя</v>
      </c>
      <c r="G39" s="2457" t="str">
        <f>INDEX(PT_DIFFERENTIATION_NTAR,MATCH(B39,PT_DIFFERENTIATION_NTAR_ID,0))</f>
        <v/>
      </c>
      <c r="H39" s="1870"/>
      <c r="I39" s="1749"/>
      <c r="J39" s="1783"/>
      <c r="K39" s="1873"/>
      <c r="L39" s="1870" t="s">
        <v>320</v>
      </c>
      <c r="M39" s="2200"/>
      <c r="N39" s="345"/>
      <c r="O39" s="1635"/>
      <c r="P39" s="1635"/>
      <c r="AH39" s="1642">
        <v>0</v>
      </c>
    </row>
    <row s="1646" customFormat="1" customHeight="1" ht="18.75" hidden="1">
      <c r="A40" s="1790"/>
      <c r="B40" s="1790"/>
      <c r="C40" s="380" t="s">
        <v>1420</v>
      </c>
      <c r="D40" s="2492"/>
      <c r="E40" s="2234"/>
      <c r="F40" s="2413"/>
      <c r="G40" s="2457"/>
      <c r="H40" s="1511"/>
      <c r="I40" s="662" t="s">
        <v>1421</v>
      </c>
      <c r="J40" s="582"/>
      <c r="K40" s="1511"/>
      <c r="L40" s="225"/>
      <c r="M40" s="2200"/>
      <c r="N40" s="345"/>
      <c r="O40" s="1635"/>
      <c r="P40" s="1635"/>
      <c r="AH40" s="1642">
        <v>0</v>
      </c>
    </row>
    <row s="1646" customFormat="1" customHeight="1" ht="0.75" hidden="1">
      <c r="A41" s="1790"/>
      <c r="B41" s="1790"/>
      <c r="C41" s="380" t="s">
        <v>1426</v>
      </c>
      <c r="D41" s="2492"/>
      <c r="E41" s="2234"/>
      <c r="F41" s="2413"/>
      <c r="G41" s="411"/>
      <c r="H41" s="1511"/>
      <c r="I41" s="662"/>
      <c r="J41" s="582"/>
      <c r="K41" s="1511"/>
      <c r="L41" s="225"/>
      <c r="M41" s="2200"/>
      <c r="N41" s="345"/>
      <c r="O41" s="1635"/>
      <c r="P41" s="1635"/>
      <c r="AH41" s="1642">
        <v>0</v>
      </c>
    </row>
    <row s="1646" customFormat="1" customHeight="1" ht="18.75" hidden="1">
      <c r="A42" s="1790" t="s">
        <v>207</v>
      </c>
      <c r="B42" s="1790" t="s">
        <v>208</v>
      </c>
      <c r="C42" s="380"/>
      <c r="D42" s="2492"/>
      <c r="E42" s="2234"/>
      <c r="F42" s="241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7" t="str">
        <f>INDEX(PT_DIFFERENTIATION_NTAR,MATCH(B42,PT_DIFFERENTIATION_NTAR_ID,0))</f>
        <v/>
      </c>
      <c r="H42" s="1870"/>
      <c r="I42" s="1749"/>
      <c r="J42" s="1783"/>
      <c r="K42" s="1873"/>
      <c r="L42" s="1870" t="s">
        <v>320</v>
      </c>
      <c r="M42" s="2200"/>
      <c r="N42" s="345"/>
      <c r="O42" s="1635"/>
      <c r="P42" s="1635"/>
      <c r="AH42" s="1642">
        <v>0</v>
      </c>
    </row>
    <row s="1646" customFormat="1" customHeight="1" ht="18.75" hidden="1">
      <c r="A43" s="1790"/>
      <c r="B43" s="1790"/>
      <c r="C43" s="380" t="s">
        <v>1420</v>
      </c>
      <c r="D43" s="2492"/>
      <c r="E43" s="2234"/>
      <c r="F43" s="2413"/>
      <c r="G43" s="2457"/>
      <c r="H43" s="1511"/>
      <c r="I43" s="662" t="s">
        <v>1421</v>
      </c>
      <c r="J43" s="582"/>
      <c r="K43" s="1511"/>
      <c r="L43" s="225"/>
      <c r="M43" s="2200"/>
      <c r="N43" s="345"/>
      <c r="O43" s="1635"/>
      <c r="P43" s="1635"/>
      <c r="AH43" s="1642">
        <v>0</v>
      </c>
    </row>
    <row s="1646" customFormat="1" customHeight="1" ht="0.75" hidden="1">
      <c r="A44" s="1790"/>
      <c r="B44" s="1790"/>
      <c r="C44" s="380" t="s">
        <v>1426</v>
      </c>
      <c r="D44" s="2492"/>
      <c r="E44" s="2234"/>
      <c r="F44" s="2413"/>
      <c r="G44" s="411"/>
      <c r="H44" s="1511"/>
      <c r="I44" s="662"/>
      <c r="J44" s="582"/>
      <c r="K44" s="1511"/>
      <c r="L44" s="225"/>
      <c r="M44" s="2200"/>
      <c r="N44" s="345"/>
      <c r="O44" s="1635"/>
      <c r="P44" s="1635"/>
      <c r="AH44" s="1642">
        <v>0</v>
      </c>
    </row>
    <row s="1646" customFormat="1" customHeight="1" ht="18.75" hidden="1">
      <c r="A45" s="1790" t="s">
        <v>213</v>
      </c>
      <c r="B45" s="1790" t="s">
        <v>214</v>
      </c>
      <c r="C45" s="380"/>
      <c r="D45" s="2492"/>
      <c r="E45" s="2234"/>
      <c r="F45" s="2413" t="str">
        <f>INDEX(PT_DIFFERENTIATION_VTAR,MATCH(A45,PT_DIFFERENTIATION_VTAR_ID,0))</f>
        <v>Плата за подключение (технологическое присоединение) к системе теплоснабжения</v>
      </c>
      <c r="G45" s="2457" t="str">
        <f>INDEX(PT_DIFFERENTIATION_NTAR,MATCH(B45,PT_DIFFERENTIATION_NTAR_ID,0))</f>
        <v/>
      </c>
      <c r="H45" s="1870"/>
      <c r="I45" s="2642"/>
      <c r="J45" s="2643"/>
      <c r="K45" s="566"/>
      <c r="L45" s="1870" t="s">
        <v>320</v>
      </c>
      <c r="M45" s="2200"/>
      <c r="N45" s="345"/>
      <c r="O45" s="1635"/>
      <c r="P45" s="1635"/>
      <c r="AH45" s="1642">
        <v>0</v>
      </c>
    </row>
    <row s="1646" customFormat="1" customHeight="1" ht="18.75" hidden="1">
      <c r="A46" s="1790"/>
      <c r="B46" s="1790"/>
      <c r="C46" s="380" t="s">
        <v>1420</v>
      </c>
      <c r="D46" s="2492"/>
      <c r="E46" s="2234"/>
      <c r="F46" s="2413"/>
      <c r="G46" s="2457"/>
      <c r="H46" s="1511"/>
      <c r="I46" s="662" t="s">
        <v>1421</v>
      </c>
      <c r="J46" s="582"/>
      <c r="K46" s="1511"/>
      <c r="L46" s="225"/>
      <c r="M46" s="2200"/>
      <c r="N46" s="345"/>
      <c r="O46" s="1635"/>
      <c r="P46" s="1635"/>
      <c r="AH46" s="1642">
        <v>0</v>
      </c>
    </row>
    <row s="1646" customFormat="1" customHeight="1" ht="0.75" hidden="1">
      <c r="A47" s="1790"/>
      <c r="B47" s="1790"/>
      <c r="C47" s="380" t="s">
        <v>1426</v>
      </c>
      <c r="D47" s="2492"/>
      <c r="E47" s="2234"/>
      <c r="F47" s="2413"/>
      <c r="G47" s="411"/>
      <c r="H47" s="1511"/>
      <c r="I47" s="662"/>
      <c r="J47" s="582"/>
      <c r="K47" s="1511"/>
      <c r="L47" s="225"/>
      <c r="M47" s="2200"/>
      <c r="N47" s="345"/>
      <c r="O47" s="1635"/>
      <c r="P47" s="1635"/>
      <c r="AH47" s="1642">
        <v>0</v>
      </c>
    </row>
    <row s="1646" customFormat="1" customHeight="1" ht="18.75" hidden="1">
      <c r="A48" s="1790" t="s">
        <v>219</v>
      </c>
      <c r="B48" s="1790" t="s">
        <v>220</v>
      </c>
      <c r="C48" s="380"/>
      <c r="D48" s="2492"/>
      <c r="E48" s="2234"/>
      <c r="F48" s="2413" t="str">
        <f>INDEX(PT_DIFFERENTIATION_VTAR,MATCH(A48,PT_DIFFERENTIATION_VTAR_ID,0))</f>
        <v>Плата за подключение (технологическое присоединение) к системе теплоснабжения (индивидуальная)</v>
      </c>
      <c r="G48" s="2457" t="str">
        <f>INDEX(PT_DIFFERENTIATION_NTAR,MATCH(B48,PT_DIFFERENTIATION_NTAR_ID,0))</f>
        <v/>
      </c>
      <c r="H48" s="1997"/>
      <c r="I48" s="2642"/>
      <c r="J48" s="2643"/>
      <c r="K48" s="566"/>
      <c r="L48" s="1997" t="s">
        <v>320</v>
      </c>
      <c r="M48" s="2200"/>
      <c r="N48" s="345"/>
      <c r="O48" s="1635"/>
      <c r="P48" s="1635"/>
      <c r="AH48" s="1642">
        <v>0</v>
      </c>
    </row>
    <row s="1646" customFormat="1" customHeight="1" ht="18.75" hidden="1">
      <c r="A49" s="1790"/>
      <c r="B49" s="1790"/>
      <c r="C49" s="380" t="s">
        <v>1420</v>
      </c>
      <c r="D49" s="2492"/>
      <c r="E49" s="2234"/>
      <c r="F49" s="2413"/>
      <c r="G49" s="2457"/>
      <c r="H49" s="1511"/>
      <c r="I49" s="662" t="s">
        <v>1421</v>
      </c>
      <c r="J49" s="582"/>
      <c r="K49" s="1511"/>
      <c r="L49" s="225"/>
      <c r="M49" s="2200"/>
      <c r="N49" s="345"/>
      <c r="O49" s="1635"/>
      <c r="P49" s="1635"/>
      <c r="AH49" s="1642">
        <v>0</v>
      </c>
    </row>
    <row s="1646" customFormat="1" customHeight="1" ht="0.75" hidden="1">
      <c r="A50" s="1790"/>
      <c r="B50" s="1790"/>
      <c r="C50" s="380" t="s">
        <v>1426</v>
      </c>
      <c r="D50" s="2492"/>
      <c r="E50" s="2234"/>
      <c r="F50" s="2413"/>
      <c r="G50" s="411"/>
      <c r="H50" s="1511"/>
      <c r="I50" s="662"/>
      <c r="J50" s="582"/>
      <c r="K50" s="1511"/>
      <c r="L50" s="225"/>
      <c r="M50" s="2200"/>
      <c r="N50" s="345"/>
      <c r="O50" s="1635"/>
      <c r="P50" s="1635"/>
      <c r="AH50" s="1642">
        <v>0</v>
      </c>
    </row>
    <row s="1646" customFormat="1" customHeight="1" ht="18.75" hidden="1">
      <c r="A51" s="1790" t="s">
        <v>239</v>
      </c>
      <c r="B51" s="1790" t="s">
        <v>240</v>
      </c>
      <c r="C51" s="380"/>
      <c r="D51" s="2492"/>
      <c r="E51" s="2234"/>
      <c r="F51" s="2413" t="str">
        <f>INDEX(PT_DIFFERENTIATION_VTAR,MATCH(A51,PT_DIFFERENTIATION_VTAR_ID,0))</f>
        <v>Тариф на питьевую воду (питьевое водоснабжение)</v>
      </c>
      <c r="G51" s="2457" t="str">
        <f>INDEX(PT_DIFFERENTIATION_NTAR,MATCH(B51,PT_DIFFERENTIATION_NTAR_ID,0))</f>
        <v/>
      </c>
      <c r="H51" s="1870"/>
      <c r="I51" s="1749"/>
      <c r="J51" s="1783"/>
      <c r="K51" s="1873"/>
      <c r="L51" s="1870" t="s">
        <v>320</v>
      </c>
      <c r="M51" s="2200"/>
      <c r="N51" s="345"/>
      <c r="O51" s="1635"/>
      <c r="P51" s="1635"/>
      <c r="AH51" s="1642">
        <v>0</v>
      </c>
    </row>
    <row s="1646" customFormat="1" customHeight="1" ht="18.75" hidden="1">
      <c r="A52" s="1790"/>
      <c r="B52" s="1790"/>
      <c r="C52" s="380" t="s">
        <v>1420</v>
      </c>
      <c r="D52" s="2492"/>
      <c r="E52" s="2234"/>
      <c r="F52" s="2413"/>
      <c r="G52" s="2457"/>
      <c r="H52" s="1511"/>
      <c r="I52" s="662" t="s">
        <v>1421</v>
      </c>
      <c r="J52" s="582"/>
      <c r="K52" s="1511"/>
      <c r="L52" s="225"/>
      <c r="M52" s="2200"/>
      <c r="N52" s="345"/>
      <c r="O52" s="1635"/>
      <c r="P52" s="1635"/>
      <c r="AH52" s="1642">
        <v>0</v>
      </c>
    </row>
    <row s="1646" customFormat="1" customHeight="1" ht="0.75" hidden="1">
      <c r="A53" s="1790"/>
      <c r="B53" s="1790"/>
      <c r="C53" s="380" t="s">
        <v>1426</v>
      </c>
      <c r="D53" s="2492"/>
      <c r="E53" s="2234"/>
      <c r="F53" s="2413"/>
      <c r="G53" s="411"/>
      <c r="H53" s="1511"/>
      <c r="I53" s="662"/>
      <c r="J53" s="582"/>
      <c r="K53" s="1511"/>
      <c r="L53" s="225"/>
      <c r="M53" s="2200"/>
      <c r="N53" s="345"/>
      <c r="O53" s="1635"/>
      <c r="P53" s="1635"/>
      <c r="AH53" s="1642">
        <v>0</v>
      </c>
    </row>
    <row s="1646" customFormat="1" customHeight="1" ht="18.75" hidden="1">
      <c r="A54" s="1790" t="s">
        <v>244</v>
      </c>
      <c r="B54" s="1790" t="s">
        <v>245</v>
      </c>
      <c r="C54" s="380"/>
      <c r="D54" s="2492"/>
      <c r="E54" s="2234"/>
      <c r="F54" s="2413" t="str">
        <f>INDEX(PT_DIFFERENTIATION_VTAR,MATCH(A54,PT_DIFFERENTIATION_VTAR_ID,0))</f>
        <v>Тариф на техническую воду</v>
      </c>
      <c r="G54" s="2457" t="str">
        <f>INDEX(PT_DIFFERENTIATION_NTAR,MATCH(B54,PT_DIFFERENTIATION_NTAR_ID,0))</f>
        <v/>
      </c>
      <c r="H54" s="1870"/>
      <c r="I54" s="1749"/>
      <c r="J54" s="1783"/>
      <c r="K54" s="1873"/>
      <c r="L54" s="1870" t="s">
        <v>320</v>
      </c>
      <c r="M54" s="2200"/>
      <c r="N54" s="345"/>
      <c r="O54" s="1635"/>
      <c r="P54" s="1635"/>
      <c r="AH54" s="1642">
        <v>0</v>
      </c>
    </row>
    <row s="1646" customFormat="1" customHeight="1" ht="18.75" hidden="1">
      <c r="A55" s="1790"/>
      <c r="B55" s="1790"/>
      <c r="C55" s="380" t="s">
        <v>1420</v>
      </c>
      <c r="D55" s="2492"/>
      <c r="E55" s="2234"/>
      <c r="F55" s="2413"/>
      <c r="G55" s="2457"/>
      <c r="H55" s="1511"/>
      <c r="I55" s="662" t="s">
        <v>1421</v>
      </c>
      <c r="J55" s="582"/>
      <c r="K55" s="1511"/>
      <c r="L55" s="225"/>
      <c r="M55" s="2200"/>
      <c r="N55" s="345"/>
      <c r="O55" s="1635"/>
      <c r="P55" s="1635"/>
      <c r="AH55" s="1642">
        <v>0</v>
      </c>
    </row>
    <row s="1646" customFormat="1" customHeight="1" ht="0.75" hidden="1">
      <c r="A56" s="1790"/>
      <c r="B56" s="1790"/>
      <c r="C56" s="380" t="s">
        <v>1426</v>
      </c>
      <c r="D56" s="2492"/>
      <c r="E56" s="2234"/>
      <c r="F56" s="2413"/>
      <c r="G56" s="411"/>
      <c r="H56" s="1511"/>
      <c r="I56" s="662"/>
      <c r="J56" s="582"/>
      <c r="K56" s="1511"/>
      <c r="L56" s="225"/>
      <c r="M56" s="2200"/>
      <c r="N56" s="345"/>
      <c r="O56" s="1635"/>
      <c r="P56" s="1635"/>
      <c r="AH56" s="1642">
        <v>0</v>
      </c>
    </row>
    <row s="1646" customFormat="1" customHeight="1" ht="18.75" hidden="1">
      <c r="A57" s="1790" t="s">
        <v>249</v>
      </c>
      <c r="B57" s="1790" t="s">
        <v>250</v>
      </c>
      <c r="C57" s="380"/>
      <c r="D57" s="2492"/>
      <c r="E57" s="2234"/>
      <c r="F57" s="2413" t="str">
        <f>INDEX(PT_DIFFERENTIATION_VTAR,MATCH(A57,PT_DIFFERENTIATION_VTAR_ID,0))</f>
        <v>Тариф на транспортировку воды</v>
      </c>
      <c r="G57" s="2457" t="str">
        <f>INDEX(PT_DIFFERENTIATION_NTAR,MATCH(B57,PT_DIFFERENTIATION_NTAR_ID,0))</f>
        <v/>
      </c>
      <c r="H57" s="1870"/>
      <c r="I57" s="1749"/>
      <c r="J57" s="1783"/>
      <c r="K57" s="1873"/>
      <c r="L57" s="1870" t="s">
        <v>320</v>
      </c>
      <c r="M57" s="2200"/>
      <c r="N57" s="345"/>
      <c r="O57" s="1635"/>
      <c r="P57" s="1635"/>
      <c r="AH57" s="1642">
        <v>0</v>
      </c>
    </row>
    <row s="1646" customFormat="1" customHeight="1" ht="18.75" hidden="1">
      <c r="A58" s="1790"/>
      <c r="B58" s="1790"/>
      <c r="C58" s="380" t="s">
        <v>1420</v>
      </c>
      <c r="D58" s="2492"/>
      <c r="E58" s="2234"/>
      <c r="F58" s="2413"/>
      <c r="G58" s="2457"/>
      <c r="H58" s="1511"/>
      <c r="I58" s="662" t="s">
        <v>1421</v>
      </c>
      <c r="J58" s="582"/>
      <c r="K58" s="1511"/>
      <c r="L58" s="225"/>
      <c r="M58" s="2200"/>
      <c r="N58" s="345"/>
      <c r="O58" s="1635"/>
      <c r="P58" s="1635"/>
      <c r="AH58" s="1642">
        <v>0</v>
      </c>
    </row>
    <row s="1646" customFormat="1" customHeight="1" ht="0.75" hidden="1">
      <c r="A59" s="1790"/>
      <c r="B59" s="1790"/>
      <c r="C59" s="380" t="s">
        <v>1426</v>
      </c>
      <c r="D59" s="2492"/>
      <c r="E59" s="2234"/>
      <c r="F59" s="2413"/>
      <c r="G59" s="411"/>
      <c r="H59" s="1511"/>
      <c r="I59" s="662"/>
      <c r="J59" s="582"/>
      <c r="K59" s="1511"/>
      <c r="L59" s="225"/>
      <c r="M59" s="2200"/>
      <c r="N59" s="345"/>
      <c r="O59" s="1635"/>
      <c r="P59" s="1635"/>
      <c r="AH59" s="1642">
        <v>0</v>
      </c>
    </row>
    <row s="1646" customFormat="1" customHeight="1" ht="18.75" hidden="1">
      <c r="A60" s="1790" t="s">
        <v>254</v>
      </c>
      <c r="B60" s="1790" t="s">
        <v>255</v>
      </c>
      <c r="C60" s="380"/>
      <c r="D60" s="2492"/>
      <c r="E60" s="2234"/>
      <c r="F60" s="2413" t="str">
        <f>INDEX(PT_DIFFERENTIATION_VTAR,MATCH(A60,PT_DIFFERENTIATION_VTAR_ID,0))</f>
        <v>Тариф на подвоз воды</v>
      </c>
      <c r="G60" s="2457" t="str">
        <f>INDEX(PT_DIFFERENTIATION_NTAR,MATCH(B60,PT_DIFFERENTIATION_NTAR_ID,0))</f>
        <v/>
      </c>
      <c r="H60" s="1870"/>
      <c r="I60" s="1749"/>
      <c r="J60" s="1783"/>
      <c r="K60" s="1873"/>
      <c r="L60" s="1870" t="s">
        <v>320</v>
      </c>
      <c r="M60" s="2200"/>
      <c r="N60" s="345"/>
      <c r="O60" s="1635"/>
      <c r="P60" s="1635"/>
      <c r="AH60" s="1642">
        <v>0</v>
      </c>
    </row>
    <row s="1646" customFormat="1" customHeight="1" ht="18.75" hidden="1">
      <c r="A61" s="1790"/>
      <c r="B61" s="1790"/>
      <c r="C61" s="380" t="s">
        <v>1420</v>
      </c>
      <c r="D61" s="2492"/>
      <c r="E61" s="2234"/>
      <c r="F61" s="2413"/>
      <c r="G61" s="2457"/>
      <c r="H61" s="1511"/>
      <c r="I61" s="662" t="s">
        <v>1421</v>
      </c>
      <c r="J61" s="582"/>
      <c r="K61" s="1511"/>
      <c r="L61" s="225"/>
      <c r="M61" s="2200"/>
      <c r="N61" s="345"/>
      <c r="O61" s="1635"/>
      <c r="P61" s="1635"/>
      <c r="AH61" s="1642">
        <v>0</v>
      </c>
    </row>
    <row s="1646" customFormat="1" customHeight="1" ht="0.75" hidden="1">
      <c r="A62" s="1790"/>
      <c r="B62" s="1790"/>
      <c r="C62" s="380" t="s">
        <v>1426</v>
      </c>
      <c r="D62" s="2492"/>
      <c r="E62" s="2234"/>
      <c r="F62" s="2413"/>
      <c r="G62" s="411"/>
      <c r="H62" s="1511"/>
      <c r="I62" s="662"/>
      <c r="J62" s="582"/>
      <c r="K62" s="1511"/>
      <c r="L62" s="225"/>
      <c r="M62" s="2200"/>
      <c r="N62" s="345"/>
      <c r="O62" s="1635"/>
      <c r="P62" s="1635"/>
      <c r="AH62" s="1642">
        <v>0</v>
      </c>
    </row>
    <row s="1646" customFormat="1" customHeight="1" ht="18.75" hidden="1">
      <c r="A63" s="1790" t="s">
        <v>259</v>
      </c>
      <c r="B63" s="1790" t="s">
        <v>260</v>
      </c>
      <c r="C63" s="380"/>
      <c r="D63" s="2492"/>
      <c r="E63" s="2234"/>
      <c r="F63" s="241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7" t="str">
        <f>INDEX(PT_DIFFERENTIATION_NTAR,MATCH(B63,PT_DIFFERENTIATION_NTAR_ID,0))</f>
        <v/>
      </c>
      <c r="H63" s="1870"/>
      <c r="I63" s="2642"/>
      <c r="J63" s="2643"/>
      <c r="K63" s="566"/>
      <c r="L63" s="1870" t="s">
        <v>320</v>
      </c>
      <c r="M63" s="2200"/>
      <c r="N63" s="345"/>
      <c r="O63" s="1635"/>
      <c r="P63" s="1635"/>
      <c r="AH63" s="1642">
        <v>0</v>
      </c>
    </row>
    <row s="1646" customFormat="1" customHeight="1" ht="18.75" hidden="1">
      <c r="A64" s="1790"/>
      <c r="B64" s="1790"/>
      <c r="C64" s="380" t="s">
        <v>1420</v>
      </c>
      <c r="D64" s="2492"/>
      <c r="E64" s="2234"/>
      <c r="F64" s="2413"/>
      <c r="G64" s="2457"/>
      <c r="H64" s="1511"/>
      <c r="I64" s="662" t="s">
        <v>1421</v>
      </c>
      <c r="J64" s="582"/>
      <c r="K64" s="1511"/>
      <c r="L64" s="225"/>
      <c r="M64" s="2200"/>
      <c r="N64" s="345"/>
      <c r="O64" s="1635"/>
      <c r="P64" s="1635"/>
      <c r="AH64" s="1642">
        <v>0</v>
      </c>
    </row>
    <row s="1646" customFormat="1" customHeight="1" ht="0.75" hidden="1">
      <c r="A65" s="1790"/>
      <c r="B65" s="1790"/>
      <c r="C65" s="380" t="s">
        <v>1426</v>
      </c>
      <c r="D65" s="2492"/>
      <c r="E65" s="2234"/>
      <c r="F65" s="2413"/>
      <c r="G65" s="411"/>
      <c r="H65" s="1511"/>
      <c r="I65" s="662"/>
      <c r="J65" s="582"/>
      <c r="K65" s="1511"/>
      <c r="L65" s="225"/>
      <c r="M65" s="2200"/>
      <c r="N65" s="345"/>
      <c r="O65" s="1635"/>
      <c r="P65" s="1635"/>
      <c r="AH65" s="1642">
        <v>0</v>
      </c>
    </row>
    <row s="1646" customFormat="1" customHeight="1" ht="18.75" hidden="1">
      <c r="A66" s="1790" t="s">
        <v>264</v>
      </c>
      <c r="B66" s="1790" t="s">
        <v>265</v>
      </c>
      <c r="C66" s="380"/>
      <c r="D66" s="2492"/>
      <c r="E66" s="2234"/>
      <c r="F66" s="2413" t="str">
        <f>INDEX(PT_DIFFERENTIATION_VTAR,MATCH(A66,PT_DIFFERENTIATION_VTAR_ID,0))</f>
        <v>Тариф на горячую воду (горячее водоснабжение)</v>
      </c>
      <c r="G66" s="2457" t="str">
        <f>INDEX(PT_DIFFERENTIATION_NTAR,MATCH(B66,PT_DIFFERENTIATION_NTAR_ID,0))</f>
        <v/>
      </c>
      <c r="H66" s="1870"/>
      <c r="I66" s="1749"/>
      <c r="J66" s="1783"/>
      <c r="K66" s="1873"/>
      <c r="L66" s="1870" t="s">
        <v>320</v>
      </c>
      <c r="M66" s="2200"/>
      <c r="N66" s="345"/>
      <c r="O66" s="1635"/>
      <c r="P66" s="1635"/>
      <c r="AH66" s="1642">
        <v>0</v>
      </c>
    </row>
    <row s="1646" customFormat="1" customHeight="1" ht="18.75" hidden="1">
      <c r="A67" s="1790"/>
      <c r="B67" s="1790"/>
      <c r="C67" s="380" t="s">
        <v>1420</v>
      </c>
      <c r="D67" s="2492"/>
      <c r="E67" s="2234"/>
      <c r="F67" s="2413"/>
      <c r="G67" s="2457"/>
      <c r="H67" s="1511"/>
      <c r="I67" s="662" t="s">
        <v>1421</v>
      </c>
      <c r="J67" s="582"/>
      <c r="K67" s="1511"/>
      <c r="L67" s="225"/>
      <c r="M67" s="2200"/>
      <c r="N67" s="345"/>
      <c r="O67" s="1635"/>
      <c r="P67" s="1635"/>
      <c r="AH67" s="1642">
        <v>0</v>
      </c>
    </row>
    <row s="1646" customFormat="1" customHeight="1" ht="0.75" hidden="1">
      <c r="A68" s="1790"/>
      <c r="B68" s="1790"/>
      <c r="C68" s="380" t="s">
        <v>1426</v>
      </c>
      <c r="D68" s="2492"/>
      <c r="E68" s="2234"/>
      <c r="F68" s="2413"/>
      <c r="G68" s="411"/>
      <c r="H68" s="1511"/>
      <c r="I68" s="662"/>
      <c r="J68" s="582"/>
      <c r="K68" s="1511"/>
      <c r="L68" s="225"/>
      <c r="M68" s="2200"/>
      <c r="N68" s="345"/>
      <c r="O68" s="1635"/>
      <c r="P68" s="1635"/>
      <c r="AH68" s="1642">
        <v>0</v>
      </c>
    </row>
    <row s="1646" customFormat="1" customHeight="1" ht="18.75" hidden="1">
      <c r="A69" s="1790" t="s">
        <v>269</v>
      </c>
      <c r="B69" s="1790" t="s">
        <v>270</v>
      </c>
      <c r="C69" s="380"/>
      <c r="D69" s="2492"/>
      <c r="E69" s="2234"/>
      <c r="F69" s="2413" t="str">
        <f>INDEX(PT_DIFFERENTIATION_VTAR,MATCH(A69,PT_DIFFERENTIATION_VTAR_ID,0))</f>
        <v>Тариф на транспортировку горячей воды</v>
      </c>
      <c r="G69" s="2457" t="str">
        <f>INDEX(PT_DIFFERENTIATION_NTAR,MATCH(B69,PT_DIFFERENTIATION_NTAR_ID,0))</f>
        <v/>
      </c>
      <c r="H69" s="1870"/>
      <c r="I69" s="1749"/>
      <c r="J69" s="1783"/>
      <c r="K69" s="1873"/>
      <c r="L69" s="1870" t="s">
        <v>320</v>
      </c>
      <c r="M69" s="2200"/>
      <c r="N69" s="345"/>
      <c r="O69" s="1635"/>
      <c r="P69" s="1635"/>
      <c r="AH69" s="1642">
        <v>0</v>
      </c>
    </row>
    <row s="1646" customFormat="1" customHeight="1" ht="18.75" hidden="1">
      <c r="A70" s="1790"/>
      <c r="B70" s="1790"/>
      <c r="C70" s="380" t="s">
        <v>1420</v>
      </c>
      <c r="D70" s="2492"/>
      <c r="E70" s="2234"/>
      <c r="F70" s="2413"/>
      <c r="G70" s="2457"/>
      <c r="H70" s="1511"/>
      <c r="I70" s="662" t="s">
        <v>1421</v>
      </c>
      <c r="J70" s="582"/>
      <c r="K70" s="1511"/>
      <c r="L70" s="225"/>
      <c r="M70" s="2200"/>
      <c r="N70" s="345"/>
      <c r="O70" s="1635"/>
      <c r="P70" s="1635"/>
      <c r="AH70" s="1642">
        <v>0</v>
      </c>
    </row>
    <row s="1646" customFormat="1" customHeight="1" ht="0.75" hidden="1">
      <c r="A71" s="1790"/>
      <c r="B71" s="1790"/>
      <c r="C71" s="380" t="s">
        <v>1426</v>
      </c>
      <c r="D71" s="2492"/>
      <c r="E71" s="2234"/>
      <c r="F71" s="2413"/>
      <c r="G71" s="411"/>
      <c r="H71" s="1511"/>
      <c r="I71" s="662"/>
      <c r="J71" s="582"/>
      <c r="K71" s="1511"/>
      <c r="L71" s="225"/>
      <c r="M71" s="2200"/>
      <c r="N71" s="345"/>
      <c r="O71" s="1635"/>
      <c r="P71" s="1635"/>
      <c r="AH71" s="1642">
        <v>0</v>
      </c>
    </row>
    <row s="1646" customFormat="1" customHeight="1" ht="18.75" hidden="1">
      <c r="A72" s="1790" t="s">
        <v>274</v>
      </c>
      <c r="B72" s="1790" t="s">
        <v>275</v>
      </c>
      <c r="C72" s="380"/>
      <c r="D72" s="2492"/>
      <c r="E72" s="2234"/>
      <c r="F72" s="2413" t="str">
        <f>INDEX(PT_DIFFERENTIATION_VTAR,MATCH(A72,PT_DIFFERENTIATION_VTAR_ID,0))</f>
        <v>Тариф на подключение (технологическое присоединение) к централизованной системе горячего водоснабжения</v>
      </c>
      <c r="G72" s="2457" t="str">
        <f>INDEX(PT_DIFFERENTIATION_NTAR,MATCH(B72,PT_DIFFERENTIATION_NTAR_ID,0))</f>
        <v/>
      </c>
      <c r="H72" s="1870"/>
      <c r="I72" s="2642"/>
      <c r="J72" s="2643"/>
      <c r="K72" s="566"/>
      <c r="L72" s="1870" t="s">
        <v>320</v>
      </c>
      <c r="M72" s="2200"/>
      <c r="N72" s="345"/>
      <c r="O72" s="1635"/>
      <c r="P72" s="1635"/>
      <c r="AH72" s="1642">
        <v>0</v>
      </c>
    </row>
    <row s="1646" customFormat="1" customHeight="1" ht="18.75" hidden="1">
      <c r="A73" s="1790"/>
      <c r="B73" s="1790"/>
      <c r="C73" s="380" t="s">
        <v>1420</v>
      </c>
      <c r="D73" s="2492"/>
      <c r="E73" s="2234"/>
      <c r="F73" s="2413"/>
      <c r="G73" s="2457"/>
      <c r="H73" s="1511"/>
      <c r="I73" s="662" t="s">
        <v>1421</v>
      </c>
      <c r="J73" s="582"/>
      <c r="K73" s="1511"/>
      <c r="L73" s="225"/>
      <c r="M73" s="2200"/>
      <c r="N73" s="345"/>
      <c r="O73" s="1635"/>
      <c r="P73" s="1635"/>
      <c r="AH73" s="1642">
        <v>0</v>
      </c>
    </row>
    <row s="1646" customFormat="1" customHeight="1" ht="0.75" hidden="1">
      <c r="A74" s="1790"/>
      <c r="B74" s="1790"/>
      <c r="C74" s="380" t="s">
        <v>1426</v>
      </c>
      <c r="D74" s="2492"/>
      <c r="E74" s="2234"/>
      <c r="F74" s="2413"/>
      <c r="G74" s="411"/>
      <c r="H74" s="1511"/>
      <c r="I74" s="662"/>
      <c r="J74" s="582"/>
      <c r="K74" s="1511"/>
      <c r="L74" s="225"/>
      <c r="M74" s="2200"/>
      <c r="N74" s="345"/>
      <c r="O74" s="1635"/>
      <c r="P74" s="1635"/>
      <c r="AH74" s="1642">
        <v>0</v>
      </c>
    </row>
    <row s="1646" customFormat="1" customHeight="1" ht="18.75" hidden="1">
      <c r="A75" s="1790" t="s">
        <v>279</v>
      </c>
      <c r="B75" s="1790" t="s">
        <v>280</v>
      </c>
      <c r="C75" s="380"/>
      <c r="D75" s="2492"/>
      <c r="E75" s="2234"/>
      <c r="F75" s="2413" t="str">
        <f>INDEX(PT_DIFFERENTIATION_VTAR,MATCH(A75,PT_DIFFERENTIATION_VTAR_ID,0))</f>
        <v>Тариф на водоотведение</v>
      </c>
      <c r="G75" s="2457" t="str">
        <f>INDEX(PT_DIFFERENTIATION_NTAR,MATCH(B75,PT_DIFFERENTIATION_NTAR_ID,0))</f>
        <v/>
      </c>
      <c r="H75" s="1870"/>
      <c r="I75" s="1749"/>
      <c r="J75" s="1783"/>
      <c r="K75" s="1873"/>
      <c r="L75" s="1870" t="s">
        <v>320</v>
      </c>
      <c r="M75" s="2200"/>
      <c r="N75" s="345"/>
      <c r="O75" s="1635"/>
      <c r="P75" s="1635"/>
      <c r="AH75" s="1642">
        <v>0</v>
      </c>
    </row>
    <row s="1646" customFormat="1" customHeight="1" ht="18.75" hidden="1">
      <c r="A76" s="1790"/>
      <c r="B76" s="1790"/>
      <c r="C76" s="380" t="s">
        <v>1420</v>
      </c>
      <c r="D76" s="2492"/>
      <c r="E76" s="2234"/>
      <c r="F76" s="2413"/>
      <c r="G76" s="2457"/>
      <c r="H76" s="1511"/>
      <c r="I76" s="662" t="s">
        <v>1421</v>
      </c>
      <c r="J76" s="582"/>
      <c r="K76" s="1511"/>
      <c r="L76" s="225"/>
      <c r="M76" s="2200"/>
      <c r="N76" s="345"/>
      <c r="O76" s="1635"/>
      <c r="P76" s="1635"/>
      <c r="AH76" s="1642">
        <v>0</v>
      </c>
    </row>
    <row s="1646" customFormat="1" customHeight="1" ht="0.75" hidden="1">
      <c r="A77" s="1790"/>
      <c r="B77" s="1790"/>
      <c r="C77" s="380" t="s">
        <v>1426</v>
      </c>
      <c r="D77" s="2492"/>
      <c r="E77" s="2234"/>
      <c r="F77" s="2413"/>
      <c r="G77" s="411"/>
      <c r="H77" s="1511"/>
      <c r="I77" s="662"/>
      <c r="J77" s="582"/>
      <c r="K77" s="1511"/>
      <c r="L77" s="225"/>
      <c r="M77" s="2200"/>
      <c r="N77" s="345"/>
      <c r="O77" s="1635"/>
      <c r="P77" s="1635"/>
      <c r="AH77" s="1642">
        <v>0</v>
      </c>
    </row>
    <row s="1646" customFormat="1" customHeight="1" ht="18.75" hidden="1">
      <c r="A78" s="1790" t="s">
        <v>284</v>
      </c>
      <c r="B78" s="1790" t="s">
        <v>285</v>
      </c>
      <c r="C78" s="380"/>
      <c r="D78" s="2492"/>
      <c r="E78" s="2234"/>
      <c r="F78" s="2413" t="str">
        <f>INDEX(PT_DIFFERENTIATION_VTAR,MATCH(A78,PT_DIFFERENTIATION_VTAR_ID,0))</f>
        <v>Тариф на транспортировку сточных вод</v>
      </c>
      <c r="G78" s="2457" t="str">
        <f>INDEX(PT_DIFFERENTIATION_NTAR,MATCH(B78,PT_DIFFERENTIATION_NTAR_ID,0))</f>
        <v/>
      </c>
      <c r="H78" s="1870"/>
      <c r="I78" s="1749"/>
      <c r="J78" s="1783"/>
      <c r="K78" s="1873"/>
      <c r="L78" s="1870" t="s">
        <v>320</v>
      </c>
      <c r="M78" s="2200"/>
      <c r="N78" s="345"/>
      <c r="O78" s="1635"/>
      <c r="P78" s="1635"/>
      <c r="AH78" s="1642">
        <v>0</v>
      </c>
    </row>
    <row s="1646" customFormat="1" customHeight="1" ht="18.75" hidden="1">
      <c r="A79" s="1790"/>
      <c r="B79" s="1790"/>
      <c r="C79" s="380" t="s">
        <v>1420</v>
      </c>
      <c r="D79" s="2492"/>
      <c r="E79" s="2234"/>
      <c r="F79" s="2413"/>
      <c r="G79" s="2457"/>
      <c r="H79" s="1511"/>
      <c r="I79" s="662" t="s">
        <v>1421</v>
      </c>
      <c r="J79" s="582"/>
      <c r="K79" s="1511"/>
      <c r="L79" s="225"/>
      <c r="M79" s="2200"/>
      <c r="N79" s="345"/>
      <c r="O79" s="1635"/>
      <c r="P79" s="1635"/>
      <c r="AH79" s="1642">
        <v>0</v>
      </c>
    </row>
    <row s="1646" customFormat="1" customHeight="1" ht="0.75" hidden="1">
      <c r="A80" s="1790"/>
      <c r="B80" s="1790"/>
      <c r="C80" s="380" t="s">
        <v>1426</v>
      </c>
      <c r="D80" s="2492"/>
      <c r="E80" s="2234"/>
      <c r="F80" s="2413"/>
      <c r="G80" s="411"/>
      <c r="H80" s="1511"/>
      <c r="I80" s="662"/>
      <c r="J80" s="582"/>
      <c r="K80" s="1511"/>
      <c r="L80" s="225"/>
      <c r="M80" s="2200"/>
      <c r="N80" s="345"/>
      <c r="O80" s="1635"/>
      <c r="P80" s="1635"/>
      <c r="AH80" s="1642">
        <v>0</v>
      </c>
    </row>
    <row s="1646" customFormat="1" customHeight="1" ht="18.75" hidden="1">
      <c r="A81" s="1790" t="s">
        <v>289</v>
      </c>
      <c r="B81" s="1790" t="s">
        <v>290</v>
      </c>
      <c r="C81" s="380"/>
      <c r="D81" s="2492"/>
      <c r="E81" s="2234"/>
      <c r="F81" s="2413" t="str">
        <f>INDEX(PT_DIFFERENTIATION_VTAR,MATCH(A81,PT_DIFFERENTIATION_VTAR_ID,0))</f>
        <v>Тариф на подключение (технологическое присоединение) к централизованной системе водоотведения</v>
      </c>
      <c r="G81" s="2457" t="str">
        <f>INDEX(PT_DIFFERENTIATION_NTAR,MATCH(B81,PT_DIFFERENTIATION_NTAR_ID,0))</f>
        <v/>
      </c>
      <c r="H81" s="1870"/>
      <c r="I81" s="2642"/>
      <c r="J81" s="2643"/>
      <c r="K81" s="566"/>
      <c r="L81" s="1870" t="s">
        <v>320</v>
      </c>
      <c r="M81" s="2200"/>
      <c r="N81" s="345"/>
      <c r="O81" s="1635"/>
      <c r="P81" s="1635"/>
      <c r="AH81" s="1642">
        <v>0</v>
      </c>
    </row>
    <row s="1646" customFormat="1" customHeight="1" ht="18.75" hidden="1">
      <c r="A82" s="1790"/>
      <c r="B82" s="1790"/>
      <c r="C82" s="380" t="s">
        <v>1420</v>
      </c>
      <c r="D82" s="2492"/>
      <c r="E82" s="2234"/>
      <c r="F82" s="2413"/>
      <c r="G82" s="2457"/>
      <c r="H82" s="1511"/>
      <c r="I82" s="662" t="s">
        <v>1421</v>
      </c>
      <c r="J82" s="582"/>
      <c r="K82" s="1511"/>
      <c r="L82" s="225"/>
      <c r="M82" s="2200"/>
      <c r="N82" s="345"/>
      <c r="O82" s="1635"/>
      <c r="P82" s="1635"/>
      <c r="AH82" s="1642">
        <v>0</v>
      </c>
    </row>
    <row s="1646" customFormat="1" customHeight="1" ht="1.05">
      <c r="A83" s="1790"/>
      <c r="B83" s="1790"/>
      <c r="C83" s="380" t="s">
        <v>1426</v>
      </c>
      <c r="D83" s="2492"/>
      <c r="E83" s="2234"/>
      <c r="F83" s="2413"/>
      <c r="G83" s="411"/>
      <c r="H83" s="1511"/>
      <c r="I83" s="662"/>
      <c r="J83" s="582"/>
      <c r="K83" s="1511"/>
      <c r="L83" s="225"/>
      <c r="M83" s="2200"/>
      <c r="N83" s="345"/>
      <c r="O83" s="1635"/>
      <c r="P83" s="1635"/>
      <c r="AH83" s="1642">
        <v>1</v>
      </c>
    </row>
    <row customHeight="1" ht="19.95">
      <c r="A84" s="1790"/>
      <c r="B84" s="1790"/>
      <c r="D84" s="387"/>
      <c r="E84" s="158" t="s">
        <v>104</v>
      </c>
      <c r="F84" s="249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90"/>
      <c r="H84" s="2490"/>
      <c r="I84" s="2490"/>
      <c r="J84" s="2490"/>
      <c r="K84" s="2490"/>
      <c r="L84" s="2490"/>
      <c r="M84" s="308"/>
      <c r="N84" s="345"/>
      <c r="AH84" s="385">
        <v>19</v>
      </c>
    </row>
    <row customHeight="1" ht="35.699999999999996">
      <c r="A85" s="1790"/>
      <c r="B85" s="1790"/>
      <c r="D85" s="387"/>
      <c r="E85" s="410"/>
      <c r="F85" s="209" t="s">
        <v>320</v>
      </c>
      <c r="G85" s="209" t="s">
        <v>320</v>
      </c>
      <c r="H85" s="2248" t="s">
        <v>320</v>
      </c>
      <c r="I85" s="2250"/>
      <c r="J85" s="209" t="s">
        <v>320</v>
      </c>
      <c r="K85" s="209" t="s">
        <v>320</v>
      </c>
      <c r="L85" s="412"/>
      <c r="M85" s="356" t="s">
        <v>1427</v>
      </c>
      <c r="N85" s="345"/>
      <c r="AH85" s="385">
        <v>34</v>
      </c>
    </row>
    <row customHeight="1" ht="19.95">
      <c r="A86" s="1790"/>
      <c r="B86" s="1790"/>
      <c r="D86" s="387"/>
      <c r="E86" s="158" t="s">
        <v>91</v>
      </c>
      <c r="F86" s="2490" t="s">
        <v>1428</v>
      </c>
      <c r="G86" s="2490"/>
      <c r="H86" s="2490"/>
      <c r="I86" s="2490"/>
      <c r="J86" s="2490"/>
      <c r="K86" s="2490"/>
      <c r="L86" s="2490"/>
      <c r="M86" s="308"/>
      <c r="N86" s="345"/>
      <c r="AH86" s="385">
        <v>19</v>
      </c>
    </row>
    <row s="1646" customFormat="1" customHeight="1" ht="60.75" hidden="1">
      <c r="A87" s="1790" t="s">
        <v>171</v>
      </c>
      <c r="B87" s="1790" t="s">
        <v>172</v>
      </c>
      <c r="C87" s="380"/>
      <c r="D87" s="2492"/>
      <c r="E87" s="2234"/>
      <c r="F87" s="241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7" t="str">
        <f>INDEX(PT_DIFFERENTIATION_NTAR,MATCH(B87,PT_DIFFERENTIATION_NTAR_ID,0))</f>
        <v/>
      </c>
      <c r="H87" s="1870"/>
      <c r="I87" s="1749"/>
      <c r="J87" s="1783"/>
      <c r="K87" s="1788"/>
      <c r="L87" s="1870" t="s">
        <v>320</v>
      </c>
      <c r="M87" s="21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5"/>
      <c r="O87" s="1635"/>
      <c r="P87" s="1635"/>
      <c r="AH87" s="1642">
        <v>0</v>
      </c>
    </row>
    <row s="1646" customFormat="1" customHeight="1" ht="18.75" hidden="1">
      <c r="A88" s="1790"/>
      <c r="B88" s="1790"/>
      <c r="C88" s="380" t="s">
        <v>1422</v>
      </c>
      <c r="D88" s="2492"/>
      <c r="E88" s="2234"/>
      <c r="F88" s="2413"/>
      <c r="G88" s="2457"/>
      <c r="H88" s="1511"/>
      <c r="I88" s="662" t="s">
        <v>1421</v>
      </c>
      <c r="J88" s="582"/>
      <c r="K88" s="1511"/>
      <c r="L88" s="225"/>
      <c r="M88" s="2200"/>
      <c r="N88" s="345"/>
      <c r="O88" s="1635"/>
      <c r="P88" s="1635"/>
      <c r="AH88" s="1642">
        <v>0</v>
      </c>
    </row>
    <row s="1646" customFormat="1" customHeight="1" ht="0.75" hidden="1">
      <c r="A89" s="1790"/>
      <c r="B89" s="1790"/>
      <c r="C89" s="380" t="s">
        <v>1429</v>
      </c>
      <c r="D89" s="2492"/>
      <c r="E89" s="2234"/>
      <c r="F89" s="2413"/>
      <c r="G89" s="411"/>
      <c r="H89" s="1511"/>
      <c r="I89" s="662"/>
      <c r="J89" s="582"/>
      <c r="K89" s="1511"/>
      <c r="L89" s="225"/>
      <c r="M89" s="2200"/>
      <c r="N89" s="345"/>
      <c r="O89" s="1635"/>
      <c r="P89" s="1635"/>
      <c r="AH89" s="1642">
        <v>0</v>
      </c>
    </row>
    <row s="1646" customFormat="1" customHeight="1" ht="45" hidden="1">
      <c r="A90" s="1790" t="s">
        <v>176</v>
      </c>
      <c r="B90" s="1790" t="s">
        <v>177</v>
      </c>
      <c r="C90" s="380"/>
      <c r="D90" s="2492"/>
      <c r="E90" s="2234"/>
      <c r="F90" s="2413" t="str">
        <f>INDEX(PT_DIFFERENTIATION_VTAR,MATCH(A90,PT_DIFFERENTIATION_VTAR_ID,0))</f>
        <v/>
      </c>
      <c r="G90" s="2457" t="str">
        <f>INDEX(PT_DIFFERENTIATION_NTAR,MATCH(B90,PT_DIFFERENTIATION_NTAR_ID,0))</f>
        <v/>
      </c>
      <c r="H90" s="1870"/>
      <c r="I90" s="1749"/>
      <c r="J90" s="1783"/>
      <c r="K90" s="1788"/>
      <c r="L90" s="1870" t="s">
        <v>320</v>
      </c>
      <c r="M90" s="2201"/>
      <c r="N90" s="345"/>
      <c r="O90" s="1635"/>
      <c r="P90" s="1635"/>
      <c r="AH90" s="1642">
        <v>0</v>
      </c>
    </row>
    <row s="1646" customFormat="1" customHeight="1" ht="18.75" hidden="1">
      <c r="A91" s="1790"/>
      <c r="B91" s="1790"/>
      <c r="C91" s="380" t="s">
        <v>1422</v>
      </c>
      <c r="D91" s="2492"/>
      <c r="E91" s="2234"/>
      <c r="F91" s="2413"/>
      <c r="G91" s="2457"/>
      <c r="H91" s="1511"/>
      <c r="I91" s="662" t="s">
        <v>1421</v>
      </c>
      <c r="J91" s="582"/>
      <c r="K91" s="1511"/>
      <c r="L91" s="225"/>
      <c r="M91" s="1869"/>
      <c r="N91" s="345"/>
      <c r="O91" s="1635"/>
      <c r="P91" s="1635"/>
      <c r="AH91" s="1642">
        <v>0</v>
      </c>
    </row>
    <row s="1646" customFormat="1" customHeight="1" ht="0.75" hidden="1">
      <c r="A92" s="1790"/>
      <c r="B92" s="1790"/>
      <c r="C92" s="380" t="s">
        <v>1429</v>
      </c>
      <c r="D92" s="2492"/>
      <c r="E92" s="2234"/>
      <c r="F92" s="2413"/>
      <c r="G92" s="411"/>
      <c r="H92" s="1511"/>
      <c r="I92" s="662"/>
      <c r="J92" s="582"/>
      <c r="K92" s="1511"/>
      <c r="L92" s="225"/>
      <c r="M92" s="352"/>
      <c r="N92" s="345"/>
      <c r="O92" s="1635"/>
      <c r="P92" s="1635"/>
      <c r="AH92" s="1642">
        <v>0</v>
      </c>
    </row>
    <row s="1646" customFormat="1" customHeight="1" ht="45" hidden="1">
      <c r="A93" s="1790" t="s">
        <v>183</v>
      </c>
      <c r="B93" s="1790" t="s">
        <v>184</v>
      </c>
      <c r="C93" s="380"/>
      <c r="D93" s="2492"/>
      <c r="E93" s="2234"/>
      <c r="F93" s="241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7" t="str">
        <f>INDEX(PT_DIFFERENTIATION_NTAR,MATCH(B93,PT_DIFFERENTIATION_NTAR_ID,0))</f>
        <v/>
      </c>
      <c r="H93" s="1870"/>
      <c r="I93" s="1749"/>
      <c r="J93" s="1783"/>
      <c r="K93" s="1788"/>
      <c r="L93" s="1870" t="s">
        <v>320</v>
      </c>
      <c r="M93" s="352"/>
      <c r="N93" s="345"/>
      <c r="O93" s="1635"/>
      <c r="P93" s="1635"/>
      <c r="AH93" s="1642">
        <v>0</v>
      </c>
    </row>
    <row s="1646" customFormat="1" customHeight="1" ht="18.75" hidden="1">
      <c r="A94" s="1790"/>
      <c r="B94" s="1790"/>
      <c r="C94" s="380" t="s">
        <v>1422</v>
      </c>
      <c r="D94" s="2492"/>
      <c r="E94" s="2234"/>
      <c r="F94" s="2413"/>
      <c r="G94" s="2457"/>
      <c r="H94" s="1511"/>
      <c r="I94" s="662" t="s">
        <v>1421</v>
      </c>
      <c r="J94" s="582"/>
      <c r="K94" s="1511"/>
      <c r="L94" s="225"/>
      <c r="M94" s="352"/>
      <c r="N94" s="345"/>
      <c r="O94" s="1635"/>
      <c r="P94" s="1635"/>
      <c r="AH94" s="1642">
        <v>0</v>
      </c>
    </row>
    <row s="1646" customFormat="1" customHeight="1" ht="0.75" hidden="1">
      <c r="A95" s="1790"/>
      <c r="B95" s="1790"/>
      <c r="C95" s="380" t="s">
        <v>1429</v>
      </c>
      <c r="D95" s="2492"/>
      <c r="E95" s="2234"/>
      <c r="F95" s="2413"/>
      <c r="G95" s="411"/>
      <c r="H95" s="1511"/>
      <c r="I95" s="662"/>
      <c r="J95" s="582"/>
      <c r="K95" s="1511"/>
      <c r="L95" s="225"/>
      <c r="M95" s="352"/>
      <c r="N95" s="345"/>
      <c r="O95" s="1635"/>
      <c r="P95" s="1635"/>
      <c r="AH95" s="1642">
        <v>0</v>
      </c>
    </row>
    <row s="1646" customFormat="1" customHeight="1" ht="45" hidden="1">
      <c r="A96" s="1790" t="s">
        <v>189</v>
      </c>
      <c r="B96" s="1790" t="s">
        <v>190</v>
      </c>
      <c r="C96" s="380"/>
      <c r="D96" s="2492"/>
      <c r="E96" s="2234"/>
      <c r="F96" s="241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7" t="str">
        <f>INDEX(PT_DIFFERENTIATION_NTAR,MATCH(B96,PT_DIFFERENTIATION_NTAR_ID,0))</f>
        <v/>
      </c>
      <c r="H96" s="1870"/>
      <c r="I96" s="1749"/>
      <c r="J96" s="1783"/>
      <c r="K96" s="1788"/>
      <c r="L96" s="1870" t="s">
        <v>320</v>
      </c>
      <c r="M96" s="352"/>
      <c r="N96" s="345"/>
      <c r="O96" s="1635"/>
      <c r="P96" s="1635"/>
      <c r="AH96" s="1642">
        <v>0</v>
      </c>
    </row>
    <row s="1646" customFormat="1" customHeight="1" ht="18.75" hidden="1">
      <c r="A97" s="1790"/>
      <c r="B97" s="1790"/>
      <c r="C97" s="380" t="s">
        <v>1422</v>
      </c>
      <c r="D97" s="2492"/>
      <c r="E97" s="2234"/>
      <c r="F97" s="2413"/>
      <c r="G97" s="2457"/>
      <c r="H97" s="1511"/>
      <c r="I97" s="662" t="s">
        <v>1421</v>
      </c>
      <c r="J97" s="582"/>
      <c r="K97" s="1511"/>
      <c r="L97" s="225"/>
      <c r="M97" s="352"/>
      <c r="N97" s="345"/>
      <c r="O97" s="1635"/>
      <c r="P97" s="1635"/>
      <c r="AH97" s="1642">
        <v>0</v>
      </c>
    </row>
    <row s="1646" customFormat="1" customHeight="1" ht="0.75" hidden="1">
      <c r="A98" s="1790"/>
      <c r="B98" s="1790"/>
      <c r="C98" s="380" t="s">
        <v>1429</v>
      </c>
      <c r="D98" s="2492"/>
      <c r="E98" s="2234"/>
      <c r="F98" s="2413"/>
      <c r="G98" s="411"/>
      <c r="H98" s="1511"/>
      <c r="I98" s="662"/>
      <c r="J98" s="582"/>
      <c r="K98" s="1511"/>
      <c r="L98" s="225"/>
      <c r="M98" s="352"/>
      <c r="N98" s="345"/>
      <c r="O98" s="1635"/>
      <c r="P98" s="1635"/>
      <c r="AH98" s="1642">
        <v>0</v>
      </c>
    </row>
    <row s="1646" customFormat="1" customHeight="1" ht="18.75" hidden="1">
      <c r="A99" s="1790" t="s">
        <v>195</v>
      </c>
      <c r="B99" s="1790" t="s">
        <v>196</v>
      </c>
      <c r="C99" s="380"/>
      <c r="D99" s="2492"/>
      <c r="E99" s="2234"/>
      <c r="F99" s="2413" t="str">
        <f>INDEX(PT_DIFFERENTIATION_VTAR,MATCH(A99,PT_DIFFERENTIATION_VTAR_ID,0))</f>
        <v>Тарифы на услуги по передаче тепловой энергии</v>
      </c>
      <c r="G99" s="2457" t="str">
        <f>INDEX(PT_DIFFERENTIATION_NTAR,MATCH(B99,PT_DIFFERENTIATION_NTAR_ID,0))</f>
        <v/>
      </c>
      <c r="H99" s="1870"/>
      <c r="I99" s="1749"/>
      <c r="J99" s="1783"/>
      <c r="K99" s="1788"/>
      <c r="L99" s="1870" t="s">
        <v>320</v>
      </c>
      <c r="M99" s="352"/>
      <c r="N99" s="345"/>
      <c r="O99" s="1635"/>
      <c r="P99" s="1635"/>
      <c r="AH99" s="1642">
        <v>0</v>
      </c>
    </row>
    <row s="1646" customFormat="1" customHeight="1" ht="18.75" hidden="1">
      <c r="A100" s="1790"/>
      <c r="B100" s="1790"/>
      <c r="C100" s="380" t="s">
        <v>1422</v>
      </c>
      <c r="D100" s="2492"/>
      <c r="E100" s="2234"/>
      <c r="F100" s="2413"/>
      <c r="G100" s="2457"/>
      <c r="H100" s="1511"/>
      <c r="I100" s="662" t="s">
        <v>1421</v>
      </c>
      <c r="J100" s="582"/>
      <c r="K100" s="1511"/>
      <c r="L100" s="225"/>
      <c r="M100" s="352"/>
      <c r="N100" s="345"/>
      <c r="O100" s="1635"/>
      <c r="P100" s="1635"/>
      <c r="AH100" s="1642">
        <v>0</v>
      </c>
    </row>
    <row s="1646" customFormat="1" customHeight="1" ht="0.75" hidden="1">
      <c r="A101" s="1790"/>
      <c r="B101" s="1790"/>
      <c r="C101" s="380" t="s">
        <v>1429</v>
      </c>
      <c r="D101" s="2492"/>
      <c r="E101" s="2234"/>
      <c r="F101" s="2413"/>
      <c r="G101" s="411"/>
      <c r="H101" s="1511"/>
      <c r="I101" s="662"/>
      <c r="J101" s="582"/>
      <c r="K101" s="1511"/>
      <c r="L101" s="225"/>
      <c r="M101" s="352"/>
      <c r="N101" s="345"/>
      <c r="O101" s="1635"/>
      <c r="P101" s="1635"/>
      <c r="AH101" s="1642">
        <v>0</v>
      </c>
    </row>
    <row s="1646" customFormat="1" customHeight="1" ht="18.75" hidden="1">
      <c r="A102" s="1790" t="s">
        <v>201</v>
      </c>
      <c r="B102" s="1790" t="s">
        <v>202</v>
      </c>
      <c r="C102" s="380"/>
      <c r="D102" s="2492"/>
      <c r="E102" s="2234"/>
      <c r="F102" s="2413" t="str">
        <f>INDEX(PT_DIFFERENTIATION_VTAR,MATCH(A102,PT_DIFFERENTIATION_VTAR_ID,0))</f>
        <v>Тарифы на услуги по передаче теплоносителя</v>
      </c>
      <c r="G102" s="2457" t="str">
        <f>INDEX(PT_DIFFERENTIATION_NTAR,MATCH(B102,PT_DIFFERENTIATION_NTAR_ID,0))</f>
        <v/>
      </c>
      <c r="H102" s="1870"/>
      <c r="I102" s="1749"/>
      <c r="J102" s="1783"/>
      <c r="K102" s="1788"/>
      <c r="L102" s="1870" t="s">
        <v>320</v>
      </c>
      <c r="M102" s="352"/>
      <c r="N102" s="345"/>
      <c r="O102" s="1635"/>
      <c r="P102" s="1635"/>
      <c r="AH102" s="1642">
        <v>0</v>
      </c>
    </row>
    <row s="1646" customFormat="1" customHeight="1" ht="18.75" hidden="1">
      <c r="A103" s="1790"/>
      <c r="B103" s="1790"/>
      <c r="C103" s="380" t="s">
        <v>1422</v>
      </c>
      <c r="D103" s="2492"/>
      <c r="E103" s="2234"/>
      <c r="F103" s="2413"/>
      <c r="G103" s="2457"/>
      <c r="H103" s="1511"/>
      <c r="I103" s="662" t="s">
        <v>1421</v>
      </c>
      <c r="J103" s="582"/>
      <c r="K103" s="1511"/>
      <c r="L103" s="225"/>
      <c r="M103" s="352"/>
      <c r="N103" s="345"/>
      <c r="O103" s="1635"/>
      <c r="P103" s="1635"/>
      <c r="AH103" s="1642">
        <v>0</v>
      </c>
    </row>
    <row s="1646" customFormat="1" customHeight="1" ht="0.75" hidden="1">
      <c r="A104" s="1790"/>
      <c r="B104" s="1790"/>
      <c r="C104" s="380" t="s">
        <v>1429</v>
      </c>
      <c r="D104" s="2492"/>
      <c r="E104" s="2234"/>
      <c r="F104" s="2413"/>
      <c r="G104" s="411"/>
      <c r="H104" s="1511"/>
      <c r="I104" s="662"/>
      <c r="J104" s="582"/>
      <c r="K104" s="1511"/>
      <c r="L104" s="225"/>
      <c r="M104" s="352"/>
      <c r="N104" s="345"/>
      <c r="O104" s="1635"/>
      <c r="P104" s="1635"/>
      <c r="AH104" s="1642">
        <v>0</v>
      </c>
    </row>
    <row s="1646" customFormat="1" customHeight="1" ht="18.75" hidden="1">
      <c r="A105" s="1790" t="s">
        <v>207</v>
      </c>
      <c r="B105" s="1790" t="s">
        <v>208</v>
      </c>
      <c r="C105" s="380"/>
      <c r="D105" s="2492"/>
      <c r="E105" s="2234"/>
      <c r="F105" s="241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7" t="str">
        <f>INDEX(PT_DIFFERENTIATION_NTAR,MATCH(B105,PT_DIFFERENTIATION_NTAR_ID,0))</f>
        <v/>
      </c>
      <c r="H105" s="1870"/>
      <c r="I105" s="1749"/>
      <c r="J105" s="1783"/>
      <c r="K105" s="1788"/>
      <c r="L105" s="1870" t="s">
        <v>320</v>
      </c>
      <c r="M105" s="352"/>
      <c r="N105" s="345"/>
      <c r="O105" s="1635"/>
      <c r="P105" s="1635"/>
      <c r="AH105" s="1642">
        <v>0</v>
      </c>
    </row>
    <row s="1646" customFormat="1" customHeight="1" ht="18.75" hidden="1">
      <c r="A106" s="1790"/>
      <c r="B106" s="1790"/>
      <c r="C106" s="380" t="s">
        <v>1422</v>
      </c>
      <c r="D106" s="2492"/>
      <c r="E106" s="2234"/>
      <c r="F106" s="2413"/>
      <c r="G106" s="2457"/>
      <c r="H106" s="1511"/>
      <c r="I106" s="662" t="s">
        <v>1421</v>
      </c>
      <c r="J106" s="582"/>
      <c r="K106" s="1511"/>
      <c r="L106" s="225"/>
      <c r="M106" s="352"/>
      <c r="N106" s="345"/>
      <c r="O106" s="1635"/>
      <c r="P106" s="1635"/>
      <c r="AH106" s="1642">
        <v>0</v>
      </c>
    </row>
    <row s="1646" customFormat="1" customHeight="1" ht="0.75" hidden="1">
      <c r="A107" s="1790"/>
      <c r="B107" s="1790"/>
      <c r="C107" s="380" t="s">
        <v>1429</v>
      </c>
      <c r="D107" s="2492"/>
      <c r="E107" s="2234"/>
      <c r="F107" s="2413"/>
      <c r="G107" s="411"/>
      <c r="H107" s="1511"/>
      <c r="I107" s="662"/>
      <c r="J107" s="582"/>
      <c r="K107" s="1511"/>
      <c r="L107" s="225"/>
      <c r="M107" s="352"/>
      <c r="N107" s="345"/>
      <c r="O107" s="1635"/>
      <c r="P107" s="1635"/>
      <c r="AH107" s="1642">
        <v>0</v>
      </c>
    </row>
    <row s="1646" customFormat="1" customHeight="1" ht="18.75" hidden="1">
      <c r="A108" s="1790" t="s">
        <v>213</v>
      </c>
      <c r="B108" s="1790" t="s">
        <v>214</v>
      </c>
      <c r="C108" s="380"/>
      <c r="D108" s="2492"/>
      <c r="E108" s="2234"/>
      <c r="F108" s="2413" t="str">
        <f>INDEX(PT_DIFFERENTIATION_VTAR,MATCH(A108,PT_DIFFERENTIATION_VTAR_ID,0))</f>
        <v>Плата за подключение (технологическое присоединение) к системе теплоснабжения</v>
      </c>
      <c r="G108" s="2457" t="str">
        <f>INDEX(PT_DIFFERENTIATION_NTAR,MATCH(B108,PT_DIFFERENTIATION_NTAR_ID,0))</f>
        <v/>
      </c>
      <c r="H108" s="1870"/>
      <c r="I108" s="1749"/>
      <c r="J108" s="1783"/>
      <c r="K108" s="1788"/>
      <c r="L108" s="1870" t="s">
        <v>320</v>
      </c>
      <c r="M108" s="352"/>
      <c r="N108" s="345"/>
      <c r="O108" s="1635"/>
      <c r="P108" s="1635"/>
      <c r="AH108" s="1642">
        <v>0</v>
      </c>
    </row>
    <row s="1646" customFormat="1" customHeight="1" ht="18.75" hidden="1">
      <c r="A109" s="1790"/>
      <c r="B109" s="1790"/>
      <c r="C109" s="380" t="s">
        <v>1422</v>
      </c>
      <c r="D109" s="2492"/>
      <c r="E109" s="2234"/>
      <c r="F109" s="2413"/>
      <c r="G109" s="2457"/>
      <c r="H109" s="1511"/>
      <c r="I109" s="662" t="s">
        <v>1421</v>
      </c>
      <c r="J109" s="582"/>
      <c r="K109" s="1511"/>
      <c r="L109" s="225"/>
      <c r="M109" s="352"/>
      <c r="N109" s="345"/>
      <c r="O109" s="1635"/>
      <c r="P109" s="1635"/>
      <c r="AH109" s="1642">
        <v>0</v>
      </c>
    </row>
    <row s="1646" customFormat="1" customHeight="1" ht="0.75" hidden="1">
      <c r="A110" s="1790"/>
      <c r="B110" s="1790"/>
      <c r="C110" s="380" t="s">
        <v>1429</v>
      </c>
      <c r="D110" s="2492"/>
      <c r="E110" s="2234"/>
      <c r="F110" s="2413"/>
      <c r="G110" s="411"/>
      <c r="H110" s="1511"/>
      <c r="I110" s="662"/>
      <c r="J110" s="582"/>
      <c r="K110" s="1511"/>
      <c r="L110" s="225"/>
      <c r="M110" s="352"/>
      <c r="N110" s="345"/>
      <c r="O110" s="1635"/>
      <c r="P110" s="1635"/>
      <c r="AH110" s="1642">
        <v>0</v>
      </c>
    </row>
    <row s="1646" customFormat="1" customHeight="1" ht="18.75" hidden="1">
      <c r="A111" s="1790" t="s">
        <v>219</v>
      </c>
      <c r="B111" s="1790" t="s">
        <v>220</v>
      </c>
      <c r="C111" s="380"/>
      <c r="D111" s="2492"/>
      <c r="E111" s="2234"/>
      <c r="F111" s="2413" t="str">
        <f>INDEX(PT_DIFFERENTIATION_VTAR,MATCH(A111,PT_DIFFERENTIATION_VTAR_ID,0))</f>
        <v>Плата за подключение (технологическое присоединение) к системе теплоснабжения (индивидуальная)</v>
      </c>
      <c r="G111" s="2457" t="str">
        <f>INDEX(PT_DIFFERENTIATION_NTAR,MATCH(B111,PT_DIFFERENTIATION_NTAR_ID,0))</f>
        <v/>
      </c>
      <c r="H111" s="1997"/>
      <c r="I111" s="1749"/>
      <c r="J111" s="1783"/>
      <c r="K111" s="1788"/>
      <c r="L111" s="1997" t="s">
        <v>320</v>
      </c>
      <c r="M111" s="352"/>
      <c r="N111" s="345"/>
      <c r="O111" s="1635"/>
      <c r="P111" s="1635"/>
      <c r="AH111" s="1642">
        <v>0</v>
      </c>
    </row>
    <row s="1646" customFormat="1" customHeight="1" ht="18.75" hidden="1">
      <c r="A112" s="1790"/>
      <c r="B112" s="1790"/>
      <c r="C112" s="380" t="s">
        <v>1422</v>
      </c>
      <c r="D112" s="2492"/>
      <c r="E112" s="2234"/>
      <c r="F112" s="2413"/>
      <c r="G112" s="2457"/>
      <c r="H112" s="1511"/>
      <c r="I112" s="662" t="s">
        <v>1421</v>
      </c>
      <c r="J112" s="582"/>
      <c r="K112" s="1511"/>
      <c r="L112" s="225"/>
      <c r="M112" s="352"/>
      <c r="N112" s="345"/>
      <c r="O112" s="1635"/>
      <c r="P112" s="1635"/>
      <c r="AH112" s="1642">
        <v>0</v>
      </c>
    </row>
    <row s="1646" customFormat="1" customHeight="1" ht="0.75" hidden="1">
      <c r="A113" s="1790"/>
      <c r="B113" s="1790"/>
      <c r="C113" s="380" t="s">
        <v>1429</v>
      </c>
      <c r="D113" s="2492"/>
      <c r="E113" s="2234"/>
      <c r="F113" s="2413"/>
      <c r="G113" s="411"/>
      <c r="H113" s="1511"/>
      <c r="I113" s="662"/>
      <c r="J113" s="582"/>
      <c r="K113" s="1511"/>
      <c r="L113" s="225"/>
      <c r="M113" s="352"/>
      <c r="N113" s="345"/>
      <c r="O113" s="1635"/>
      <c r="P113" s="1635"/>
      <c r="AH113" s="1642">
        <v>0</v>
      </c>
    </row>
    <row s="1646" customFormat="1" customHeight="1" ht="18.75" hidden="1">
      <c r="A114" s="1790" t="s">
        <v>239</v>
      </c>
      <c r="B114" s="1790" t="s">
        <v>240</v>
      </c>
      <c r="C114" s="380"/>
      <c r="D114" s="2492"/>
      <c r="E114" s="2234"/>
      <c r="F114" s="2413" t="str">
        <f>INDEX(PT_DIFFERENTIATION_VTAR,MATCH(A114,PT_DIFFERENTIATION_VTAR_ID,0))</f>
        <v>Тариф на питьевую воду (питьевое водоснабжение)</v>
      </c>
      <c r="G114" s="2457" t="str">
        <f>INDEX(PT_DIFFERENTIATION_NTAR,MATCH(B114,PT_DIFFERENTIATION_NTAR_ID,0))</f>
        <v/>
      </c>
      <c r="H114" s="1870"/>
      <c r="I114" s="1749"/>
      <c r="J114" s="1783"/>
      <c r="K114" s="1788"/>
      <c r="L114" s="1870" t="s">
        <v>320</v>
      </c>
      <c r="M114" s="352"/>
      <c r="N114" s="345"/>
      <c r="O114" s="1635"/>
      <c r="P114" s="1635"/>
      <c r="AH114" s="1642">
        <v>0</v>
      </c>
    </row>
    <row s="1646" customFormat="1" customHeight="1" ht="18.75" hidden="1">
      <c r="A115" s="1790"/>
      <c r="B115" s="1790"/>
      <c r="C115" s="380" t="s">
        <v>1422</v>
      </c>
      <c r="D115" s="2492"/>
      <c r="E115" s="2234"/>
      <c r="F115" s="2413"/>
      <c r="G115" s="2457"/>
      <c r="H115" s="1511"/>
      <c r="I115" s="662" t="s">
        <v>1421</v>
      </c>
      <c r="J115" s="582"/>
      <c r="K115" s="1511"/>
      <c r="L115" s="225"/>
      <c r="M115" s="352"/>
      <c r="N115" s="345"/>
      <c r="O115" s="1635"/>
      <c r="P115" s="1635"/>
      <c r="AH115" s="1642">
        <v>0</v>
      </c>
    </row>
    <row s="1646" customFormat="1" customHeight="1" ht="0.75" hidden="1">
      <c r="A116" s="1790"/>
      <c r="B116" s="1790"/>
      <c r="C116" s="380" t="s">
        <v>1429</v>
      </c>
      <c r="D116" s="2492"/>
      <c r="E116" s="2234"/>
      <c r="F116" s="2413"/>
      <c r="G116" s="411"/>
      <c r="H116" s="1511"/>
      <c r="I116" s="662"/>
      <c r="J116" s="582"/>
      <c r="K116" s="1511"/>
      <c r="L116" s="225"/>
      <c r="M116" s="352"/>
      <c r="N116" s="345"/>
      <c r="O116" s="1635"/>
      <c r="P116" s="1635"/>
      <c r="AH116" s="1642">
        <v>0</v>
      </c>
    </row>
    <row s="1646" customFormat="1" customHeight="1" ht="18.75" hidden="1">
      <c r="A117" s="1790" t="s">
        <v>244</v>
      </c>
      <c r="B117" s="1790" t="s">
        <v>245</v>
      </c>
      <c r="C117" s="380"/>
      <c r="D117" s="2492"/>
      <c r="E117" s="2234"/>
      <c r="F117" s="2413" t="str">
        <f>INDEX(PT_DIFFERENTIATION_VTAR,MATCH(A117,PT_DIFFERENTIATION_VTAR_ID,0))</f>
        <v>Тариф на техническую воду</v>
      </c>
      <c r="G117" s="2457" t="str">
        <f>INDEX(PT_DIFFERENTIATION_NTAR,MATCH(B117,PT_DIFFERENTIATION_NTAR_ID,0))</f>
        <v/>
      </c>
      <c r="H117" s="1870"/>
      <c r="I117" s="1749"/>
      <c r="J117" s="1783"/>
      <c r="K117" s="1788"/>
      <c r="L117" s="1870" t="s">
        <v>320</v>
      </c>
      <c r="M117" s="352"/>
      <c r="N117" s="345"/>
      <c r="O117" s="1635"/>
      <c r="P117" s="1635"/>
      <c r="AH117" s="1642">
        <v>0</v>
      </c>
    </row>
    <row s="1646" customFormat="1" customHeight="1" ht="18.75" hidden="1">
      <c r="A118" s="1790"/>
      <c r="B118" s="1790"/>
      <c r="C118" s="380" t="s">
        <v>1422</v>
      </c>
      <c r="D118" s="2492"/>
      <c r="E118" s="2234"/>
      <c r="F118" s="2413"/>
      <c r="G118" s="2457"/>
      <c r="H118" s="1511"/>
      <c r="I118" s="662" t="s">
        <v>1421</v>
      </c>
      <c r="J118" s="582"/>
      <c r="K118" s="1511"/>
      <c r="L118" s="225"/>
      <c r="M118" s="352"/>
      <c r="N118" s="345"/>
      <c r="O118" s="1635"/>
      <c r="P118" s="1635"/>
      <c r="AH118" s="1642">
        <v>0</v>
      </c>
    </row>
    <row s="1646" customFormat="1" customHeight="1" ht="0.75" hidden="1">
      <c r="A119" s="1790"/>
      <c r="B119" s="1790"/>
      <c r="C119" s="380" t="s">
        <v>1429</v>
      </c>
      <c r="D119" s="2492"/>
      <c r="E119" s="2234"/>
      <c r="F119" s="2413"/>
      <c r="G119" s="411"/>
      <c r="H119" s="1511"/>
      <c r="I119" s="662"/>
      <c r="J119" s="582"/>
      <c r="K119" s="1511"/>
      <c r="L119" s="225"/>
      <c r="M119" s="352"/>
      <c r="N119" s="345"/>
      <c r="O119" s="1635"/>
      <c r="P119" s="1635"/>
      <c r="AH119" s="1642">
        <v>0</v>
      </c>
    </row>
    <row s="1646" customFormat="1" customHeight="1" ht="18.75" hidden="1">
      <c r="A120" s="1790" t="s">
        <v>249</v>
      </c>
      <c r="B120" s="1790" t="s">
        <v>250</v>
      </c>
      <c r="C120" s="380"/>
      <c r="D120" s="2492"/>
      <c r="E120" s="2234"/>
      <c r="F120" s="2413" t="str">
        <f>INDEX(PT_DIFFERENTIATION_VTAR,MATCH(A120,PT_DIFFERENTIATION_VTAR_ID,0))</f>
        <v>Тариф на транспортировку воды</v>
      </c>
      <c r="G120" s="2457" t="str">
        <f>INDEX(PT_DIFFERENTIATION_NTAR,MATCH(B120,PT_DIFFERENTIATION_NTAR_ID,0))</f>
        <v/>
      </c>
      <c r="H120" s="1870"/>
      <c r="I120" s="1749"/>
      <c r="J120" s="1783"/>
      <c r="K120" s="1788"/>
      <c r="L120" s="1870" t="s">
        <v>320</v>
      </c>
      <c r="M120" s="352"/>
      <c r="N120" s="345"/>
      <c r="O120" s="1635"/>
      <c r="P120" s="1635"/>
      <c r="AH120" s="1642">
        <v>0</v>
      </c>
    </row>
    <row s="1646" customFormat="1" customHeight="1" ht="18.75" hidden="1">
      <c r="A121" s="1790"/>
      <c r="B121" s="1790"/>
      <c r="C121" s="380" t="s">
        <v>1422</v>
      </c>
      <c r="D121" s="2492"/>
      <c r="E121" s="2234"/>
      <c r="F121" s="2413"/>
      <c r="G121" s="2457"/>
      <c r="H121" s="1511"/>
      <c r="I121" s="662" t="s">
        <v>1421</v>
      </c>
      <c r="J121" s="582"/>
      <c r="K121" s="1511"/>
      <c r="L121" s="225"/>
      <c r="M121" s="352"/>
      <c r="N121" s="345"/>
      <c r="O121" s="1635"/>
      <c r="P121" s="1635"/>
      <c r="AH121" s="1642">
        <v>0</v>
      </c>
    </row>
    <row s="1646" customFormat="1" customHeight="1" ht="0.75" hidden="1">
      <c r="A122" s="1790"/>
      <c r="B122" s="1790"/>
      <c r="C122" s="380" t="s">
        <v>1429</v>
      </c>
      <c r="D122" s="2492"/>
      <c r="E122" s="2234"/>
      <c r="F122" s="2413"/>
      <c r="G122" s="411"/>
      <c r="H122" s="1511"/>
      <c r="I122" s="662"/>
      <c r="J122" s="582"/>
      <c r="K122" s="1511"/>
      <c r="L122" s="225"/>
      <c r="M122" s="352"/>
      <c r="N122" s="345"/>
      <c r="O122" s="1635"/>
      <c r="P122" s="1635"/>
      <c r="AH122" s="1642">
        <v>0</v>
      </c>
    </row>
    <row s="1646" customFormat="1" customHeight="1" ht="18.75" hidden="1">
      <c r="A123" s="1790" t="s">
        <v>254</v>
      </c>
      <c r="B123" s="1790" t="s">
        <v>255</v>
      </c>
      <c r="C123" s="380"/>
      <c r="D123" s="2492"/>
      <c r="E123" s="2234"/>
      <c r="F123" s="2413" t="str">
        <f>INDEX(PT_DIFFERENTIATION_VTAR,MATCH(A123,PT_DIFFERENTIATION_VTAR_ID,0))</f>
        <v>Тариф на подвоз воды</v>
      </c>
      <c r="G123" s="2457" t="str">
        <f>INDEX(PT_DIFFERENTIATION_NTAR,MATCH(B123,PT_DIFFERENTIATION_NTAR_ID,0))</f>
        <v/>
      </c>
      <c r="H123" s="1870"/>
      <c r="I123" s="1749"/>
      <c r="J123" s="1783"/>
      <c r="K123" s="1788"/>
      <c r="L123" s="1870" t="s">
        <v>320</v>
      </c>
      <c r="M123" s="352"/>
      <c r="N123" s="345"/>
      <c r="O123" s="1635"/>
      <c r="P123" s="1635"/>
      <c r="AH123" s="1642">
        <v>0</v>
      </c>
    </row>
    <row s="1646" customFormat="1" customHeight="1" ht="18.75" hidden="1">
      <c r="A124" s="1790"/>
      <c r="B124" s="1790"/>
      <c r="C124" s="380" t="s">
        <v>1422</v>
      </c>
      <c r="D124" s="2492"/>
      <c r="E124" s="2234"/>
      <c r="F124" s="2413"/>
      <c r="G124" s="2457"/>
      <c r="H124" s="1511"/>
      <c r="I124" s="662" t="s">
        <v>1421</v>
      </c>
      <c r="J124" s="582"/>
      <c r="K124" s="1511"/>
      <c r="L124" s="225"/>
      <c r="M124" s="352"/>
      <c r="N124" s="345"/>
      <c r="O124" s="1635"/>
      <c r="P124" s="1635"/>
      <c r="AH124" s="1642">
        <v>0</v>
      </c>
    </row>
    <row s="1646" customFormat="1" customHeight="1" ht="0.75" hidden="1">
      <c r="A125" s="1790"/>
      <c r="B125" s="1790"/>
      <c r="C125" s="380" t="s">
        <v>1429</v>
      </c>
      <c r="D125" s="2492"/>
      <c r="E125" s="2234"/>
      <c r="F125" s="2413"/>
      <c r="G125" s="411"/>
      <c r="H125" s="1511"/>
      <c r="I125" s="662"/>
      <c r="J125" s="582"/>
      <c r="K125" s="1511"/>
      <c r="L125" s="225"/>
      <c r="M125" s="352"/>
      <c r="N125" s="345"/>
      <c r="O125" s="1635"/>
      <c r="P125" s="1635"/>
      <c r="AH125" s="1642">
        <v>0</v>
      </c>
    </row>
    <row s="1646" customFormat="1" customHeight="1" ht="18.75" hidden="1">
      <c r="A126" s="1790" t="s">
        <v>259</v>
      </c>
      <c r="B126" s="1790" t="s">
        <v>260</v>
      </c>
      <c r="C126" s="380"/>
      <c r="D126" s="2492"/>
      <c r="E126" s="2234"/>
      <c r="F126" s="241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7" t="str">
        <f>INDEX(PT_DIFFERENTIATION_NTAR,MATCH(B126,PT_DIFFERENTIATION_NTAR_ID,0))</f>
        <v/>
      </c>
      <c r="H126" s="1870"/>
      <c r="I126" s="1749"/>
      <c r="J126" s="1783"/>
      <c r="K126" s="1788"/>
      <c r="L126" s="1870" t="s">
        <v>320</v>
      </c>
      <c r="M126" s="352"/>
      <c r="N126" s="345"/>
      <c r="O126" s="1635"/>
      <c r="P126" s="1635"/>
      <c r="AH126" s="1642">
        <v>0</v>
      </c>
    </row>
    <row s="1646" customFormat="1" customHeight="1" ht="18.75" hidden="1">
      <c r="A127" s="1790"/>
      <c r="B127" s="1790"/>
      <c r="C127" s="380" t="s">
        <v>1422</v>
      </c>
      <c r="D127" s="2492"/>
      <c r="E127" s="2234"/>
      <c r="F127" s="2413"/>
      <c r="G127" s="2457"/>
      <c r="H127" s="1511"/>
      <c r="I127" s="662" t="s">
        <v>1421</v>
      </c>
      <c r="J127" s="582"/>
      <c r="K127" s="1511"/>
      <c r="L127" s="225"/>
      <c r="M127" s="352"/>
      <c r="N127" s="345"/>
      <c r="O127" s="1635"/>
      <c r="P127" s="1635"/>
      <c r="AH127" s="1642">
        <v>0</v>
      </c>
    </row>
    <row s="1646" customFormat="1" customHeight="1" ht="0.75" hidden="1">
      <c r="A128" s="1790"/>
      <c r="B128" s="1790"/>
      <c r="C128" s="380" t="s">
        <v>1429</v>
      </c>
      <c r="D128" s="2492"/>
      <c r="E128" s="2234"/>
      <c r="F128" s="2413"/>
      <c r="G128" s="411"/>
      <c r="H128" s="1511"/>
      <c r="I128" s="662"/>
      <c r="J128" s="582"/>
      <c r="K128" s="1511"/>
      <c r="L128" s="225"/>
      <c r="M128" s="352"/>
      <c r="N128" s="345"/>
      <c r="O128" s="1635"/>
      <c r="P128" s="1635"/>
      <c r="AH128" s="1642">
        <v>0</v>
      </c>
    </row>
    <row s="1646" customFormat="1" customHeight="1" ht="18.75" hidden="1">
      <c r="A129" s="1790" t="s">
        <v>264</v>
      </c>
      <c r="B129" s="1790" t="s">
        <v>265</v>
      </c>
      <c r="C129" s="380"/>
      <c r="D129" s="2492"/>
      <c r="E129" s="2234"/>
      <c r="F129" s="2413" t="str">
        <f>INDEX(PT_DIFFERENTIATION_VTAR,MATCH(A129,PT_DIFFERENTIATION_VTAR_ID,0))</f>
        <v>Тариф на горячую воду (горячее водоснабжение)</v>
      </c>
      <c r="G129" s="2457" t="str">
        <f>INDEX(PT_DIFFERENTIATION_NTAR,MATCH(B129,PT_DIFFERENTIATION_NTAR_ID,0))</f>
        <v/>
      </c>
      <c r="H129" s="1870"/>
      <c r="I129" s="1749"/>
      <c r="J129" s="1783"/>
      <c r="K129" s="1788"/>
      <c r="L129" s="1870" t="s">
        <v>320</v>
      </c>
      <c r="M129" s="352"/>
      <c r="N129" s="345"/>
      <c r="O129" s="1635"/>
      <c r="P129" s="1635"/>
      <c r="AH129" s="1642">
        <v>0</v>
      </c>
    </row>
    <row s="1646" customFormat="1" customHeight="1" ht="18.75" hidden="1">
      <c r="A130" s="1790"/>
      <c r="B130" s="1790"/>
      <c r="C130" s="380" t="s">
        <v>1422</v>
      </c>
      <c r="D130" s="2492"/>
      <c r="E130" s="2234"/>
      <c r="F130" s="2413"/>
      <c r="G130" s="2457"/>
      <c r="H130" s="1511"/>
      <c r="I130" s="662" t="s">
        <v>1421</v>
      </c>
      <c r="J130" s="582"/>
      <c r="K130" s="1511"/>
      <c r="L130" s="225"/>
      <c r="M130" s="352"/>
      <c r="N130" s="345"/>
      <c r="O130" s="1635"/>
      <c r="P130" s="1635"/>
      <c r="AH130" s="1642">
        <v>0</v>
      </c>
    </row>
    <row s="1646" customFormat="1" customHeight="1" ht="0.75" hidden="1">
      <c r="A131" s="1790"/>
      <c r="B131" s="1790"/>
      <c r="C131" s="380" t="s">
        <v>1429</v>
      </c>
      <c r="D131" s="2492"/>
      <c r="E131" s="2234"/>
      <c r="F131" s="2413"/>
      <c r="G131" s="411"/>
      <c r="H131" s="1511"/>
      <c r="I131" s="662"/>
      <c r="J131" s="582"/>
      <c r="K131" s="1511"/>
      <c r="L131" s="225"/>
      <c r="M131" s="352"/>
      <c r="N131" s="345"/>
      <c r="O131" s="1635"/>
      <c r="P131" s="1635"/>
      <c r="AH131" s="1642">
        <v>0</v>
      </c>
    </row>
    <row s="1646" customFormat="1" customHeight="1" ht="18.75" hidden="1">
      <c r="A132" s="1790" t="s">
        <v>269</v>
      </c>
      <c r="B132" s="1790" t="s">
        <v>270</v>
      </c>
      <c r="C132" s="380"/>
      <c r="D132" s="2492"/>
      <c r="E132" s="2234"/>
      <c r="F132" s="2413" t="str">
        <f>INDEX(PT_DIFFERENTIATION_VTAR,MATCH(A132,PT_DIFFERENTIATION_VTAR_ID,0))</f>
        <v>Тариф на транспортировку горячей воды</v>
      </c>
      <c r="G132" s="2457" t="str">
        <f>INDEX(PT_DIFFERENTIATION_NTAR,MATCH(B132,PT_DIFFERENTIATION_NTAR_ID,0))</f>
        <v/>
      </c>
      <c r="H132" s="1870"/>
      <c r="I132" s="1749"/>
      <c r="J132" s="1783"/>
      <c r="K132" s="1788"/>
      <c r="L132" s="1870" t="s">
        <v>320</v>
      </c>
      <c r="M132" s="352"/>
      <c r="N132" s="345"/>
      <c r="O132" s="1635"/>
      <c r="P132" s="1635"/>
      <c r="AH132" s="1642">
        <v>0</v>
      </c>
    </row>
    <row s="1646" customFormat="1" customHeight="1" ht="18.75" hidden="1">
      <c r="A133" s="1790"/>
      <c r="B133" s="1790"/>
      <c r="C133" s="380" t="s">
        <v>1422</v>
      </c>
      <c r="D133" s="2492"/>
      <c r="E133" s="2234"/>
      <c r="F133" s="2413"/>
      <c r="G133" s="2457"/>
      <c r="H133" s="1511"/>
      <c r="I133" s="662" t="s">
        <v>1421</v>
      </c>
      <c r="J133" s="582"/>
      <c r="K133" s="1511"/>
      <c r="L133" s="225"/>
      <c r="M133" s="352"/>
      <c r="N133" s="345"/>
      <c r="O133" s="1635"/>
      <c r="P133" s="1635"/>
      <c r="AH133" s="1642">
        <v>0</v>
      </c>
    </row>
    <row s="1646" customFormat="1" customHeight="1" ht="0.75" hidden="1">
      <c r="A134" s="1790"/>
      <c r="B134" s="1790"/>
      <c r="C134" s="380" t="s">
        <v>1429</v>
      </c>
      <c r="D134" s="2492"/>
      <c r="E134" s="2234"/>
      <c r="F134" s="2413"/>
      <c r="G134" s="411"/>
      <c r="H134" s="1511"/>
      <c r="I134" s="662"/>
      <c r="J134" s="582"/>
      <c r="K134" s="1511"/>
      <c r="L134" s="225"/>
      <c r="M134" s="352"/>
      <c r="N134" s="345"/>
      <c r="O134" s="1635"/>
      <c r="P134" s="1635"/>
      <c r="AH134" s="1642">
        <v>0</v>
      </c>
    </row>
    <row s="1646" customFormat="1" customHeight="1" ht="18.75" hidden="1">
      <c r="A135" s="1790" t="s">
        <v>274</v>
      </c>
      <c r="B135" s="1790" t="s">
        <v>275</v>
      </c>
      <c r="C135" s="380"/>
      <c r="D135" s="2492"/>
      <c r="E135" s="2234"/>
      <c r="F135" s="241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7" t="str">
        <f>INDEX(PT_DIFFERENTIATION_NTAR,MATCH(B135,PT_DIFFERENTIATION_NTAR_ID,0))</f>
        <v/>
      </c>
      <c r="H135" s="1870"/>
      <c r="I135" s="1749"/>
      <c r="J135" s="1783"/>
      <c r="K135" s="1788"/>
      <c r="L135" s="1870" t="s">
        <v>320</v>
      </c>
      <c r="M135" s="352"/>
      <c r="N135" s="345"/>
      <c r="O135" s="1635"/>
      <c r="P135" s="1635"/>
      <c r="AH135" s="1642">
        <v>0</v>
      </c>
    </row>
    <row s="1646" customFormat="1" customHeight="1" ht="18.75" hidden="1">
      <c r="A136" s="1790"/>
      <c r="B136" s="1790"/>
      <c r="C136" s="380" t="s">
        <v>1422</v>
      </c>
      <c r="D136" s="2492"/>
      <c r="E136" s="2234"/>
      <c r="F136" s="2413"/>
      <c r="G136" s="2457"/>
      <c r="H136" s="1511"/>
      <c r="I136" s="662" t="s">
        <v>1421</v>
      </c>
      <c r="J136" s="582"/>
      <c r="K136" s="1511"/>
      <c r="L136" s="225"/>
      <c r="M136" s="352"/>
      <c r="N136" s="345"/>
      <c r="O136" s="1635"/>
      <c r="P136" s="1635"/>
      <c r="AH136" s="1642">
        <v>0</v>
      </c>
    </row>
    <row s="1646" customFormat="1" customHeight="1" ht="0.75" hidden="1">
      <c r="A137" s="1790"/>
      <c r="B137" s="1790"/>
      <c r="C137" s="380" t="s">
        <v>1429</v>
      </c>
      <c r="D137" s="2492"/>
      <c r="E137" s="2234"/>
      <c r="F137" s="2413"/>
      <c r="G137" s="411"/>
      <c r="H137" s="1511"/>
      <c r="I137" s="662"/>
      <c r="J137" s="582"/>
      <c r="K137" s="1511"/>
      <c r="L137" s="225"/>
      <c r="M137" s="352"/>
      <c r="N137" s="345"/>
      <c r="O137" s="1635"/>
      <c r="P137" s="1635"/>
      <c r="AH137" s="1642">
        <v>0</v>
      </c>
    </row>
    <row s="1646" customFormat="1" customHeight="1" ht="18.75" hidden="1">
      <c r="A138" s="1790" t="s">
        <v>279</v>
      </c>
      <c r="B138" s="1790" t="s">
        <v>280</v>
      </c>
      <c r="C138" s="380"/>
      <c r="D138" s="2492"/>
      <c r="E138" s="2234"/>
      <c r="F138" s="2413" t="str">
        <f>INDEX(PT_DIFFERENTIATION_VTAR,MATCH(A138,PT_DIFFERENTIATION_VTAR_ID,0))</f>
        <v>Тариф на водоотведение</v>
      </c>
      <c r="G138" s="2457" t="str">
        <f>INDEX(PT_DIFFERENTIATION_NTAR,MATCH(B138,PT_DIFFERENTIATION_NTAR_ID,0))</f>
        <v/>
      </c>
      <c r="H138" s="1870"/>
      <c r="I138" s="1749"/>
      <c r="J138" s="1783"/>
      <c r="K138" s="1788"/>
      <c r="L138" s="1870" t="s">
        <v>320</v>
      </c>
      <c r="M138" s="352"/>
      <c r="N138" s="345"/>
      <c r="O138" s="1635"/>
      <c r="P138" s="1635"/>
      <c r="AH138" s="1642">
        <v>0</v>
      </c>
    </row>
    <row s="1646" customFormat="1" customHeight="1" ht="18.75" hidden="1">
      <c r="A139" s="1790"/>
      <c r="B139" s="1790"/>
      <c r="C139" s="380" t="s">
        <v>1422</v>
      </c>
      <c r="D139" s="2492"/>
      <c r="E139" s="2234"/>
      <c r="F139" s="2413"/>
      <c r="G139" s="2457"/>
      <c r="H139" s="1511"/>
      <c r="I139" s="662" t="s">
        <v>1421</v>
      </c>
      <c r="J139" s="582"/>
      <c r="K139" s="1511"/>
      <c r="L139" s="225"/>
      <c r="M139" s="352"/>
      <c r="N139" s="345"/>
      <c r="O139" s="1635"/>
      <c r="P139" s="1635"/>
      <c r="AH139" s="1642">
        <v>0</v>
      </c>
    </row>
    <row s="1646" customFormat="1" customHeight="1" ht="0.75" hidden="1">
      <c r="A140" s="1790"/>
      <c r="B140" s="1790"/>
      <c r="C140" s="380" t="s">
        <v>1429</v>
      </c>
      <c r="D140" s="2492"/>
      <c r="E140" s="2234"/>
      <c r="F140" s="2413"/>
      <c r="G140" s="411"/>
      <c r="H140" s="1511"/>
      <c r="I140" s="662"/>
      <c r="J140" s="582"/>
      <c r="K140" s="1511"/>
      <c r="L140" s="225"/>
      <c r="M140" s="352"/>
      <c r="N140" s="345"/>
      <c r="O140" s="1635"/>
      <c r="P140" s="1635"/>
      <c r="AH140" s="1642">
        <v>0</v>
      </c>
    </row>
    <row s="1646" customFormat="1" customHeight="1" ht="18.75" hidden="1">
      <c r="A141" s="1790" t="s">
        <v>284</v>
      </c>
      <c r="B141" s="1790" t="s">
        <v>285</v>
      </c>
      <c r="C141" s="380"/>
      <c r="D141" s="2492"/>
      <c r="E141" s="2234"/>
      <c r="F141" s="2413" t="str">
        <f>INDEX(PT_DIFFERENTIATION_VTAR,MATCH(A141,PT_DIFFERENTIATION_VTAR_ID,0))</f>
        <v>Тариф на транспортировку сточных вод</v>
      </c>
      <c r="G141" s="2457" t="str">
        <f>INDEX(PT_DIFFERENTIATION_NTAR,MATCH(B141,PT_DIFFERENTIATION_NTAR_ID,0))</f>
        <v/>
      </c>
      <c r="H141" s="1870"/>
      <c r="I141" s="1749"/>
      <c r="J141" s="1783"/>
      <c r="K141" s="1788"/>
      <c r="L141" s="1870" t="s">
        <v>320</v>
      </c>
      <c r="M141" s="352"/>
      <c r="N141" s="345"/>
      <c r="O141" s="1635"/>
      <c r="P141" s="1635"/>
      <c r="AH141" s="1642">
        <v>0</v>
      </c>
    </row>
    <row s="1646" customFormat="1" customHeight="1" ht="18.75" hidden="1">
      <c r="A142" s="1790"/>
      <c r="B142" s="1790"/>
      <c r="C142" s="380" t="s">
        <v>1422</v>
      </c>
      <c r="D142" s="2492"/>
      <c r="E142" s="2234"/>
      <c r="F142" s="2413"/>
      <c r="G142" s="2457"/>
      <c r="H142" s="1511"/>
      <c r="I142" s="662" t="s">
        <v>1421</v>
      </c>
      <c r="J142" s="582"/>
      <c r="K142" s="1511"/>
      <c r="L142" s="225"/>
      <c r="M142" s="352"/>
      <c r="N142" s="345"/>
      <c r="O142" s="1635"/>
      <c r="P142" s="1635"/>
      <c r="AH142" s="1642">
        <v>0</v>
      </c>
    </row>
    <row s="1646" customFormat="1" customHeight="1" ht="0.75" hidden="1">
      <c r="A143" s="1790"/>
      <c r="B143" s="1790"/>
      <c r="C143" s="380" t="s">
        <v>1429</v>
      </c>
      <c r="D143" s="2492"/>
      <c r="E143" s="2234"/>
      <c r="F143" s="2413"/>
      <c r="G143" s="411"/>
      <c r="H143" s="1511"/>
      <c r="I143" s="662"/>
      <c r="J143" s="582"/>
      <c r="K143" s="1511"/>
      <c r="L143" s="225"/>
      <c r="M143" s="352"/>
      <c r="N143" s="345"/>
      <c r="O143" s="1635"/>
      <c r="P143" s="1635"/>
      <c r="AH143" s="1642">
        <v>0</v>
      </c>
    </row>
    <row s="1646" customFormat="1" customHeight="1" ht="18.75" hidden="1">
      <c r="A144" s="1790" t="s">
        <v>289</v>
      </c>
      <c r="B144" s="1790" t="s">
        <v>290</v>
      </c>
      <c r="C144" s="380"/>
      <c r="D144" s="2492"/>
      <c r="E144" s="2234"/>
      <c r="F144" s="2413" t="str">
        <f>INDEX(PT_DIFFERENTIATION_VTAR,MATCH(A144,PT_DIFFERENTIATION_VTAR_ID,0))</f>
        <v>Тариф на подключение (технологическое присоединение) к централизованной системе водоотведения</v>
      </c>
      <c r="G144" s="2457" t="str">
        <f>INDEX(PT_DIFFERENTIATION_NTAR,MATCH(B144,PT_DIFFERENTIATION_NTAR_ID,0))</f>
        <v/>
      </c>
      <c r="H144" s="1870"/>
      <c r="I144" s="1749"/>
      <c r="J144" s="1783"/>
      <c r="K144" s="1788"/>
      <c r="L144" s="1870" t="s">
        <v>320</v>
      </c>
      <c r="M144" s="352"/>
      <c r="N144" s="345"/>
      <c r="O144" s="1635"/>
      <c r="P144" s="1635"/>
      <c r="AH144" s="1642">
        <v>0</v>
      </c>
    </row>
    <row s="1646" customFormat="1" customHeight="1" ht="18.75" hidden="1">
      <c r="A145" s="1790"/>
      <c r="B145" s="1790"/>
      <c r="C145" s="380" t="s">
        <v>1422</v>
      </c>
      <c r="D145" s="2492"/>
      <c r="E145" s="2234"/>
      <c r="F145" s="2413"/>
      <c r="G145" s="2457"/>
      <c r="H145" s="1511"/>
      <c r="I145" s="662" t="s">
        <v>1421</v>
      </c>
      <c r="J145" s="582"/>
      <c r="K145" s="1511"/>
      <c r="L145" s="225"/>
      <c r="M145" s="352"/>
      <c r="N145" s="345"/>
      <c r="O145" s="1635"/>
      <c r="P145" s="1635"/>
      <c r="AH145" s="1642">
        <v>0</v>
      </c>
    </row>
    <row s="1646" customFormat="1" customHeight="1" ht="1.05">
      <c r="A146" s="1790"/>
      <c r="B146" s="1790"/>
      <c r="C146" s="380" t="s">
        <v>1429</v>
      </c>
      <c r="D146" s="2492"/>
      <c r="E146" s="2234"/>
      <c r="F146" s="2413"/>
      <c r="G146" s="411"/>
      <c r="H146" s="1511"/>
      <c r="I146" s="662"/>
      <c r="J146" s="582"/>
      <c r="K146" s="1511"/>
      <c r="L146" s="225"/>
      <c r="M146" s="352"/>
      <c r="N146" s="345"/>
      <c r="O146" s="1635"/>
      <c r="P146" s="1635"/>
      <c r="AH146" s="1642">
        <v>1</v>
      </c>
    </row>
    <row customHeight="1" ht="19.95">
      <c r="A147" s="1790"/>
      <c r="B147" s="1790"/>
      <c r="D147" s="387"/>
      <c r="E147" s="158" t="s">
        <v>92</v>
      </c>
      <c r="F147" s="249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90"/>
      <c r="H147" s="2490"/>
      <c r="I147" s="2490"/>
      <c r="J147" s="2490"/>
      <c r="K147" s="2490"/>
      <c r="L147" s="2490"/>
      <c r="M147" s="308"/>
      <c r="N147" s="345"/>
      <c r="AH147" s="385">
        <v>19</v>
      </c>
    </row>
    <row s="1646" customFormat="1" customHeight="1" ht="60.75" hidden="1">
      <c r="A148" s="1790" t="s">
        <v>171</v>
      </c>
      <c r="B148" s="1790" t="s">
        <v>172</v>
      </c>
      <c r="C148" s="380"/>
      <c r="D148" s="2492"/>
      <c r="E148" s="2234"/>
      <c r="F148" s="241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7" t="str">
        <f>INDEX(PT_DIFFERENTIATION_NTAR,MATCH(B148,PT_DIFFERENTIATION_NTAR_ID,0))</f>
        <v/>
      </c>
      <c r="H148" s="1870"/>
      <c r="I148" s="1749"/>
      <c r="J148" s="1783"/>
      <c r="K148" s="1788"/>
      <c r="L148" s="1870" t="s">
        <v>320</v>
      </c>
      <c r="M148" s="21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5"/>
      <c r="O148" s="1635"/>
      <c r="P148" s="1635"/>
      <c r="AH148" s="1642">
        <v>0</v>
      </c>
    </row>
    <row s="1646" customFormat="1" customHeight="1" ht="18.75" hidden="1">
      <c r="A149" s="1790"/>
      <c r="B149" s="1790"/>
      <c r="C149" s="380" t="s">
        <v>1422</v>
      </c>
      <c r="D149" s="2492"/>
      <c r="E149" s="2234"/>
      <c r="F149" s="2413"/>
      <c r="G149" s="2457"/>
      <c r="H149" s="1511"/>
      <c r="I149" s="662" t="s">
        <v>1421</v>
      </c>
      <c r="J149" s="582"/>
      <c r="K149" s="1511"/>
      <c r="L149" s="225"/>
      <c r="M149" s="2200"/>
      <c r="N149" s="345"/>
      <c r="O149" s="1635"/>
      <c r="P149" s="1635"/>
      <c r="AH149" s="1642">
        <v>0</v>
      </c>
    </row>
    <row s="1646" customFormat="1" customHeight="1" ht="0.75" hidden="1">
      <c r="A150" s="1790"/>
      <c r="B150" s="1790"/>
      <c r="C150" s="380" t="s">
        <v>1429</v>
      </c>
      <c r="D150" s="2492"/>
      <c r="E150" s="2234"/>
      <c r="F150" s="2413"/>
      <c r="G150" s="411"/>
      <c r="H150" s="1511"/>
      <c r="I150" s="662"/>
      <c r="J150" s="582"/>
      <c r="K150" s="1511"/>
      <c r="L150" s="225"/>
      <c r="M150" s="2200"/>
      <c r="N150" s="345"/>
      <c r="O150" s="1635"/>
      <c r="P150" s="1635"/>
      <c r="AH150" s="1642">
        <v>0</v>
      </c>
    </row>
    <row s="1646" customFormat="1" customHeight="1" ht="45" hidden="1">
      <c r="A151" s="1790" t="s">
        <v>176</v>
      </c>
      <c r="B151" s="1790" t="s">
        <v>177</v>
      </c>
      <c r="C151" s="380"/>
      <c r="D151" s="2492"/>
      <c r="E151" s="2234"/>
      <c r="F151" s="2413" t="str">
        <f>INDEX(PT_DIFFERENTIATION_VTAR,MATCH(A151,PT_DIFFERENTIATION_VTAR_ID,0))</f>
        <v/>
      </c>
      <c r="G151" s="2457" t="str">
        <f>INDEX(PT_DIFFERENTIATION_NTAR,MATCH(B151,PT_DIFFERENTIATION_NTAR_ID,0))</f>
        <v/>
      </c>
      <c r="H151" s="1870"/>
      <c r="I151" s="1749"/>
      <c r="J151" s="1783"/>
      <c r="K151" s="1788"/>
      <c r="L151" s="1870" t="s">
        <v>320</v>
      </c>
      <c r="M151" s="2201"/>
      <c r="N151" s="345"/>
      <c r="O151" s="1635"/>
      <c r="P151" s="1635"/>
      <c r="AH151" s="1642">
        <v>0</v>
      </c>
    </row>
    <row s="1646" customFormat="1" customHeight="1" ht="18.75" hidden="1">
      <c r="A152" s="1790"/>
      <c r="B152" s="1790"/>
      <c r="C152" s="380" t="s">
        <v>1422</v>
      </c>
      <c r="D152" s="2492"/>
      <c r="E152" s="2234"/>
      <c r="F152" s="2413"/>
      <c r="G152" s="2457"/>
      <c r="H152" s="1511"/>
      <c r="I152" s="662" t="s">
        <v>1421</v>
      </c>
      <c r="J152" s="582"/>
      <c r="K152" s="1511"/>
      <c r="L152" s="225"/>
      <c r="M152" s="1869"/>
      <c r="N152" s="345"/>
      <c r="O152" s="1635"/>
      <c r="P152" s="1635"/>
      <c r="AH152" s="1642">
        <v>0</v>
      </c>
    </row>
    <row s="1646" customFormat="1" customHeight="1" ht="0.75" hidden="1">
      <c r="A153" s="1790"/>
      <c r="B153" s="1790"/>
      <c r="C153" s="380" t="s">
        <v>1429</v>
      </c>
      <c r="D153" s="2492"/>
      <c r="E153" s="2234"/>
      <c r="F153" s="2413"/>
      <c r="G153" s="411"/>
      <c r="H153" s="1511"/>
      <c r="I153" s="662"/>
      <c r="J153" s="582"/>
      <c r="K153" s="1511"/>
      <c r="L153" s="225"/>
      <c r="M153" s="352"/>
      <c r="N153" s="345"/>
      <c r="O153" s="1635"/>
      <c r="P153" s="1635"/>
      <c r="AH153" s="1642">
        <v>0</v>
      </c>
    </row>
    <row s="1646" customFormat="1" customHeight="1" ht="45" hidden="1">
      <c r="A154" s="1790" t="s">
        <v>183</v>
      </c>
      <c r="B154" s="1790" t="s">
        <v>184</v>
      </c>
      <c r="C154" s="380"/>
      <c r="D154" s="2492"/>
      <c r="E154" s="2234"/>
      <c r="F154" s="241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7" t="str">
        <f>INDEX(PT_DIFFERENTIATION_NTAR,MATCH(B154,PT_DIFFERENTIATION_NTAR_ID,0))</f>
        <v/>
      </c>
      <c r="H154" s="1870"/>
      <c r="I154" s="1749"/>
      <c r="J154" s="1783"/>
      <c r="K154" s="1788"/>
      <c r="L154" s="1870" t="s">
        <v>320</v>
      </c>
      <c r="M154" s="352"/>
      <c r="N154" s="345"/>
      <c r="O154" s="1635"/>
      <c r="P154" s="1635"/>
      <c r="AH154" s="1642">
        <v>0</v>
      </c>
    </row>
    <row s="1646" customFormat="1" customHeight="1" ht="18.75" hidden="1">
      <c r="A155" s="1790"/>
      <c r="B155" s="1790"/>
      <c r="C155" s="380" t="s">
        <v>1422</v>
      </c>
      <c r="D155" s="2492"/>
      <c r="E155" s="2234"/>
      <c r="F155" s="2413"/>
      <c r="G155" s="2457"/>
      <c r="H155" s="1511"/>
      <c r="I155" s="662" t="s">
        <v>1421</v>
      </c>
      <c r="J155" s="582"/>
      <c r="K155" s="1511"/>
      <c r="L155" s="225"/>
      <c r="M155" s="352"/>
      <c r="N155" s="345"/>
      <c r="O155" s="1635"/>
      <c r="P155" s="1635"/>
      <c r="AH155" s="1642">
        <v>0</v>
      </c>
    </row>
    <row s="1646" customFormat="1" customHeight="1" ht="0.75" hidden="1">
      <c r="A156" s="1790"/>
      <c r="B156" s="1790"/>
      <c r="C156" s="380" t="s">
        <v>1429</v>
      </c>
      <c r="D156" s="2492"/>
      <c r="E156" s="2234"/>
      <c r="F156" s="2413"/>
      <c r="G156" s="411"/>
      <c r="H156" s="1511"/>
      <c r="I156" s="662"/>
      <c r="J156" s="582"/>
      <c r="K156" s="1511"/>
      <c r="L156" s="225"/>
      <c r="M156" s="352"/>
      <c r="N156" s="345"/>
      <c r="O156" s="1635"/>
      <c r="P156" s="1635"/>
      <c r="AH156" s="1642">
        <v>0</v>
      </c>
    </row>
    <row s="1646" customFormat="1" customHeight="1" ht="45" hidden="1">
      <c r="A157" s="1790" t="s">
        <v>189</v>
      </c>
      <c r="B157" s="1790" t="s">
        <v>190</v>
      </c>
      <c r="C157" s="380"/>
      <c r="D157" s="2492"/>
      <c r="E157" s="2234"/>
      <c r="F157" s="241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7" t="str">
        <f>INDEX(PT_DIFFERENTIATION_NTAR,MATCH(B157,PT_DIFFERENTIATION_NTAR_ID,0))</f>
        <v/>
      </c>
      <c r="H157" s="1870"/>
      <c r="I157" s="1749"/>
      <c r="J157" s="1783"/>
      <c r="K157" s="1788"/>
      <c r="L157" s="1870" t="s">
        <v>320</v>
      </c>
      <c r="M157" s="352"/>
      <c r="N157" s="345"/>
      <c r="O157" s="1635"/>
      <c r="P157" s="1635"/>
      <c r="AH157" s="1642">
        <v>0</v>
      </c>
    </row>
    <row s="1646" customFormat="1" customHeight="1" ht="18.75" hidden="1">
      <c r="A158" s="1790"/>
      <c r="B158" s="1790"/>
      <c r="C158" s="380" t="s">
        <v>1422</v>
      </c>
      <c r="D158" s="2492"/>
      <c r="E158" s="2234"/>
      <c r="F158" s="2413"/>
      <c r="G158" s="2457"/>
      <c r="H158" s="1511"/>
      <c r="I158" s="662" t="s">
        <v>1421</v>
      </c>
      <c r="J158" s="582"/>
      <c r="K158" s="1511"/>
      <c r="L158" s="225"/>
      <c r="M158" s="352"/>
      <c r="N158" s="345"/>
      <c r="O158" s="1635"/>
      <c r="P158" s="1635"/>
      <c r="AH158" s="1642">
        <v>0</v>
      </c>
    </row>
    <row s="1646" customFormat="1" customHeight="1" ht="0.75" hidden="1">
      <c r="A159" s="1790"/>
      <c r="B159" s="1790"/>
      <c r="C159" s="380" t="s">
        <v>1429</v>
      </c>
      <c r="D159" s="2492"/>
      <c r="E159" s="2234"/>
      <c r="F159" s="2413"/>
      <c r="G159" s="411"/>
      <c r="H159" s="1511"/>
      <c r="I159" s="662"/>
      <c r="J159" s="582"/>
      <c r="K159" s="1511"/>
      <c r="L159" s="225"/>
      <c r="M159" s="352"/>
      <c r="N159" s="345"/>
      <c r="O159" s="1635"/>
      <c r="P159" s="1635"/>
      <c r="AH159" s="1642">
        <v>0</v>
      </c>
    </row>
    <row s="1646" customFormat="1" customHeight="1" ht="18.75" hidden="1">
      <c r="A160" s="1790" t="s">
        <v>195</v>
      </c>
      <c r="B160" s="1790" t="s">
        <v>196</v>
      </c>
      <c r="C160" s="380"/>
      <c r="D160" s="2492"/>
      <c r="E160" s="2234"/>
      <c r="F160" s="2413" t="str">
        <f>INDEX(PT_DIFFERENTIATION_VTAR,MATCH(A160,PT_DIFFERENTIATION_VTAR_ID,0))</f>
        <v>Тарифы на услуги по передаче тепловой энергии</v>
      </c>
      <c r="G160" s="2457" t="str">
        <f>INDEX(PT_DIFFERENTIATION_NTAR,MATCH(B160,PT_DIFFERENTIATION_NTAR_ID,0))</f>
        <v/>
      </c>
      <c r="H160" s="1870"/>
      <c r="I160" s="1749"/>
      <c r="J160" s="1783"/>
      <c r="K160" s="1788"/>
      <c r="L160" s="1870" t="s">
        <v>320</v>
      </c>
      <c r="M160" s="352"/>
      <c r="N160" s="345"/>
      <c r="O160" s="1635"/>
      <c r="P160" s="1635"/>
      <c r="AH160" s="1642">
        <v>0</v>
      </c>
    </row>
    <row s="1646" customFormat="1" customHeight="1" ht="18.75" hidden="1">
      <c r="A161" s="1790"/>
      <c r="B161" s="1790"/>
      <c r="C161" s="380" t="s">
        <v>1422</v>
      </c>
      <c r="D161" s="2492"/>
      <c r="E161" s="2234"/>
      <c r="F161" s="2413"/>
      <c r="G161" s="2457"/>
      <c r="H161" s="1511"/>
      <c r="I161" s="662" t="s">
        <v>1421</v>
      </c>
      <c r="J161" s="582"/>
      <c r="K161" s="1511"/>
      <c r="L161" s="225"/>
      <c r="M161" s="352"/>
      <c r="N161" s="345"/>
      <c r="O161" s="1635"/>
      <c r="P161" s="1635"/>
      <c r="AH161" s="1642">
        <v>0</v>
      </c>
    </row>
    <row s="1646" customFormat="1" customHeight="1" ht="0.75" hidden="1">
      <c r="A162" s="1790"/>
      <c r="B162" s="1790"/>
      <c r="C162" s="380" t="s">
        <v>1429</v>
      </c>
      <c r="D162" s="2492"/>
      <c r="E162" s="2234"/>
      <c r="F162" s="2413"/>
      <c r="G162" s="411"/>
      <c r="H162" s="1511"/>
      <c r="I162" s="662"/>
      <c r="J162" s="582"/>
      <c r="K162" s="1511"/>
      <c r="L162" s="225"/>
      <c r="M162" s="352"/>
      <c r="N162" s="345"/>
      <c r="O162" s="1635"/>
      <c r="P162" s="1635"/>
      <c r="AH162" s="1642">
        <v>0</v>
      </c>
    </row>
    <row s="1646" customFormat="1" customHeight="1" ht="18.75" hidden="1">
      <c r="A163" s="1790" t="s">
        <v>201</v>
      </c>
      <c r="B163" s="1790" t="s">
        <v>202</v>
      </c>
      <c r="C163" s="380"/>
      <c r="D163" s="2492"/>
      <c r="E163" s="2234"/>
      <c r="F163" s="2413" t="str">
        <f>INDEX(PT_DIFFERENTIATION_VTAR,MATCH(A163,PT_DIFFERENTIATION_VTAR_ID,0))</f>
        <v>Тарифы на услуги по передаче теплоносителя</v>
      </c>
      <c r="G163" s="2457" t="str">
        <f>INDEX(PT_DIFFERENTIATION_NTAR,MATCH(B163,PT_DIFFERENTIATION_NTAR_ID,0))</f>
        <v/>
      </c>
      <c r="H163" s="1870"/>
      <c r="I163" s="1749"/>
      <c r="J163" s="1783"/>
      <c r="K163" s="1788"/>
      <c r="L163" s="1870" t="s">
        <v>320</v>
      </c>
      <c r="M163" s="352"/>
      <c r="N163" s="345"/>
      <c r="O163" s="1635"/>
      <c r="P163" s="1635"/>
      <c r="AH163" s="1642">
        <v>0</v>
      </c>
    </row>
    <row s="1646" customFormat="1" customHeight="1" ht="18.75" hidden="1">
      <c r="A164" s="1790"/>
      <c r="B164" s="1790"/>
      <c r="C164" s="380" t="s">
        <v>1422</v>
      </c>
      <c r="D164" s="2492"/>
      <c r="E164" s="2234"/>
      <c r="F164" s="2413"/>
      <c r="G164" s="2457"/>
      <c r="H164" s="1511"/>
      <c r="I164" s="662" t="s">
        <v>1421</v>
      </c>
      <c r="J164" s="582"/>
      <c r="K164" s="1511"/>
      <c r="L164" s="225"/>
      <c r="M164" s="352"/>
      <c r="N164" s="345"/>
      <c r="O164" s="1635"/>
      <c r="P164" s="1635"/>
      <c r="AH164" s="1642">
        <v>0</v>
      </c>
    </row>
    <row s="1646" customFormat="1" customHeight="1" ht="0.75" hidden="1">
      <c r="A165" s="1790"/>
      <c r="B165" s="1790"/>
      <c r="C165" s="380" t="s">
        <v>1429</v>
      </c>
      <c r="D165" s="2492"/>
      <c r="E165" s="2234"/>
      <c r="F165" s="2413"/>
      <c r="G165" s="411"/>
      <c r="H165" s="1511"/>
      <c r="I165" s="662"/>
      <c r="J165" s="582"/>
      <c r="K165" s="1511"/>
      <c r="L165" s="225"/>
      <c r="M165" s="352"/>
      <c r="N165" s="345"/>
      <c r="O165" s="1635"/>
      <c r="P165" s="1635"/>
      <c r="AH165" s="1642">
        <v>0</v>
      </c>
    </row>
    <row s="1646" customFormat="1" customHeight="1" ht="18.75" hidden="1">
      <c r="A166" s="1790" t="s">
        <v>207</v>
      </c>
      <c r="B166" s="1790" t="s">
        <v>208</v>
      </c>
      <c r="C166" s="380"/>
      <c r="D166" s="2492"/>
      <c r="E166" s="2234"/>
      <c r="F166" s="241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7" t="str">
        <f>INDEX(PT_DIFFERENTIATION_NTAR,MATCH(B166,PT_DIFFERENTIATION_NTAR_ID,0))</f>
        <v/>
      </c>
      <c r="H166" s="1870"/>
      <c r="I166" s="1749"/>
      <c r="J166" s="1783"/>
      <c r="K166" s="1788"/>
      <c r="L166" s="1870" t="s">
        <v>320</v>
      </c>
      <c r="M166" s="352"/>
      <c r="N166" s="345"/>
      <c r="O166" s="1635"/>
      <c r="P166" s="1635"/>
      <c r="AH166" s="1642">
        <v>0</v>
      </c>
    </row>
    <row s="1646" customFormat="1" customHeight="1" ht="18.75" hidden="1">
      <c r="A167" s="1790"/>
      <c r="B167" s="1790"/>
      <c r="C167" s="380" t="s">
        <v>1422</v>
      </c>
      <c r="D167" s="2492"/>
      <c r="E167" s="2234"/>
      <c r="F167" s="2413"/>
      <c r="G167" s="2457"/>
      <c r="H167" s="1511"/>
      <c r="I167" s="662" t="s">
        <v>1421</v>
      </c>
      <c r="J167" s="582"/>
      <c r="K167" s="1511"/>
      <c r="L167" s="225"/>
      <c r="M167" s="352"/>
      <c r="N167" s="345"/>
      <c r="O167" s="1635"/>
      <c r="P167" s="1635"/>
      <c r="AH167" s="1642">
        <v>0</v>
      </c>
    </row>
    <row s="1646" customFormat="1" customHeight="1" ht="0.75" hidden="1">
      <c r="A168" s="1790"/>
      <c r="B168" s="1790"/>
      <c r="C168" s="380" t="s">
        <v>1429</v>
      </c>
      <c r="D168" s="2492"/>
      <c r="E168" s="2234"/>
      <c r="F168" s="2413"/>
      <c r="G168" s="411"/>
      <c r="H168" s="1511"/>
      <c r="I168" s="662"/>
      <c r="J168" s="582"/>
      <c r="K168" s="1511"/>
      <c r="L168" s="225"/>
      <c r="M168" s="352"/>
      <c r="N168" s="345"/>
      <c r="O168" s="1635"/>
      <c r="P168" s="1635"/>
      <c r="AH168" s="1642">
        <v>0</v>
      </c>
    </row>
    <row s="1646" customFormat="1" customHeight="1" ht="18.75" hidden="1">
      <c r="A169" s="1790" t="s">
        <v>213</v>
      </c>
      <c r="B169" s="1790" t="s">
        <v>214</v>
      </c>
      <c r="C169" s="380"/>
      <c r="D169" s="2492"/>
      <c r="E169" s="2234"/>
      <c r="F169" s="2413" t="str">
        <f>INDEX(PT_DIFFERENTIATION_VTAR,MATCH(A169,PT_DIFFERENTIATION_VTAR_ID,0))</f>
        <v>Плата за подключение (технологическое присоединение) к системе теплоснабжения</v>
      </c>
      <c r="G169" s="2457" t="str">
        <f>INDEX(PT_DIFFERENTIATION_NTAR,MATCH(B169,PT_DIFFERENTIATION_NTAR_ID,0))</f>
        <v/>
      </c>
      <c r="H169" s="1870"/>
      <c r="I169" s="1749"/>
      <c r="J169" s="1783"/>
      <c r="K169" s="1788"/>
      <c r="L169" s="1870" t="s">
        <v>320</v>
      </c>
      <c r="M169" s="352"/>
      <c r="N169" s="345"/>
      <c r="O169" s="1635"/>
      <c r="P169" s="1635"/>
      <c r="AH169" s="1642">
        <v>0</v>
      </c>
    </row>
    <row s="1646" customFormat="1" customHeight="1" ht="18.75" hidden="1">
      <c r="A170" s="1790"/>
      <c r="B170" s="1790"/>
      <c r="C170" s="380" t="s">
        <v>1422</v>
      </c>
      <c r="D170" s="2492"/>
      <c r="E170" s="2234"/>
      <c r="F170" s="2413"/>
      <c r="G170" s="2457"/>
      <c r="H170" s="1511"/>
      <c r="I170" s="662" t="s">
        <v>1421</v>
      </c>
      <c r="J170" s="582"/>
      <c r="K170" s="1511"/>
      <c r="L170" s="225"/>
      <c r="M170" s="352"/>
      <c r="N170" s="345"/>
      <c r="O170" s="1635"/>
      <c r="P170" s="1635"/>
      <c r="AH170" s="1642">
        <v>0</v>
      </c>
    </row>
    <row s="1646" customFormat="1" customHeight="1" ht="0.75" hidden="1">
      <c r="A171" s="1790"/>
      <c r="B171" s="1790"/>
      <c r="C171" s="380" t="s">
        <v>1429</v>
      </c>
      <c r="D171" s="2492"/>
      <c r="E171" s="2234"/>
      <c r="F171" s="2413"/>
      <c r="G171" s="411"/>
      <c r="H171" s="1511"/>
      <c r="I171" s="662"/>
      <c r="J171" s="582"/>
      <c r="K171" s="1511"/>
      <c r="L171" s="225"/>
      <c r="M171" s="352"/>
      <c r="N171" s="345"/>
      <c r="O171" s="1635"/>
      <c r="P171" s="1635"/>
      <c r="AH171" s="1642">
        <v>0</v>
      </c>
    </row>
    <row s="1646" customFormat="1" customHeight="1" ht="18.75" hidden="1">
      <c r="A172" s="1790" t="s">
        <v>219</v>
      </c>
      <c r="B172" s="1790" t="s">
        <v>220</v>
      </c>
      <c r="C172" s="380"/>
      <c r="D172" s="2492"/>
      <c r="E172" s="2234"/>
      <c r="F172" s="2413" t="str">
        <f>INDEX(PT_DIFFERENTIATION_VTAR,MATCH(A172,PT_DIFFERENTIATION_VTAR_ID,0))</f>
        <v>Плата за подключение (технологическое присоединение) к системе теплоснабжения (индивидуальная)</v>
      </c>
      <c r="G172" s="2457" t="str">
        <f>INDEX(PT_DIFFERENTIATION_NTAR,MATCH(B172,PT_DIFFERENTIATION_NTAR_ID,0))</f>
        <v/>
      </c>
      <c r="H172" s="1997"/>
      <c r="I172" s="1749"/>
      <c r="J172" s="1783"/>
      <c r="K172" s="1788"/>
      <c r="L172" s="1997" t="s">
        <v>320</v>
      </c>
      <c r="M172" s="352"/>
      <c r="N172" s="345"/>
      <c r="O172" s="1635"/>
      <c r="P172" s="1635"/>
      <c r="AH172" s="1642">
        <v>0</v>
      </c>
    </row>
    <row s="1646" customFormat="1" customHeight="1" ht="18.75" hidden="1">
      <c r="A173" s="1790"/>
      <c r="B173" s="1790"/>
      <c r="C173" s="380" t="s">
        <v>1422</v>
      </c>
      <c r="D173" s="2492"/>
      <c r="E173" s="2234"/>
      <c r="F173" s="2413"/>
      <c r="G173" s="2457"/>
      <c r="H173" s="1511"/>
      <c r="I173" s="662" t="s">
        <v>1421</v>
      </c>
      <c r="J173" s="582"/>
      <c r="K173" s="1511"/>
      <c r="L173" s="225"/>
      <c r="M173" s="352"/>
      <c r="N173" s="345"/>
      <c r="O173" s="1635"/>
      <c r="P173" s="1635"/>
      <c r="AH173" s="1642">
        <v>0</v>
      </c>
    </row>
    <row s="1646" customFormat="1" customHeight="1" ht="0.75" hidden="1">
      <c r="A174" s="1790"/>
      <c r="B174" s="1790"/>
      <c r="C174" s="380" t="s">
        <v>1429</v>
      </c>
      <c r="D174" s="2492"/>
      <c r="E174" s="2234"/>
      <c r="F174" s="2413"/>
      <c r="G174" s="411"/>
      <c r="H174" s="1511"/>
      <c r="I174" s="662"/>
      <c r="J174" s="582"/>
      <c r="K174" s="1511"/>
      <c r="L174" s="225"/>
      <c r="M174" s="352"/>
      <c r="N174" s="345"/>
      <c r="O174" s="1635"/>
      <c r="P174" s="1635"/>
      <c r="AH174" s="1642">
        <v>0</v>
      </c>
    </row>
    <row s="1646" customFormat="1" customHeight="1" ht="18.75" hidden="1">
      <c r="A175" s="1790" t="s">
        <v>239</v>
      </c>
      <c r="B175" s="1790" t="s">
        <v>240</v>
      </c>
      <c r="C175" s="380"/>
      <c r="D175" s="2492"/>
      <c r="E175" s="2234"/>
      <c r="F175" s="2413" t="str">
        <f>INDEX(PT_DIFFERENTIATION_VTAR,MATCH(A175,PT_DIFFERENTIATION_VTAR_ID,0))</f>
        <v>Тариф на питьевую воду (питьевое водоснабжение)</v>
      </c>
      <c r="G175" s="2457" t="str">
        <f>INDEX(PT_DIFFERENTIATION_NTAR,MATCH(B175,PT_DIFFERENTIATION_NTAR_ID,0))</f>
        <v/>
      </c>
      <c r="H175" s="1870"/>
      <c r="I175" s="1749"/>
      <c r="J175" s="1783"/>
      <c r="K175" s="1788"/>
      <c r="L175" s="1870" t="s">
        <v>320</v>
      </c>
      <c r="M175" s="352"/>
      <c r="N175" s="345"/>
      <c r="O175" s="1635"/>
      <c r="P175" s="1635"/>
      <c r="AH175" s="1642">
        <v>0</v>
      </c>
    </row>
    <row s="1646" customFormat="1" customHeight="1" ht="18.75" hidden="1">
      <c r="A176" s="1790"/>
      <c r="B176" s="1790"/>
      <c r="C176" s="380" t="s">
        <v>1422</v>
      </c>
      <c r="D176" s="2492"/>
      <c r="E176" s="2234"/>
      <c r="F176" s="2413"/>
      <c r="G176" s="2457"/>
      <c r="H176" s="1511"/>
      <c r="I176" s="662" t="s">
        <v>1421</v>
      </c>
      <c r="J176" s="582"/>
      <c r="K176" s="1511"/>
      <c r="L176" s="225"/>
      <c r="M176" s="352"/>
      <c r="N176" s="345"/>
      <c r="O176" s="1635"/>
      <c r="P176" s="1635"/>
      <c r="AH176" s="1642">
        <v>0</v>
      </c>
    </row>
    <row s="1646" customFormat="1" customHeight="1" ht="0.75" hidden="1">
      <c r="A177" s="1790"/>
      <c r="B177" s="1790"/>
      <c r="C177" s="380" t="s">
        <v>1429</v>
      </c>
      <c r="D177" s="2492"/>
      <c r="E177" s="2234"/>
      <c r="F177" s="2413"/>
      <c r="G177" s="411"/>
      <c r="H177" s="1511"/>
      <c r="I177" s="662"/>
      <c r="J177" s="582"/>
      <c r="K177" s="1511"/>
      <c r="L177" s="225"/>
      <c r="M177" s="352"/>
      <c r="N177" s="345"/>
      <c r="O177" s="1635"/>
      <c r="P177" s="1635"/>
      <c r="AH177" s="1642">
        <v>0</v>
      </c>
    </row>
    <row s="1646" customFormat="1" customHeight="1" ht="18.75" hidden="1">
      <c r="A178" s="1790" t="s">
        <v>244</v>
      </c>
      <c r="B178" s="1790" t="s">
        <v>245</v>
      </c>
      <c r="C178" s="380"/>
      <c r="D178" s="2492"/>
      <c r="E178" s="2234"/>
      <c r="F178" s="2413" t="str">
        <f>INDEX(PT_DIFFERENTIATION_VTAR,MATCH(A178,PT_DIFFERENTIATION_VTAR_ID,0))</f>
        <v>Тариф на техническую воду</v>
      </c>
      <c r="G178" s="2457" t="str">
        <f>INDEX(PT_DIFFERENTIATION_NTAR,MATCH(B178,PT_DIFFERENTIATION_NTAR_ID,0))</f>
        <v/>
      </c>
      <c r="H178" s="1870"/>
      <c r="I178" s="1749"/>
      <c r="J178" s="1783"/>
      <c r="K178" s="1788"/>
      <c r="L178" s="1870" t="s">
        <v>320</v>
      </c>
      <c r="M178" s="352"/>
      <c r="N178" s="345"/>
      <c r="O178" s="1635"/>
      <c r="P178" s="1635"/>
      <c r="AH178" s="1642">
        <v>0</v>
      </c>
    </row>
    <row s="1646" customFormat="1" customHeight="1" ht="18.75" hidden="1">
      <c r="A179" s="1790"/>
      <c r="B179" s="1790"/>
      <c r="C179" s="380" t="s">
        <v>1422</v>
      </c>
      <c r="D179" s="2492"/>
      <c r="E179" s="2234"/>
      <c r="F179" s="2413"/>
      <c r="G179" s="2457"/>
      <c r="H179" s="1511"/>
      <c r="I179" s="662" t="s">
        <v>1421</v>
      </c>
      <c r="J179" s="582"/>
      <c r="K179" s="1511"/>
      <c r="L179" s="225"/>
      <c r="M179" s="352"/>
      <c r="N179" s="345"/>
      <c r="O179" s="1635"/>
      <c r="P179" s="1635"/>
      <c r="AH179" s="1642">
        <v>0</v>
      </c>
    </row>
    <row s="1646" customFormat="1" customHeight="1" ht="0.75" hidden="1">
      <c r="A180" s="1790"/>
      <c r="B180" s="1790"/>
      <c r="C180" s="380" t="s">
        <v>1429</v>
      </c>
      <c r="D180" s="2492"/>
      <c r="E180" s="2234"/>
      <c r="F180" s="2413"/>
      <c r="G180" s="411"/>
      <c r="H180" s="1511"/>
      <c r="I180" s="662"/>
      <c r="J180" s="582"/>
      <c r="K180" s="1511"/>
      <c r="L180" s="225"/>
      <c r="M180" s="352"/>
      <c r="N180" s="345"/>
      <c r="O180" s="1635"/>
      <c r="P180" s="1635"/>
      <c r="AH180" s="1642">
        <v>0</v>
      </c>
    </row>
    <row s="1646" customFormat="1" customHeight="1" ht="18.75" hidden="1">
      <c r="A181" s="1790" t="s">
        <v>249</v>
      </c>
      <c r="B181" s="1790" t="s">
        <v>250</v>
      </c>
      <c r="C181" s="380"/>
      <c r="D181" s="2492"/>
      <c r="E181" s="2234"/>
      <c r="F181" s="2413" t="str">
        <f>INDEX(PT_DIFFERENTIATION_VTAR,MATCH(A181,PT_DIFFERENTIATION_VTAR_ID,0))</f>
        <v>Тариф на транспортировку воды</v>
      </c>
      <c r="G181" s="2457" t="str">
        <f>INDEX(PT_DIFFERENTIATION_NTAR,MATCH(B181,PT_DIFFERENTIATION_NTAR_ID,0))</f>
        <v/>
      </c>
      <c r="H181" s="1870"/>
      <c r="I181" s="1749"/>
      <c r="J181" s="1783"/>
      <c r="K181" s="1788"/>
      <c r="L181" s="1870" t="s">
        <v>320</v>
      </c>
      <c r="M181" s="352"/>
      <c r="N181" s="345"/>
      <c r="O181" s="1635"/>
      <c r="P181" s="1635"/>
      <c r="AH181" s="1642">
        <v>0</v>
      </c>
    </row>
    <row s="1646" customFormat="1" customHeight="1" ht="18.75" hidden="1">
      <c r="A182" s="1790"/>
      <c r="B182" s="1790"/>
      <c r="C182" s="380" t="s">
        <v>1422</v>
      </c>
      <c r="D182" s="2492"/>
      <c r="E182" s="2234"/>
      <c r="F182" s="2413"/>
      <c r="G182" s="2457"/>
      <c r="H182" s="1511"/>
      <c r="I182" s="662" t="s">
        <v>1421</v>
      </c>
      <c r="J182" s="582"/>
      <c r="K182" s="1511"/>
      <c r="L182" s="225"/>
      <c r="M182" s="352"/>
      <c r="N182" s="345"/>
      <c r="O182" s="1635"/>
      <c r="P182" s="1635"/>
      <c r="AH182" s="1642">
        <v>0</v>
      </c>
    </row>
    <row s="1646" customFormat="1" customHeight="1" ht="0.75" hidden="1">
      <c r="A183" s="1790"/>
      <c r="B183" s="1790"/>
      <c r="C183" s="380" t="s">
        <v>1429</v>
      </c>
      <c r="D183" s="2492"/>
      <c r="E183" s="2234"/>
      <c r="F183" s="2413"/>
      <c r="G183" s="411"/>
      <c r="H183" s="1511"/>
      <c r="I183" s="662"/>
      <c r="J183" s="582"/>
      <c r="K183" s="1511"/>
      <c r="L183" s="225"/>
      <c r="M183" s="352"/>
      <c r="N183" s="345"/>
      <c r="O183" s="1635"/>
      <c r="P183" s="1635"/>
      <c r="AH183" s="1642">
        <v>0</v>
      </c>
    </row>
    <row s="1646" customFormat="1" customHeight="1" ht="18.75" hidden="1">
      <c r="A184" s="1790" t="s">
        <v>254</v>
      </c>
      <c r="B184" s="1790" t="s">
        <v>255</v>
      </c>
      <c r="C184" s="380"/>
      <c r="D184" s="2492"/>
      <c r="E184" s="2234"/>
      <c r="F184" s="2413" t="str">
        <f>INDEX(PT_DIFFERENTIATION_VTAR,MATCH(A184,PT_DIFFERENTIATION_VTAR_ID,0))</f>
        <v>Тариф на подвоз воды</v>
      </c>
      <c r="G184" s="2457" t="str">
        <f>INDEX(PT_DIFFERENTIATION_NTAR,MATCH(B184,PT_DIFFERENTIATION_NTAR_ID,0))</f>
        <v/>
      </c>
      <c r="H184" s="1870"/>
      <c r="I184" s="1749"/>
      <c r="J184" s="1783"/>
      <c r="K184" s="1788"/>
      <c r="L184" s="1870" t="s">
        <v>320</v>
      </c>
      <c r="M184" s="352"/>
      <c r="N184" s="345"/>
      <c r="O184" s="1635"/>
      <c r="P184" s="1635"/>
      <c r="AH184" s="1642">
        <v>0</v>
      </c>
    </row>
    <row s="1646" customFormat="1" customHeight="1" ht="18.75" hidden="1">
      <c r="A185" s="1790"/>
      <c r="B185" s="1790"/>
      <c r="C185" s="380" t="s">
        <v>1422</v>
      </c>
      <c r="D185" s="2492"/>
      <c r="E185" s="2234"/>
      <c r="F185" s="2413"/>
      <c r="G185" s="2457"/>
      <c r="H185" s="1511"/>
      <c r="I185" s="662" t="s">
        <v>1421</v>
      </c>
      <c r="J185" s="582"/>
      <c r="K185" s="1511"/>
      <c r="L185" s="225"/>
      <c r="M185" s="352"/>
      <c r="N185" s="345"/>
      <c r="O185" s="1635"/>
      <c r="P185" s="1635"/>
      <c r="AH185" s="1642">
        <v>0</v>
      </c>
    </row>
    <row s="1646" customFormat="1" customHeight="1" ht="0.75" hidden="1">
      <c r="A186" s="1790"/>
      <c r="B186" s="1790"/>
      <c r="C186" s="380" t="s">
        <v>1429</v>
      </c>
      <c r="D186" s="2492"/>
      <c r="E186" s="2234"/>
      <c r="F186" s="2413"/>
      <c r="G186" s="411"/>
      <c r="H186" s="1511"/>
      <c r="I186" s="662"/>
      <c r="J186" s="582"/>
      <c r="K186" s="1511"/>
      <c r="L186" s="225"/>
      <c r="M186" s="352"/>
      <c r="N186" s="345"/>
      <c r="O186" s="1635"/>
      <c r="P186" s="1635"/>
      <c r="AH186" s="1642">
        <v>0</v>
      </c>
    </row>
    <row s="1646" customFormat="1" customHeight="1" ht="18.75" hidden="1">
      <c r="A187" s="1790" t="s">
        <v>259</v>
      </c>
      <c r="B187" s="1790" t="s">
        <v>260</v>
      </c>
      <c r="C187" s="380"/>
      <c r="D187" s="2492"/>
      <c r="E187" s="2234"/>
      <c r="F187" s="241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7" t="str">
        <f>INDEX(PT_DIFFERENTIATION_NTAR,MATCH(B187,PT_DIFFERENTIATION_NTAR_ID,0))</f>
        <v/>
      </c>
      <c r="H187" s="1870"/>
      <c r="I187" s="1749"/>
      <c r="J187" s="1783"/>
      <c r="K187" s="1788"/>
      <c r="L187" s="1870" t="s">
        <v>320</v>
      </c>
      <c r="M187" s="352"/>
      <c r="N187" s="345"/>
      <c r="O187" s="1635"/>
      <c r="P187" s="1635"/>
      <c r="AH187" s="1642">
        <v>0</v>
      </c>
    </row>
    <row s="1646" customFormat="1" customHeight="1" ht="18.75" hidden="1">
      <c r="A188" s="1790"/>
      <c r="B188" s="1790"/>
      <c r="C188" s="380" t="s">
        <v>1422</v>
      </c>
      <c r="D188" s="2492"/>
      <c r="E188" s="2234"/>
      <c r="F188" s="2413"/>
      <c r="G188" s="2457"/>
      <c r="H188" s="1511"/>
      <c r="I188" s="662" t="s">
        <v>1421</v>
      </c>
      <c r="J188" s="582"/>
      <c r="K188" s="1511"/>
      <c r="L188" s="225"/>
      <c r="M188" s="352"/>
      <c r="N188" s="345"/>
      <c r="O188" s="1635"/>
      <c r="P188" s="1635"/>
      <c r="AH188" s="1642">
        <v>0</v>
      </c>
    </row>
    <row s="1646" customFormat="1" customHeight="1" ht="0.75" hidden="1">
      <c r="A189" s="1790"/>
      <c r="B189" s="1790"/>
      <c r="C189" s="380" t="s">
        <v>1429</v>
      </c>
      <c r="D189" s="2492"/>
      <c r="E189" s="2234"/>
      <c r="F189" s="2413"/>
      <c r="G189" s="411"/>
      <c r="H189" s="1511"/>
      <c r="I189" s="662"/>
      <c r="J189" s="582"/>
      <c r="K189" s="1511"/>
      <c r="L189" s="225"/>
      <c r="M189" s="352"/>
      <c r="N189" s="345"/>
      <c r="O189" s="1635"/>
      <c r="P189" s="1635"/>
      <c r="AH189" s="1642">
        <v>0</v>
      </c>
    </row>
    <row s="1646" customFormat="1" customHeight="1" ht="18.75" hidden="1">
      <c r="A190" s="1790" t="s">
        <v>264</v>
      </c>
      <c r="B190" s="1790" t="s">
        <v>265</v>
      </c>
      <c r="C190" s="380"/>
      <c r="D190" s="2492"/>
      <c r="E190" s="2234"/>
      <c r="F190" s="2413" t="str">
        <f>INDEX(PT_DIFFERENTIATION_VTAR,MATCH(A190,PT_DIFFERENTIATION_VTAR_ID,0))</f>
        <v>Тариф на горячую воду (горячее водоснабжение)</v>
      </c>
      <c r="G190" s="2457" t="str">
        <f>INDEX(PT_DIFFERENTIATION_NTAR,MATCH(B190,PT_DIFFERENTIATION_NTAR_ID,0))</f>
        <v/>
      </c>
      <c r="H190" s="1870"/>
      <c r="I190" s="1749"/>
      <c r="J190" s="1783"/>
      <c r="K190" s="1788"/>
      <c r="L190" s="1870" t="s">
        <v>320</v>
      </c>
      <c r="M190" s="352"/>
      <c r="N190" s="345"/>
      <c r="O190" s="1635"/>
      <c r="P190" s="1635"/>
      <c r="AH190" s="1642">
        <v>0</v>
      </c>
    </row>
    <row s="1646" customFormat="1" customHeight="1" ht="18.75" hidden="1">
      <c r="A191" s="1790"/>
      <c r="B191" s="1790"/>
      <c r="C191" s="380" t="s">
        <v>1422</v>
      </c>
      <c r="D191" s="2492"/>
      <c r="E191" s="2234"/>
      <c r="F191" s="2413"/>
      <c r="G191" s="2457"/>
      <c r="H191" s="1511"/>
      <c r="I191" s="662" t="s">
        <v>1421</v>
      </c>
      <c r="J191" s="582"/>
      <c r="K191" s="1511"/>
      <c r="L191" s="225"/>
      <c r="M191" s="352"/>
      <c r="N191" s="345"/>
      <c r="O191" s="1635"/>
      <c r="P191" s="1635"/>
      <c r="AH191" s="1642">
        <v>0</v>
      </c>
    </row>
    <row s="1646" customFormat="1" customHeight="1" ht="0.75" hidden="1">
      <c r="A192" s="1790"/>
      <c r="B192" s="1790"/>
      <c r="C192" s="380" t="s">
        <v>1429</v>
      </c>
      <c r="D192" s="2492"/>
      <c r="E192" s="2234"/>
      <c r="F192" s="2413"/>
      <c r="G192" s="411"/>
      <c r="H192" s="1511"/>
      <c r="I192" s="662"/>
      <c r="J192" s="582"/>
      <c r="K192" s="1511"/>
      <c r="L192" s="225"/>
      <c r="M192" s="352"/>
      <c r="N192" s="345"/>
      <c r="O192" s="1635"/>
      <c r="P192" s="1635"/>
      <c r="AH192" s="1642">
        <v>0</v>
      </c>
    </row>
    <row s="1646" customFormat="1" customHeight="1" ht="18.75" hidden="1">
      <c r="A193" s="1790" t="s">
        <v>269</v>
      </c>
      <c r="B193" s="1790" t="s">
        <v>270</v>
      </c>
      <c r="C193" s="380"/>
      <c r="D193" s="2492"/>
      <c r="E193" s="2234"/>
      <c r="F193" s="2413" t="str">
        <f>INDEX(PT_DIFFERENTIATION_VTAR,MATCH(A193,PT_DIFFERENTIATION_VTAR_ID,0))</f>
        <v>Тариф на транспортировку горячей воды</v>
      </c>
      <c r="G193" s="2457" t="str">
        <f>INDEX(PT_DIFFERENTIATION_NTAR,MATCH(B193,PT_DIFFERENTIATION_NTAR_ID,0))</f>
        <v/>
      </c>
      <c r="H193" s="1870"/>
      <c r="I193" s="1749"/>
      <c r="J193" s="1783"/>
      <c r="K193" s="1788"/>
      <c r="L193" s="1870" t="s">
        <v>320</v>
      </c>
      <c r="M193" s="352"/>
      <c r="N193" s="345"/>
      <c r="O193" s="1635"/>
      <c r="P193" s="1635"/>
      <c r="AH193" s="1642">
        <v>0</v>
      </c>
    </row>
    <row s="1646" customFormat="1" customHeight="1" ht="18.75" hidden="1">
      <c r="A194" s="1790"/>
      <c r="B194" s="1790"/>
      <c r="C194" s="380" t="s">
        <v>1422</v>
      </c>
      <c r="D194" s="2492"/>
      <c r="E194" s="2234"/>
      <c r="F194" s="2413"/>
      <c r="G194" s="2457"/>
      <c r="H194" s="1511"/>
      <c r="I194" s="662" t="s">
        <v>1421</v>
      </c>
      <c r="J194" s="582"/>
      <c r="K194" s="1511"/>
      <c r="L194" s="225"/>
      <c r="M194" s="352"/>
      <c r="N194" s="345"/>
      <c r="O194" s="1635"/>
      <c r="P194" s="1635"/>
      <c r="AH194" s="1642">
        <v>0</v>
      </c>
    </row>
    <row s="1646" customFormat="1" customHeight="1" ht="0.75" hidden="1">
      <c r="A195" s="1790"/>
      <c r="B195" s="1790"/>
      <c r="C195" s="380" t="s">
        <v>1429</v>
      </c>
      <c r="D195" s="2492"/>
      <c r="E195" s="2234"/>
      <c r="F195" s="2413"/>
      <c r="G195" s="411"/>
      <c r="H195" s="1511"/>
      <c r="I195" s="662"/>
      <c r="J195" s="582"/>
      <c r="K195" s="1511"/>
      <c r="L195" s="225"/>
      <c r="M195" s="352"/>
      <c r="N195" s="345"/>
      <c r="O195" s="1635"/>
      <c r="P195" s="1635"/>
      <c r="AH195" s="1642">
        <v>0</v>
      </c>
    </row>
    <row s="1646" customFormat="1" customHeight="1" ht="18.75" hidden="1">
      <c r="A196" s="1790" t="s">
        <v>274</v>
      </c>
      <c r="B196" s="1790" t="s">
        <v>275</v>
      </c>
      <c r="C196" s="380"/>
      <c r="D196" s="2492"/>
      <c r="E196" s="2234"/>
      <c r="F196" s="241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7" t="str">
        <f>INDEX(PT_DIFFERENTIATION_NTAR,MATCH(B196,PT_DIFFERENTIATION_NTAR_ID,0))</f>
        <v/>
      </c>
      <c r="H196" s="1870"/>
      <c r="I196" s="1749"/>
      <c r="J196" s="1783"/>
      <c r="K196" s="1788"/>
      <c r="L196" s="1870" t="s">
        <v>320</v>
      </c>
      <c r="M196" s="352"/>
      <c r="N196" s="345"/>
      <c r="O196" s="1635"/>
      <c r="P196" s="1635"/>
      <c r="AH196" s="1642">
        <v>0</v>
      </c>
    </row>
    <row s="1646" customFormat="1" customHeight="1" ht="18.75" hidden="1">
      <c r="A197" s="1790"/>
      <c r="B197" s="1790"/>
      <c r="C197" s="380" t="s">
        <v>1422</v>
      </c>
      <c r="D197" s="2492"/>
      <c r="E197" s="2234"/>
      <c r="F197" s="2413"/>
      <c r="G197" s="2457"/>
      <c r="H197" s="1511"/>
      <c r="I197" s="662" t="s">
        <v>1421</v>
      </c>
      <c r="J197" s="582"/>
      <c r="K197" s="1511"/>
      <c r="L197" s="225"/>
      <c r="M197" s="352"/>
      <c r="N197" s="345"/>
      <c r="O197" s="1635"/>
      <c r="P197" s="1635"/>
      <c r="AH197" s="1642">
        <v>0</v>
      </c>
    </row>
    <row s="1646" customFormat="1" customHeight="1" ht="0.75" hidden="1">
      <c r="A198" s="1790"/>
      <c r="B198" s="1790"/>
      <c r="C198" s="380" t="s">
        <v>1429</v>
      </c>
      <c r="D198" s="2492"/>
      <c r="E198" s="2234"/>
      <c r="F198" s="2413"/>
      <c r="G198" s="411"/>
      <c r="H198" s="1511"/>
      <c r="I198" s="662"/>
      <c r="J198" s="582"/>
      <c r="K198" s="1511"/>
      <c r="L198" s="225"/>
      <c r="M198" s="352"/>
      <c r="N198" s="345"/>
      <c r="O198" s="1635"/>
      <c r="P198" s="1635"/>
      <c r="AH198" s="1642">
        <v>0</v>
      </c>
    </row>
    <row s="1646" customFormat="1" customHeight="1" ht="18.75" hidden="1">
      <c r="A199" s="1790" t="s">
        <v>279</v>
      </c>
      <c r="B199" s="1790" t="s">
        <v>280</v>
      </c>
      <c r="C199" s="380"/>
      <c r="D199" s="2492"/>
      <c r="E199" s="2234"/>
      <c r="F199" s="2413" t="str">
        <f>INDEX(PT_DIFFERENTIATION_VTAR,MATCH(A199,PT_DIFFERENTIATION_VTAR_ID,0))</f>
        <v>Тариф на водоотведение</v>
      </c>
      <c r="G199" s="2457" t="str">
        <f>INDEX(PT_DIFFERENTIATION_NTAR,MATCH(B199,PT_DIFFERENTIATION_NTAR_ID,0))</f>
        <v/>
      </c>
      <c r="H199" s="1870"/>
      <c r="I199" s="1749"/>
      <c r="J199" s="1783"/>
      <c r="K199" s="1788"/>
      <c r="L199" s="1870" t="s">
        <v>320</v>
      </c>
      <c r="M199" s="352"/>
      <c r="N199" s="345"/>
      <c r="O199" s="1635"/>
      <c r="P199" s="1635"/>
      <c r="AH199" s="1642">
        <v>0</v>
      </c>
    </row>
    <row s="1646" customFormat="1" customHeight="1" ht="18.75" hidden="1">
      <c r="A200" s="1790"/>
      <c r="B200" s="1790"/>
      <c r="C200" s="380" t="s">
        <v>1422</v>
      </c>
      <c r="D200" s="2492"/>
      <c r="E200" s="2234"/>
      <c r="F200" s="2413"/>
      <c r="G200" s="2457"/>
      <c r="H200" s="1511"/>
      <c r="I200" s="662" t="s">
        <v>1421</v>
      </c>
      <c r="J200" s="582"/>
      <c r="K200" s="1511"/>
      <c r="L200" s="225"/>
      <c r="M200" s="352"/>
      <c r="N200" s="345"/>
      <c r="O200" s="1635"/>
      <c r="P200" s="1635"/>
      <c r="AH200" s="1642">
        <v>0</v>
      </c>
    </row>
    <row s="1646" customFormat="1" customHeight="1" ht="0.75" hidden="1">
      <c r="A201" s="1790"/>
      <c r="B201" s="1790"/>
      <c r="C201" s="380" t="s">
        <v>1429</v>
      </c>
      <c r="D201" s="2492"/>
      <c r="E201" s="2234"/>
      <c r="F201" s="2413"/>
      <c r="G201" s="411"/>
      <c r="H201" s="1511"/>
      <c r="I201" s="662"/>
      <c r="J201" s="582"/>
      <c r="K201" s="1511"/>
      <c r="L201" s="225"/>
      <c r="M201" s="352"/>
      <c r="N201" s="345"/>
      <c r="O201" s="1635"/>
      <c r="P201" s="1635"/>
      <c r="AH201" s="1642">
        <v>0</v>
      </c>
    </row>
    <row s="1646" customFormat="1" customHeight="1" ht="18.75" hidden="1">
      <c r="A202" s="1790" t="s">
        <v>284</v>
      </c>
      <c r="B202" s="1790" t="s">
        <v>285</v>
      </c>
      <c r="C202" s="380"/>
      <c r="D202" s="2492"/>
      <c r="E202" s="2234"/>
      <c r="F202" s="2413" t="str">
        <f>INDEX(PT_DIFFERENTIATION_VTAR,MATCH(A202,PT_DIFFERENTIATION_VTAR_ID,0))</f>
        <v>Тариф на транспортировку сточных вод</v>
      </c>
      <c r="G202" s="2457" t="str">
        <f>INDEX(PT_DIFFERENTIATION_NTAR,MATCH(B202,PT_DIFFERENTIATION_NTAR_ID,0))</f>
        <v/>
      </c>
      <c r="H202" s="1870"/>
      <c r="I202" s="1749"/>
      <c r="J202" s="1783"/>
      <c r="K202" s="1788"/>
      <c r="L202" s="1870" t="s">
        <v>320</v>
      </c>
      <c r="M202" s="352"/>
      <c r="N202" s="345"/>
      <c r="O202" s="1635"/>
      <c r="P202" s="1635"/>
      <c r="AH202" s="1642">
        <v>0</v>
      </c>
    </row>
    <row s="1646" customFormat="1" customHeight="1" ht="18.75" hidden="1">
      <c r="A203" s="1790"/>
      <c r="B203" s="1790"/>
      <c r="C203" s="380" t="s">
        <v>1422</v>
      </c>
      <c r="D203" s="2492"/>
      <c r="E203" s="2234"/>
      <c r="F203" s="2413"/>
      <c r="G203" s="2457"/>
      <c r="H203" s="1511"/>
      <c r="I203" s="662" t="s">
        <v>1421</v>
      </c>
      <c r="J203" s="582"/>
      <c r="K203" s="1511"/>
      <c r="L203" s="225"/>
      <c r="M203" s="352"/>
      <c r="N203" s="345"/>
      <c r="O203" s="1635"/>
      <c r="P203" s="1635"/>
      <c r="AH203" s="1642">
        <v>0</v>
      </c>
    </row>
    <row s="1646" customFormat="1" customHeight="1" ht="0.75" hidden="1">
      <c r="A204" s="1790"/>
      <c r="B204" s="1790"/>
      <c r="C204" s="380" t="s">
        <v>1429</v>
      </c>
      <c r="D204" s="2492"/>
      <c r="E204" s="2234"/>
      <c r="F204" s="2413"/>
      <c r="G204" s="411"/>
      <c r="H204" s="1511"/>
      <c r="I204" s="662"/>
      <c r="J204" s="582"/>
      <c r="K204" s="1511"/>
      <c r="L204" s="225"/>
      <c r="M204" s="352"/>
      <c r="N204" s="345"/>
      <c r="O204" s="1635"/>
      <c r="P204" s="1635"/>
      <c r="AH204" s="1642">
        <v>0</v>
      </c>
    </row>
    <row s="1646" customFormat="1" customHeight="1" ht="18.75" hidden="1">
      <c r="A205" s="1790" t="s">
        <v>289</v>
      </c>
      <c r="B205" s="1790" t="s">
        <v>290</v>
      </c>
      <c r="C205" s="380"/>
      <c r="D205" s="2492"/>
      <c r="E205" s="2234"/>
      <c r="F205" s="2413" t="str">
        <f>INDEX(PT_DIFFERENTIATION_VTAR,MATCH(A205,PT_DIFFERENTIATION_VTAR_ID,0))</f>
        <v>Тариф на подключение (технологическое присоединение) к централизованной системе водоотведения</v>
      </c>
      <c r="G205" s="2457" t="str">
        <f>INDEX(PT_DIFFERENTIATION_NTAR,MATCH(B205,PT_DIFFERENTIATION_NTAR_ID,0))</f>
        <v/>
      </c>
      <c r="H205" s="1870"/>
      <c r="I205" s="1749"/>
      <c r="J205" s="1783"/>
      <c r="K205" s="1788"/>
      <c r="L205" s="1870" t="s">
        <v>320</v>
      </c>
      <c r="M205" s="352"/>
      <c r="N205" s="345"/>
      <c r="O205" s="1635"/>
      <c r="P205" s="1635"/>
      <c r="AH205" s="1642">
        <v>0</v>
      </c>
    </row>
    <row s="1646" customFormat="1" customHeight="1" ht="18.75" hidden="1">
      <c r="A206" s="1790"/>
      <c r="B206" s="1790"/>
      <c r="C206" s="380" t="s">
        <v>1422</v>
      </c>
      <c r="D206" s="2492"/>
      <c r="E206" s="2234"/>
      <c r="F206" s="2413"/>
      <c r="G206" s="2457"/>
      <c r="H206" s="1511"/>
      <c r="I206" s="662" t="s">
        <v>1421</v>
      </c>
      <c r="J206" s="582"/>
      <c r="K206" s="1511"/>
      <c r="L206" s="225"/>
      <c r="M206" s="352"/>
      <c r="N206" s="345"/>
      <c r="O206" s="1635"/>
      <c r="P206" s="1635"/>
      <c r="AH206" s="1642">
        <v>0</v>
      </c>
    </row>
    <row s="1646" customFormat="1" customHeight="1" ht="1.05">
      <c r="A207" s="1790"/>
      <c r="B207" s="1790"/>
      <c r="C207" s="380" t="s">
        <v>1429</v>
      </c>
      <c r="D207" s="2492"/>
      <c r="E207" s="2234"/>
      <c r="F207" s="2413"/>
      <c r="G207" s="411"/>
      <c r="H207" s="1511"/>
      <c r="I207" s="662"/>
      <c r="J207" s="582"/>
      <c r="K207" s="1511"/>
      <c r="L207" s="225"/>
      <c r="M207" s="352"/>
      <c r="N207" s="345"/>
      <c r="O207" s="1635"/>
      <c r="P207" s="1635"/>
      <c r="AH207" s="1642">
        <v>1</v>
      </c>
    </row>
    <row customHeight="1" ht="27.299999999999997">
      <c r="A208" s="1790"/>
      <c r="B208" s="1790"/>
      <c r="D208" s="387"/>
      <c r="E208" s="158" t="s">
        <v>121</v>
      </c>
      <c r="F208" s="249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90"/>
      <c r="H208" s="2490"/>
      <c r="I208" s="2490"/>
      <c r="J208" s="2490"/>
      <c r="K208" s="2490"/>
      <c r="L208" s="2490"/>
      <c r="M208" s="308"/>
      <c r="N208" s="345"/>
      <c r="AH208" s="385">
        <v>26</v>
      </c>
    </row>
    <row s="1646" customFormat="1" customHeight="1" ht="60.75" hidden="1">
      <c r="A209" s="1790" t="s">
        <v>171</v>
      </c>
      <c r="B209" s="1790" t="s">
        <v>172</v>
      </c>
      <c r="C209" s="380"/>
      <c r="D209" s="2492"/>
      <c r="E209" s="2234"/>
      <c r="F209" s="241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7" t="str">
        <f>INDEX(PT_DIFFERENTIATION_NTAR,MATCH(B209,PT_DIFFERENTIATION_NTAR_ID,0))</f>
        <v/>
      </c>
      <c r="H209" s="1870"/>
      <c r="I209" s="1749"/>
      <c r="J209" s="1783"/>
      <c r="K209" s="1788"/>
      <c r="L209" s="1870" t="s">
        <v>320</v>
      </c>
      <c r="M209" s="21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5"/>
      <c r="O209" s="1635"/>
      <c r="P209" s="1635"/>
      <c r="AH209" s="1642">
        <v>0</v>
      </c>
    </row>
    <row s="1646" customFormat="1" customHeight="1" ht="18.75" hidden="1">
      <c r="A210" s="1790"/>
      <c r="B210" s="1790"/>
      <c r="C210" s="380" t="s">
        <v>1422</v>
      </c>
      <c r="D210" s="2492"/>
      <c r="E210" s="2234"/>
      <c r="F210" s="2413"/>
      <c r="G210" s="2457"/>
      <c r="H210" s="1511"/>
      <c r="I210" s="662" t="s">
        <v>1421</v>
      </c>
      <c r="J210" s="582"/>
      <c r="K210" s="1511"/>
      <c r="L210" s="225"/>
      <c r="M210" s="2200"/>
      <c r="N210" s="345"/>
      <c r="O210" s="1635"/>
      <c r="P210" s="1635"/>
      <c r="AH210" s="1642">
        <v>0</v>
      </c>
    </row>
    <row s="1646" customFormat="1" customHeight="1" ht="0.75" hidden="1">
      <c r="A211" s="1790"/>
      <c r="B211" s="1790"/>
      <c r="C211" s="380" t="s">
        <v>1429</v>
      </c>
      <c r="D211" s="2492"/>
      <c r="E211" s="2234"/>
      <c r="F211" s="2413"/>
      <c r="G211" s="411"/>
      <c r="H211" s="1511"/>
      <c r="I211" s="662"/>
      <c r="J211" s="582"/>
      <c r="K211" s="1511"/>
      <c r="L211" s="225"/>
      <c r="M211" s="2200"/>
      <c r="N211" s="345"/>
      <c r="O211" s="1635"/>
      <c r="P211" s="1635"/>
      <c r="AH211" s="1642">
        <v>0</v>
      </c>
    </row>
    <row s="1646" customFormat="1" customHeight="1" ht="45" hidden="1">
      <c r="A212" s="1790" t="s">
        <v>176</v>
      </c>
      <c r="B212" s="1790" t="s">
        <v>177</v>
      </c>
      <c r="C212" s="380"/>
      <c r="D212" s="2492"/>
      <c r="E212" s="2234"/>
      <c r="F212" s="2413" t="str">
        <f>INDEX(PT_DIFFERENTIATION_VTAR,MATCH(A212,PT_DIFFERENTIATION_VTAR_ID,0))</f>
        <v/>
      </c>
      <c r="G212" s="2457" t="str">
        <f>INDEX(PT_DIFFERENTIATION_NTAR,MATCH(B212,PT_DIFFERENTIATION_NTAR_ID,0))</f>
        <v/>
      </c>
      <c r="H212" s="1870"/>
      <c r="I212" s="1749"/>
      <c r="J212" s="1783"/>
      <c r="K212" s="1788"/>
      <c r="L212" s="1870" t="s">
        <v>320</v>
      </c>
      <c r="M212" s="2201"/>
      <c r="N212" s="345"/>
      <c r="O212" s="1635"/>
      <c r="P212" s="1635"/>
      <c r="AH212" s="1642">
        <v>0</v>
      </c>
    </row>
    <row s="1646" customFormat="1" customHeight="1" ht="18.75" hidden="1">
      <c r="A213" s="1790"/>
      <c r="B213" s="1790"/>
      <c r="C213" s="380" t="s">
        <v>1422</v>
      </c>
      <c r="D213" s="2492"/>
      <c r="E213" s="2234"/>
      <c r="F213" s="2413"/>
      <c r="G213" s="2457"/>
      <c r="H213" s="1511"/>
      <c r="I213" s="662" t="s">
        <v>1421</v>
      </c>
      <c r="J213" s="582"/>
      <c r="K213" s="1511"/>
      <c r="L213" s="225"/>
      <c r="M213" s="1869"/>
      <c r="N213" s="345"/>
      <c r="O213" s="1635"/>
      <c r="P213" s="1635"/>
      <c r="AH213" s="1642">
        <v>0</v>
      </c>
    </row>
    <row s="1646" customFormat="1" customHeight="1" ht="0.75" hidden="1">
      <c r="A214" s="1790"/>
      <c r="B214" s="1790"/>
      <c r="C214" s="380" t="s">
        <v>1429</v>
      </c>
      <c r="D214" s="2492"/>
      <c r="E214" s="2234"/>
      <c r="F214" s="2413"/>
      <c r="G214" s="411"/>
      <c r="H214" s="1511"/>
      <c r="I214" s="662"/>
      <c r="J214" s="582"/>
      <c r="K214" s="1511"/>
      <c r="L214" s="225"/>
      <c r="M214" s="352"/>
      <c r="N214" s="345"/>
      <c r="O214" s="1635"/>
      <c r="P214" s="1635"/>
      <c r="AH214" s="1642">
        <v>0</v>
      </c>
    </row>
    <row s="1646" customFormat="1" customHeight="1" ht="45" hidden="1">
      <c r="A215" s="1790" t="s">
        <v>183</v>
      </c>
      <c r="B215" s="1790" t="s">
        <v>184</v>
      </c>
      <c r="C215" s="380"/>
      <c r="D215" s="2492"/>
      <c r="E215" s="2234"/>
      <c r="F215" s="241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7" t="str">
        <f>INDEX(PT_DIFFERENTIATION_NTAR,MATCH(B215,PT_DIFFERENTIATION_NTAR_ID,0))</f>
        <v/>
      </c>
      <c r="H215" s="1870"/>
      <c r="I215" s="1749"/>
      <c r="J215" s="1783"/>
      <c r="K215" s="1788"/>
      <c r="L215" s="1870" t="s">
        <v>320</v>
      </c>
      <c r="M215" s="352"/>
      <c r="N215" s="345"/>
      <c r="O215" s="1635"/>
      <c r="P215" s="1635"/>
      <c r="AH215" s="1642">
        <v>0</v>
      </c>
    </row>
    <row s="1646" customFormat="1" customHeight="1" ht="18.75" hidden="1">
      <c r="A216" s="1790"/>
      <c r="B216" s="1790"/>
      <c r="C216" s="380" t="s">
        <v>1422</v>
      </c>
      <c r="D216" s="2492"/>
      <c r="E216" s="2234"/>
      <c r="F216" s="2413"/>
      <c r="G216" s="2457"/>
      <c r="H216" s="1511"/>
      <c r="I216" s="662" t="s">
        <v>1421</v>
      </c>
      <c r="J216" s="582"/>
      <c r="K216" s="1511"/>
      <c r="L216" s="225"/>
      <c r="M216" s="352"/>
      <c r="N216" s="345"/>
      <c r="O216" s="1635"/>
      <c r="P216" s="1635"/>
      <c r="AH216" s="1642">
        <v>0</v>
      </c>
    </row>
    <row s="1646" customFormat="1" customHeight="1" ht="0.75" hidden="1">
      <c r="A217" s="1790"/>
      <c r="B217" s="1790"/>
      <c r="C217" s="380" t="s">
        <v>1429</v>
      </c>
      <c r="D217" s="2492"/>
      <c r="E217" s="2234"/>
      <c r="F217" s="2413"/>
      <c r="G217" s="411"/>
      <c r="H217" s="1511"/>
      <c r="I217" s="662"/>
      <c r="J217" s="582"/>
      <c r="K217" s="1511"/>
      <c r="L217" s="225"/>
      <c r="M217" s="352"/>
      <c r="N217" s="345"/>
      <c r="O217" s="1635"/>
      <c r="P217" s="1635"/>
      <c r="AH217" s="1642">
        <v>0</v>
      </c>
    </row>
    <row s="1646" customFormat="1" customHeight="1" ht="45" hidden="1">
      <c r="A218" s="1790" t="s">
        <v>189</v>
      </c>
      <c r="B218" s="1790" t="s">
        <v>190</v>
      </c>
      <c r="C218" s="380"/>
      <c r="D218" s="2492"/>
      <c r="E218" s="2234"/>
      <c r="F218" s="241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7" t="str">
        <f>INDEX(PT_DIFFERENTIATION_NTAR,MATCH(B218,PT_DIFFERENTIATION_NTAR_ID,0))</f>
        <v/>
      </c>
      <c r="H218" s="1870"/>
      <c r="I218" s="1749"/>
      <c r="J218" s="1783"/>
      <c r="K218" s="1788"/>
      <c r="L218" s="1870" t="s">
        <v>320</v>
      </c>
      <c r="M218" s="352"/>
      <c r="N218" s="345"/>
      <c r="O218" s="1635"/>
      <c r="P218" s="1635"/>
      <c r="AH218" s="1642">
        <v>0</v>
      </c>
    </row>
    <row s="1646" customFormat="1" customHeight="1" ht="18.75" hidden="1">
      <c r="A219" s="1790"/>
      <c r="B219" s="1790"/>
      <c r="C219" s="380" t="s">
        <v>1422</v>
      </c>
      <c r="D219" s="2492"/>
      <c r="E219" s="2234"/>
      <c r="F219" s="2413"/>
      <c r="G219" s="2457"/>
      <c r="H219" s="1511"/>
      <c r="I219" s="662" t="s">
        <v>1421</v>
      </c>
      <c r="J219" s="582"/>
      <c r="K219" s="1511"/>
      <c r="L219" s="225"/>
      <c r="M219" s="352"/>
      <c r="N219" s="345"/>
      <c r="O219" s="1635"/>
      <c r="P219" s="1635"/>
      <c r="AH219" s="1642">
        <v>0</v>
      </c>
    </row>
    <row s="1646" customFormat="1" customHeight="1" ht="0.75" hidden="1">
      <c r="A220" s="1790"/>
      <c r="B220" s="1790"/>
      <c r="C220" s="380" t="s">
        <v>1429</v>
      </c>
      <c r="D220" s="2492"/>
      <c r="E220" s="2234"/>
      <c r="F220" s="2413"/>
      <c r="G220" s="411"/>
      <c r="H220" s="1511"/>
      <c r="I220" s="662"/>
      <c r="J220" s="582"/>
      <c r="K220" s="1511"/>
      <c r="L220" s="225"/>
      <c r="M220" s="352"/>
      <c r="N220" s="345"/>
      <c r="O220" s="1635"/>
      <c r="P220" s="1635"/>
      <c r="AH220" s="1642">
        <v>0</v>
      </c>
    </row>
    <row s="1646" customFormat="1" customHeight="1" ht="18.75" hidden="1">
      <c r="A221" s="1790" t="s">
        <v>195</v>
      </c>
      <c r="B221" s="1790" t="s">
        <v>196</v>
      </c>
      <c r="C221" s="380"/>
      <c r="D221" s="2492"/>
      <c r="E221" s="2234"/>
      <c r="F221" s="2413" t="str">
        <f>INDEX(PT_DIFFERENTIATION_VTAR,MATCH(A221,PT_DIFFERENTIATION_VTAR_ID,0))</f>
        <v>Тарифы на услуги по передаче тепловой энергии</v>
      </c>
      <c r="G221" s="2457" t="str">
        <f>INDEX(PT_DIFFERENTIATION_NTAR,MATCH(B221,PT_DIFFERENTIATION_NTAR_ID,0))</f>
        <v/>
      </c>
      <c r="H221" s="1870"/>
      <c r="I221" s="1749"/>
      <c r="J221" s="1783"/>
      <c r="K221" s="1788"/>
      <c r="L221" s="1870" t="s">
        <v>320</v>
      </c>
      <c r="M221" s="352"/>
      <c r="N221" s="345"/>
      <c r="O221" s="1635"/>
      <c r="P221" s="1635"/>
      <c r="AH221" s="1642">
        <v>0</v>
      </c>
    </row>
    <row s="1646" customFormat="1" customHeight="1" ht="18.75" hidden="1">
      <c r="A222" s="1790"/>
      <c r="B222" s="1790"/>
      <c r="C222" s="380" t="s">
        <v>1422</v>
      </c>
      <c r="D222" s="2492"/>
      <c r="E222" s="2234"/>
      <c r="F222" s="2413"/>
      <c r="G222" s="2457"/>
      <c r="H222" s="1511"/>
      <c r="I222" s="662" t="s">
        <v>1421</v>
      </c>
      <c r="J222" s="582"/>
      <c r="K222" s="1511"/>
      <c r="L222" s="225"/>
      <c r="M222" s="352"/>
      <c r="N222" s="345"/>
      <c r="O222" s="1635"/>
      <c r="P222" s="1635"/>
      <c r="AH222" s="1642">
        <v>0</v>
      </c>
    </row>
    <row s="1646" customFormat="1" customHeight="1" ht="0.75" hidden="1">
      <c r="A223" s="1790"/>
      <c r="B223" s="1790"/>
      <c r="C223" s="380" t="s">
        <v>1429</v>
      </c>
      <c r="D223" s="2492"/>
      <c r="E223" s="2234"/>
      <c r="F223" s="2413"/>
      <c r="G223" s="411"/>
      <c r="H223" s="1511"/>
      <c r="I223" s="662"/>
      <c r="J223" s="582"/>
      <c r="K223" s="1511"/>
      <c r="L223" s="225"/>
      <c r="M223" s="352"/>
      <c r="N223" s="345"/>
      <c r="O223" s="1635"/>
      <c r="P223" s="1635"/>
      <c r="AH223" s="1642">
        <v>0</v>
      </c>
    </row>
    <row s="1646" customFormat="1" customHeight="1" ht="18.75" hidden="1">
      <c r="A224" s="1790" t="s">
        <v>201</v>
      </c>
      <c r="B224" s="1790" t="s">
        <v>202</v>
      </c>
      <c r="C224" s="380"/>
      <c r="D224" s="2492"/>
      <c r="E224" s="2234"/>
      <c r="F224" s="2413" t="str">
        <f>INDEX(PT_DIFFERENTIATION_VTAR,MATCH(A224,PT_DIFFERENTIATION_VTAR_ID,0))</f>
        <v>Тарифы на услуги по передаче теплоносителя</v>
      </c>
      <c r="G224" s="2457" t="str">
        <f>INDEX(PT_DIFFERENTIATION_NTAR,MATCH(B224,PT_DIFFERENTIATION_NTAR_ID,0))</f>
        <v/>
      </c>
      <c r="H224" s="1870"/>
      <c r="I224" s="1749"/>
      <c r="J224" s="1783"/>
      <c r="K224" s="1788"/>
      <c r="L224" s="1870" t="s">
        <v>320</v>
      </c>
      <c r="M224" s="352"/>
      <c r="N224" s="345"/>
      <c r="O224" s="1635"/>
      <c r="P224" s="1635"/>
      <c r="AH224" s="1642">
        <v>0</v>
      </c>
    </row>
    <row s="1646" customFormat="1" customHeight="1" ht="18.75" hidden="1">
      <c r="A225" s="1790"/>
      <c r="B225" s="1790"/>
      <c r="C225" s="380" t="s">
        <v>1422</v>
      </c>
      <c r="D225" s="2492"/>
      <c r="E225" s="2234"/>
      <c r="F225" s="2413"/>
      <c r="G225" s="2457"/>
      <c r="H225" s="1511"/>
      <c r="I225" s="662" t="s">
        <v>1421</v>
      </c>
      <c r="J225" s="582"/>
      <c r="K225" s="1511"/>
      <c r="L225" s="225"/>
      <c r="M225" s="352"/>
      <c r="N225" s="345"/>
      <c r="O225" s="1635"/>
      <c r="P225" s="1635"/>
      <c r="AH225" s="1642">
        <v>0</v>
      </c>
    </row>
    <row s="1646" customFormat="1" customHeight="1" ht="0.75" hidden="1">
      <c r="A226" s="1790"/>
      <c r="B226" s="1790"/>
      <c r="C226" s="380" t="s">
        <v>1429</v>
      </c>
      <c r="D226" s="2492"/>
      <c r="E226" s="2234"/>
      <c r="F226" s="2413"/>
      <c r="G226" s="411"/>
      <c r="H226" s="1511"/>
      <c r="I226" s="662"/>
      <c r="J226" s="582"/>
      <c r="K226" s="1511"/>
      <c r="L226" s="225"/>
      <c r="M226" s="352"/>
      <c r="N226" s="345"/>
      <c r="O226" s="1635"/>
      <c r="P226" s="1635"/>
      <c r="AH226" s="1642">
        <v>0</v>
      </c>
    </row>
    <row s="1646" customFormat="1" customHeight="1" ht="18.75" hidden="1">
      <c r="A227" s="1790" t="s">
        <v>207</v>
      </c>
      <c r="B227" s="1790" t="s">
        <v>208</v>
      </c>
      <c r="C227" s="380"/>
      <c r="D227" s="2492"/>
      <c r="E227" s="2234"/>
      <c r="F227" s="241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7" t="str">
        <f>INDEX(PT_DIFFERENTIATION_NTAR,MATCH(B227,PT_DIFFERENTIATION_NTAR_ID,0))</f>
        <v/>
      </c>
      <c r="H227" s="1870"/>
      <c r="I227" s="1749"/>
      <c r="J227" s="1783"/>
      <c r="K227" s="1788"/>
      <c r="L227" s="1870" t="s">
        <v>320</v>
      </c>
      <c r="M227" s="352"/>
      <c r="N227" s="345"/>
      <c r="O227" s="1635"/>
      <c r="P227" s="1635"/>
      <c r="AH227" s="1642">
        <v>0</v>
      </c>
    </row>
    <row s="1646" customFormat="1" customHeight="1" ht="18.75" hidden="1">
      <c r="A228" s="1790"/>
      <c r="B228" s="1790"/>
      <c r="C228" s="380" t="s">
        <v>1422</v>
      </c>
      <c r="D228" s="2492"/>
      <c r="E228" s="2234"/>
      <c r="F228" s="2413"/>
      <c r="G228" s="2457"/>
      <c r="H228" s="1511"/>
      <c r="I228" s="662" t="s">
        <v>1421</v>
      </c>
      <c r="J228" s="582"/>
      <c r="K228" s="1511"/>
      <c r="L228" s="225"/>
      <c r="M228" s="352"/>
      <c r="N228" s="345"/>
      <c r="O228" s="1635"/>
      <c r="P228" s="1635"/>
      <c r="AH228" s="1642">
        <v>0</v>
      </c>
    </row>
    <row s="1646" customFormat="1" customHeight="1" ht="0.75" hidden="1">
      <c r="A229" s="1790"/>
      <c r="B229" s="1790"/>
      <c r="C229" s="380" t="s">
        <v>1429</v>
      </c>
      <c r="D229" s="2492"/>
      <c r="E229" s="2234"/>
      <c r="F229" s="2413"/>
      <c r="G229" s="411"/>
      <c r="H229" s="1511"/>
      <c r="I229" s="662"/>
      <c r="J229" s="582"/>
      <c r="K229" s="1511"/>
      <c r="L229" s="225"/>
      <c r="M229" s="352"/>
      <c r="N229" s="345"/>
      <c r="O229" s="1635"/>
      <c r="P229" s="1635"/>
      <c r="AH229" s="1642">
        <v>0</v>
      </c>
    </row>
    <row s="1646" customFormat="1" customHeight="1" ht="18.75" hidden="1">
      <c r="A230" s="1790" t="s">
        <v>213</v>
      </c>
      <c r="B230" s="1790" t="s">
        <v>214</v>
      </c>
      <c r="C230" s="380"/>
      <c r="D230" s="2492"/>
      <c r="E230" s="2234"/>
      <c r="F230" s="2413" t="str">
        <f>INDEX(PT_DIFFERENTIATION_VTAR,MATCH(A230,PT_DIFFERENTIATION_VTAR_ID,0))</f>
        <v>Плата за подключение (технологическое присоединение) к системе теплоснабжения</v>
      </c>
      <c r="G230" s="2457" t="str">
        <f>INDEX(PT_DIFFERENTIATION_NTAR,MATCH(B230,PT_DIFFERENTIATION_NTAR_ID,0))</f>
        <v/>
      </c>
      <c r="H230" s="1870"/>
      <c r="I230" s="1749"/>
      <c r="J230" s="1783"/>
      <c r="K230" s="1788"/>
      <c r="L230" s="1870" t="s">
        <v>320</v>
      </c>
      <c r="M230" s="352"/>
      <c r="N230" s="345"/>
      <c r="O230" s="1635"/>
      <c r="P230" s="1635"/>
      <c r="AH230" s="1642">
        <v>0</v>
      </c>
    </row>
    <row s="1646" customFormat="1" customHeight="1" ht="18.75" hidden="1">
      <c r="A231" s="1790"/>
      <c r="B231" s="1790"/>
      <c r="C231" s="380" t="s">
        <v>1422</v>
      </c>
      <c r="D231" s="2492"/>
      <c r="E231" s="2234"/>
      <c r="F231" s="2413"/>
      <c r="G231" s="2457"/>
      <c r="H231" s="1511"/>
      <c r="I231" s="662" t="s">
        <v>1421</v>
      </c>
      <c r="J231" s="582"/>
      <c r="K231" s="1511"/>
      <c r="L231" s="225"/>
      <c r="M231" s="352"/>
      <c r="N231" s="345"/>
      <c r="O231" s="1635"/>
      <c r="P231" s="1635"/>
      <c r="AH231" s="1642">
        <v>0</v>
      </c>
    </row>
    <row s="1646" customFormat="1" customHeight="1" ht="0.75" hidden="1">
      <c r="A232" s="1790"/>
      <c r="B232" s="1790"/>
      <c r="C232" s="380" t="s">
        <v>1429</v>
      </c>
      <c r="D232" s="2492"/>
      <c r="E232" s="2234"/>
      <c r="F232" s="2413"/>
      <c r="G232" s="411"/>
      <c r="H232" s="1511"/>
      <c r="I232" s="662"/>
      <c r="J232" s="582"/>
      <c r="K232" s="1511"/>
      <c r="L232" s="225"/>
      <c r="M232" s="352"/>
      <c r="N232" s="345"/>
      <c r="O232" s="1635"/>
      <c r="P232" s="1635"/>
      <c r="AH232" s="1642">
        <v>0</v>
      </c>
    </row>
    <row s="1646" customFormat="1" customHeight="1" ht="18.75" hidden="1">
      <c r="A233" s="1790" t="s">
        <v>219</v>
      </c>
      <c r="B233" s="1790" t="s">
        <v>220</v>
      </c>
      <c r="C233" s="380"/>
      <c r="D233" s="2492"/>
      <c r="E233" s="2234"/>
      <c r="F233" s="2413" t="str">
        <f>INDEX(PT_DIFFERENTIATION_VTAR,MATCH(A233,PT_DIFFERENTIATION_VTAR_ID,0))</f>
        <v>Плата за подключение (технологическое присоединение) к системе теплоснабжения (индивидуальная)</v>
      </c>
      <c r="G233" s="2457" t="str">
        <f>INDEX(PT_DIFFERENTIATION_NTAR,MATCH(B233,PT_DIFFERENTIATION_NTAR_ID,0))</f>
        <v/>
      </c>
      <c r="H233" s="1997"/>
      <c r="I233" s="1749"/>
      <c r="J233" s="1783"/>
      <c r="K233" s="1788"/>
      <c r="L233" s="1997" t="s">
        <v>320</v>
      </c>
      <c r="M233" s="352"/>
      <c r="N233" s="345"/>
      <c r="O233" s="1635"/>
      <c r="P233" s="1635"/>
      <c r="AH233" s="1642">
        <v>0</v>
      </c>
    </row>
    <row s="1646" customFormat="1" customHeight="1" ht="18.75" hidden="1">
      <c r="A234" s="1790"/>
      <c r="B234" s="1790"/>
      <c r="C234" s="380" t="s">
        <v>1422</v>
      </c>
      <c r="D234" s="2492"/>
      <c r="E234" s="2234"/>
      <c r="F234" s="2413"/>
      <c r="G234" s="2457"/>
      <c r="H234" s="1511"/>
      <c r="I234" s="662" t="s">
        <v>1421</v>
      </c>
      <c r="J234" s="582"/>
      <c r="K234" s="1511"/>
      <c r="L234" s="225"/>
      <c r="M234" s="352"/>
      <c r="N234" s="345"/>
      <c r="O234" s="1635"/>
      <c r="P234" s="1635"/>
      <c r="AH234" s="1642">
        <v>0</v>
      </c>
    </row>
    <row s="1646" customFormat="1" customHeight="1" ht="0.75" hidden="1">
      <c r="A235" s="1790"/>
      <c r="B235" s="1790"/>
      <c r="C235" s="380" t="s">
        <v>1429</v>
      </c>
      <c r="D235" s="2492"/>
      <c r="E235" s="2234"/>
      <c r="F235" s="2413"/>
      <c r="G235" s="411"/>
      <c r="H235" s="1511"/>
      <c r="I235" s="662"/>
      <c r="J235" s="582"/>
      <c r="K235" s="1511"/>
      <c r="L235" s="225"/>
      <c r="M235" s="352"/>
      <c r="N235" s="345"/>
      <c r="O235" s="1635"/>
      <c r="P235" s="1635"/>
      <c r="AH235" s="1642">
        <v>0</v>
      </c>
    </row>
    <row s="1646" customFormat="1" customHeight="1" ht="18.75" hidden="1">
      <c r="A236" s="1790" t="s">
        <v>239</v>
      </c>
      <c r="B236" s="1790" t="s">
        <v>240</v>
      </c>
      <c r="C236" s="380"/>
      <c r="D236" s="2492"/>
      <c r="E236" s="2234"/>
      <c r="F236" s="2413" t="str">
        <f>INDEX(PT_DIFFERENTIATION_VTAR,MATCH(A236,PT_DIFFERENTIATION_VTAR_ID,0))</f>
        <v>Тариф на питьевую воду (питьевое водоснабжение)</v>
      </c>
      <c r="G236" s="2457" t="str">
        <f>INDEX(PT_DIFFERENTIATION_NTAR,MATCH(B236,PT_DIFFERENTIATION_NTAR_ID,0))</f>
        <v/>
      </c>
      <c r="H236" s="1870"/>
      <c r="I236" s="1749"/>
      <c r="J236" s="1783"/>
      <c r="K236" s="1788"/>
      <c r="L236" s="1870" t="s">
        <v>320</v>
      </c>
      <c r="M236" s="352"/>
      <c r="N236" s="345"/>
      <c r="O236" s="1635"/>
      <c r="P236" s="1635"/>
      <c r="AH236" s="1642">
        <v>0</v>
      </c>
    </row>
    <row s="1646" customFormat="1" customHeight="1" ht="18.75" hidden="1">
      <c r="A237" s="1790"/>
      <c r="B237" s="1790"/>
      <c r="C237" s="380" t="s">
        <v>1422</v>
      </c>
      <c r="D237" s="2492"/>
      <c r="E237" s="2234"/>
      <c r="F237" s="2413"/>
      <c r="G237" s="2457"/>
      <c r="H237" s="1511"/>
      <c r="I237" s="662" t="s">
        <v>1421</v>
      </c>
      <c r="J237" s="582"/>
      <c r="K237" s="1511"/>
      <c r="L237" s="225"/>
      <c r="M237" s="352"/>
      <c r="N237" s="345"/>
      <c r="O237" s="1635"/>
      <c r="P237" s="1635"/>
      <c r="AH237" s="1642">
        <v>0</v>
      </c>
    </row>
    <row s="1646" customFormat="1" customHeight="1" ht="0.75" hidden="1">
      <c r="A238" s="1790"/>
      <c r="B238" s="1790"/>
      <c r="C238" s="380" t="s">
        <v>1429</v>
      </c>
      <c r="D238" s="2492"/>
      <c r="E238" s="2234"/>
      <c r="F238" s="2413"/>
      <c r="G238" s="411"/>
      <c r="H238" s="1511"/>
      <c r="I238" s="662"/>
      <c r="J238" s="582"/>
      <c r="K238" s="1511"/>
      <c r="L238" s="225"/>
      <c r="M238" s="352"/>
      <c r="N238" s="345"/>
      <c r="O238" s="1635"/>
      <c r="P238" s="1635"/>
      <c r="AH238" s="1642">
        <v>0</v>
      </c>
    </row>
    <row s="1646" customFormat="1" customHeight="1" ht="18.75" hidden="1">
      <c r="A239" s="1790" t="s">
        <v>244</v>
      </c>
      <c r="B239" s="1790" t="s">
        <v>245</v>
      </c>
      <c r="C239" s="380"/>
      <c r="D239" s="2492"/>
      <c r="E239" s="2234"/>
      <c r="F239" s="2413" t="str">
        <f>INDEX(PT_DIFFERENTIATION_VTAR,MATCH(A239,PT_DIFFERENTIATION_VTAR_ID,0))</f>
        <v>Тариф на техническую воду</v>
      </c>
      <c r="G239" s="2457" t="str">
        <f>INDEX(PT_DIFFERENTIATION_NTAR,MATCH(B239,PT_DIFFERENTIATION_NTAR_ID,0))</f>
        <v/>
      </c>
      <c r="H239" s="1870"/>
      <c r="I239" s="1749"/>
      <c r="J239" s="1783"/>
      <c r="K239" s="1788"/>
      <c r="L239" s="1870" t="s">
        <v>320</v>
      </c>
      <c r="M239" s="352"/>
      <c r="N239" s="345"/>
      <c r="O239" s="1635"/>
      <c r="P239" s="1635"/>
      <c r="AH239" s="1642">
        <v>0</v>
      </c>
    </row>
    <row s="1646" customFormat="1" customHeight="1" ht="18.75" hidden="1">
      <c r="A240" s="1790"/>
      <c r="B240" s="1790"/>
      <c r="C240" s="380" t="s">
        <v>1422</v>
      </c>
      <c r="D240" s="2492"/>
      <c r="E240" s="2234"/>
      <c r="F240" s="2413"/>
      <c r="G240" s="2457"/>
      <c r="H240" s="1511"/>
      <c r="I240" s="662" t="s">
        <v>1421</v>
      </c>
      <c r="J240" s="582"/>
      <c r="K240" s="1511"/>
      <c r="L240" s="225"/>
      <c r="M240" s="352"/>
      <c r="N240" s="345"/>
      <c r="O240" s="1635"/>
      <c r="P240" s="1635"/>
      <c r="AH240" s="1642">
        <v>0</v>
      </c>
    </row>
    <row s="1646" customFormat="1" customHeight="1" ht="0.75" hidden="1">
      <c r="A241" s="1790"/>
      <c r="B241" s="1790"/>
      <c r="C241" s="380" t="s">
        <v>1429</v>
      </c>
      <c r="D241" s="2492"/>
      <c r="E241" s="2234"/>
      <c r="F241" s="2413"/>
      <c r="G241" s="411"/>
      <c r="H241" s="1511"/>
      <c r="I241" s="662"/>
      <c r="J241" s="582"/>
      <c r="K241" s="1511"/>
      <c r="L241" s="225"/>
      <c r="M241" s="352"/>
      <c r="N241" s="345"/>
      <c r="O241" s="1635"/>
      <c r="P241" s="1635"/>
      <c r="AH241" s="1642">
        <v>0</v>
      </c>
    </row>
    <row s="1646" customFormat="1" customHeight="1" ht="18.75" hidden="1">
      <c r="A242" s="1790" t="s">
        <v>249</v>
      </c>
      <c r="B242" s="1790" t="s">
        <v>250</v>
      </c>
      <c r="C242" s="380"/>
      <c r="D242" s="2492"/>
      <c r="E242" s="2234"/>
      <c r="F242" s="2413" t="str">
        <f>INDEX(PT_DIFFERENTIATION_VTAR,MATCH(A242,PT_DIFFERENTIATION_VTAR_ID,0))</f>
        <v>Тариф на транспортировку воды</v>
      </c>
      <c r="G242" s="2457" t="str">
        <f>INDEX(PT_DIFFERENTIATION_NTAR,MATCH(B242,PT_DIFFERENTIATION_NTAR_ID,0))</f>
        <v/>
      </c>
      <c r="H242" s="1870"/>
      <c r="I242" s="1749"/>
      <c r="J242" s="1783"/>
      <c r="K242" s="1788"/>
      <c r="L242" s="1870" t="s">
        <v>320</v>
      </c>
      <c r="M242" s="352"/>
      <c r="N242" s="345"/>
      <c r="O242" s="1635"/>
      <c r="P242" s="1635"/>
      <c r="AH242" s="1642">
        <v>0</v>
      </c>
    </row>
    <row s="1646" customFormat="1" customHeight="1" ht="18.75" hidden="1">
      <c r="A243" s="1790"/>
      <c r="B243" s="1790"/>
      <c r="C243" s="380" t="s">
        <v>1422</v>
      </c>
      <c r="D243" s="2492"/>
      <c r="E243" s="2234"/>
      <c r="F243" s="2413"/>
      <c r="G243" s="2457"/>
      <c r="H243" s="1511"/>
      <c r="I243" s="662" t="s">
        <v>1421</v>
      </c>
      <c r="J243" s="582"/>
      <c r="K243" s="1511"/>
      <c r="L243" s="225"/>
      <c r="M243" s="352"/>
      <c r="N243" s="345"/>
      <c r="O243" s="1635"/>
      <c r="P243" s="1635"/>
      <c r="AH243" s="1642">
        <v>0</v>
      </c>
    </row>
    <row s="1646" customFormat="1" customHeight="1" ht="0.75" hidden="1">
      <c r="A244" s="1790"/>
      <c r="B244" s="1790"/>
      <c r="C244" s="380" t="s">
        <v>1429</v>
      </c>
      <c r="D244" s="2492"/>
      <c r="E244" s="2234"/>
      <c r="F244" s="2413"/>
      <c r="G244" s="411"/>
      <c r="H244" s="1511"/>
      <c r="I244" s="662"/>
      <c r="J244" s="582"/>
      <c r="K244" s="1511"/>
      <c r="L244" s="225"/>
      <c r="M244" s="352"/>
      <c r="N244" s="345"/>
      <c r="O244" s="1635"/>
      <c r="P244" s="1635"/>
      <c r="AH244" s="1642">
        <v>0</v>
      </c>
    </row>
    <row s="1646" customFormat="1" customHeight="1" ht="18.75" hidden="1">
      <c r="A245" s="1790" t="s">
        <v>254</v>
      </c>
      <c r="B245" s="1790" t="s">
        <v>255</v>
      </c>
      <c r="C245" s="380"/>
      <c r="D245" s="2492"/>
      <c r="E245" s="2234"/>
      <c r="F245" s="2413" t="str">
        <f>INDEX(PT_DIFFERENTIATION_VTAR,MATCH(A245,PT_DIFFERENTIATION_VTAR_ID,0))</f>
        <v>Тариф на подвоз воды</v>
      </c>
      <c r="G245" s="2457" t="str">
        <f>INDEX(PT_DIFFERENTIATION_NTAR,MATCH(B245,PT_DIFFERENTIATION_NTAR_ID,0))</f>
        <v/>
      </c>
      <c r="H245" s="1870"/>
      <c r="I245" s="1749"/>
      <c r="J245" s="1783"/>
      <c r="K245" s="1788"/>
      <c r="L245" s="1870" t="s">
        <v>320</v>
      </c>
      <c r="M245" s="352"/>
      <c r="N245" s="345"/>
      <c r="O245" s="1635"/>
      <c r="P245" s="1635"/>
      <c r="AH245" s="1642">
        <v>0</v>
      </c>
    </row>
    <row s="1646" customFormat="1" customHeight="1" ht="18.75" hidden="1">
      <c r="A246" s="1790"/>
      <c r="B246" s="1790"/>
      <c r="C246" s="380" t="s">
        <v>1422</v>
      </c>
      <c r="D246" s="2492"/>
      <c r="E246" s="2234"/>
      <c r="F246" s="2413"/>
      <c r="G246" s="2457"/>
      <c r="H246" s="1511"/>
      <c r="I246" s="662" t="s">
        <v>1421</v>
      </c>
      <c r="J246" s="582"/>
      <c r="K246" s="1511"/>
      <c r="L246" s="225"/>
      <c r="M246" s="352"/>
      <c r="N246" s="345"/>
      <c r="O246" s="1635"/>
      <c r="P246" s="1635"/>
      <c r="AH246" s="1642">
        <v>0</v>
      </c>
    </row>
    <row s="1646" customFormat="1" customHeight="1" ht="0.75" hidden="1">
      <c r="A247" s="1790"/>
      <c r="B247" s="1790"/>
      <c r="C247" s="380" t="s">
        <v>1429</v>
      </c>
      <c r="D247" s="2492"/>
      <c r="E247" s="2234"/>
      <c r="F247" s="2413"/>
      <c r="G247" s="411"/>
      <c r="H247" s="1511"/>
      <c r="I247" s="662"/>
      <c r="J247" s="582"/>
      <c r="K247" s="1511"/>
      <c r="L247" s="225"/>
      <c r="M247" s="352"/>
      <c r="N247" s="345"/>
      <c r="O247" s="1635"/>
      <c r="P247" s="1635"/>
      <c r="AH247" s="1642">
        <v>0</v>
      </c>
    </row>
    <row s="1646" customFormat="1" customHeight="1" ht="18.75" hidden="1">
      <c r="A248" s="1790" t="s">
        <v>259</v>
      </c>
      <c r="B248" s="1790" t="s">
        <v>260</v>
      </c>
      <c r="C248" s="380"/>
      <c r="D248" s="2492"/>
      <c r="E248" s="2234"/>
      <c r="F248" s="241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7" t="str">
        <f>INDEX(PT_DIFFERENTIATION_NTAR,MATCH(B248,PT_DIFFERENTIATION_NTAR_ID,0))</f>
        <v/>
      </c>
      <c r="H248" s="1870"/>
      <c r="I248" s="1749"/>
      <c r="J248" s="1783"/>
      <c r="K248" s="1788"/>
      <c r="L248" s="1870" t="s">
        <v>320</v>
      </c>
      <c r="M248" s="352"/>
      <c r="N248" s="345"/>
      <c r="O248" s="1635"/>
      <c r="P248" s="1635"/>
      <c r="AH248" s="1642">
        <v>0</v>
      </c>
    </row>
    <row s="1646" customFormat="1" customHeight="1" ht="18.75" hidden="1">
      <c r="A249" s="1790"/>
      <c r="B249" s="1790"/>
      <c r="C249" s="380" t="s">
        <v>1422</v>
      </c>
      <c r="D249" s="2492"/>
      <c r="E249" s="2234"/>
      <c r="F249" s="2413"/>
      <c r="G249" s="2457"/>
      <c r="H249" s="1511"/>
      <c r="I249" s="662" t="s">
        <v>1421</v>
      </c>
      <c r="J249" s="582"/>
      <c r="K249" s="1511"/>
      <c r="L249" s="225"/>
      <c r="M249" s="352"/>
      <c r="N249" s="345"/>
      <c r="O249" s="1635"/>
      <c r="P249" s="1635"/>
      <c r="AH249" s="1642">
        <v>0</v>
      </c>
    </row>
    <row s="1646" customFormat="1" customHeight="1" ht="0.75" hidden="1">
      <c r="A250" s="1790"/>
      <c r="B250" s="1790"/>
      <c r="C250" s="380" t="s">
        <v>1429</v>
      </c>
      <c r="D250" s="2492"/>
      <c r="E250" s="2234"/>
      <c r="F250" s="2413"/>
      <c r="G250" s="411"/>
      <c r="H250" s="1511"/>
      <c r="I250" s="662"/>
      <c r="J250" s="582"/>
      <c r="K250" s="1511"/>
      <c r="L250" s="225"/>
      <c r="M250" s="352"/>
      <c r="N250" s="345"/>
      <c r="O250" s="1635"/>
      <c r="P250" s="1635"/>
      <c r="AH250" s="1642">
        <v>0</v>
      </c>
    </row>
    <row s="1646" customFormat="1" customHeight="1" ht="18.75" hidden="1">
      <c r="A251" s="1790" t="s">
        <v>264</v>
      </c>
      <c r="B251" s="1790" t="s">
        <v>265</v>
      </c>
      <c r="C251" s="380"/>
      <c r="D251" s="2492"/>
      <c r="E251" s="2234"/>
      <c r="F251" s="2413" t="str">
        <f>INDEX(PT_DIFFERENTIATION_VTAR,MATCH(A251,PT_DIFFERENTIATION_VTAR_ID,0))</f>
        <v>Тариф на горячую воду (горячее водоснабжение)</v>
      </c>
      <c r="G251" s="2457" t="str">
        <f>INDEX(PT_DIFFERENTIATION_NTAR,MATCH(B251,PT_DIFFERENTIATION_NTAR_ID,0))</f>
        <v/>
      </c>
      <c r="H251" s="1870"/>
      <c r="I251" s="1749"/>
      <c r="J251" s="1783"/>
      <c r="K251" s="1788"/>
      <c r="L251" s="1870" t="s">
        <v>320</v>
      </c>
      <c r="M251" s="352"/>
      <c r="N251" s="345"/>
      <c r="O251" s="1635"/>
      <c r="P251" s="1635"/>
      <c r="AH251" s="1642">
        <v>0</v>
      </c>
    </row>
    <row s="1646" customFormat="1" customHeight="1" ht="18.75" hidden="1">
      <c r="A252" s="1790"/>
      <c r="B252" s="1790"/>
      <c r="C252" s="380" t="s">
        <v>1422</v>
      </c>
      <c r="D252" s="2492"/>
      <c r="E252" s="2234"/>
      <c r="F252" s="2413"/>
      <c r="G252" s="2457"/>
      <c r="H252" s="1511"/>
      <c r="I252" s="662" t="s">
        <v>1421</v>
      </c>
      <c r="J252" s="582"/>
      <c r="K252" s="1511"/>
      <c r="L252" s="225"/>
      <c r="M252" s="352"/>
      <c r="N252" s="345"/>
      <c r="O252" s="1635"/>
      <c r="P252" s="1635"/>
      <c r="AH252" s="1642">
        <v>0</v>
      </c>
    </row>
    <row s="1646" customFormat="1" customHeight="1" ht="0.75" hidden="1">
      <c r="A253" s="1790"/>
      <c r="B253" s="1790"/>
      <c r="C253" s="380" t="s">
        <v>1429</v>
      </c>
      <c r="D253" s="2492"/>
      <c r="E253" s="2234"/>
      <c r="F253" s="2413"/>
      <c r="G253" s="411"/>
      <c r="H253" s="1511"/>
      <c r="I253" s="662"/>
      <c r="J253" s="582"/>
      <c r="K253" s="1511"/>
      <c r="L253" s="225"/>
      <c r="M253" s="352"/>
      <c r="N253" s="345"/>
      <c r="O253" s="1635"/>
      <c r="P253" s="1635"/>
      <c r="AH253" s="1642">
        <v>0</v>
      </c>
    </row>
    <row s="1646" customFormat="1" customHeight="1" ht="18.75" hidden="1">
      <c r="A254" s="1790" t="s">
        <v>269</v>
      </c>
      <c r="B254" s="1790" t="s">
        <v>270</v>
      </c>
      <c r="C254" s="380"/>
      <c r="D254" s="2492"/>
      <c r="E254" s="2234"/>
      <c r="F254" s="2413" t="str">
        <f>INDEX(PT_DIFFERENTIATION_VTAR,MATCH(A254,PT_DIFFERENTIATION_VTAR_ID,0))</f>
        <v>Тариф на транспортировку горячей воды</v>
      </c>
      <c r="G254" s="2457" t="str">
        <f>INDEX(PT_DIFFERENTIATION_NTAR,MATCH(B254,PT_DIFFERENTIATION_NTAR_ID,0))</f>
        <v/>
      </c>
      <c r="H254" s="1870"/>
      <c r="I254" s="1749"/>
      <c r="J254" s="1783"/>
      <c r="K254" s="1788"/>
      <c r="L254" s="1870" t="s">
        <v>320</v>
      </c>
      <c r="M254" s="352"/>
      <c r="N254" s="345"/>
      <c r="O254" s="1635"/>
      <c r="P254" s="1635"/>
      <c r="AH254" s="1642">
        <v>0</v>
      </c>
    </row>
    <row s="1646" customFormat="1" customHeight="1" ht="18.75" hidden="1">
      <c r="A255" s="1790"/>
      <c r="B255" s="1790"/>
      <c r="C255" s="380" t="s">
        <v>1422</v>
      </c>
      <c r="D255" s="2492"/>
      <c r="E255" s="2234"/>
      <c r="F255" s="2413"/>
      <c r="G255" s="2457"/>
      <c r="H255" s="1511"/>
      <c r="I255" s="662" t="s">
        <v>1421</v>
      </c>
      <c r="J255" s="582"/>
      <c r="K255" s="1511"/>
      <c r="L255" s="225"/>
      <c r="M255" s="352"/>
      <c r="N255" s="345"/>
      <c r="O255" s="1635"/>
      <c r="P255" s="1635"/>
      <c r="AH255" s="1642">
        <v>0</v>
      </c>
    </row>
    <row s="1646" customFormat="1" customHeight="1" ht="0.75" hidden="1">
      <c r="A256" s="1790"/>
      <c r="B256" s="1790"/>
      <c r="C256" s="380" t="s">
        <v>1429</v>
      </c>
      <c r="D256" s="2492"/>
      <c r="E256" s="2234"/>
      <c r="F256" s="2413"/>
      <c r="G256" s="411"/>
      <c r="H256" s="1511"/>
      <c r="I256" s="662"/>
      <c r="J256" s="582"/>
      <c r="K256" s="1511"/>
      <c r="L256" s="225"/>
      <c r="M256" s="352"/>
      <c r="N256" s="345"/>
      <c r="O256" s="1635"/>
      <c r="P256" s="1635"/>
      <c r="AH256" s="1642">
        <v>0</v>
      </c>
    </row>
    <row s="1646" customFormat="1" customHeight="1" ht="18.75" hidden="1">
      <c r="A257" s="1790" t="s">
        <v>274</v>
      </c>
      <c r="B257" s="1790" t="s">
        <v>275</v>
      </c>
      <c r="C257" s="380"/>
      <c r="D257" s="2492"/>
      <c r="E257" s="2234"/>
      <c r="F257" s="241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7" t="str">
        <f>INDEX(PT_DIFFERENTIATION_NTAR,MATCH(B257,PT_DIFFERENTIATION_NTAR_ID,0))</f>
        <v/>
      </c>
      <c r="H257" s="1870"/>
      <c r="I257" s="1749"/>
      <c r="J257" s="1783"/>
      <c r="K257" s="1788"/>
      <c r="L257" s="1870" t="s">
        <v>320</v>
      </c>
      <c r="M257" s="352"/>
      <c r="N257" s="345"/>
      <c r="O257" s="1635"/>
      <c r="P257" s="1635"/>
      <c r="AH257" s="1642">
        <v>0</v>
      </c>
    </row>
    <row s="1646" customFormat="1" customHeight="1" ht="18.75" hidden="1">
      <c r="A258" s="1790"/>
      <c r="B258" s="1790"/>
      <c r="C258" s="380" t="s">
        <v>1422</v>
      </c>
      <c r="D258" s="2492"/>
      <c r="E258" s="2234"/>
      <c r="F258" s="2413"/>
      <c r="G258" s="2457"/>
      <c r="H258" s="1511"/>
      <c r="I258" s="662" t="s">
        <v>1421</v>
      </c>
      <c r="J258" s="582"/>
      <c r="K258" s="1511"/>
      <c r="L258" s="225"/>
      <c r="M258" s="352"/>
      <c r="N258" s="345"/>
      <c r="O258" s="1635"/>
      <c r="P258" s="1635"/>
      <c r="AH258" s="1642">
        <v>0</v>
      </c>
    </row>
    <row s="1646" customFormat="1" customHeight="1" ht="0.75" hidden="1">
      <c r="A259" s="1790"/>
      <c r="B259" s="1790"/>
      <c r="C259" s="380" t="s">
        <v>1429</v>
      </c>
      <c r="D259" s="2492"/>
      <c r="E259" s="2234"/>
      <c r="F259" s="2413"/>
      <c r="G259" s="411"/>
      <c r="H259" s="1511"/>
      <c r="I259" s="662"/>
      <c r="J259" s="582"/>
      <c r="K259" s="1511"/>
      <c r="L259" s="225"/>
      <c r="M259" s="352"/>
      <c r="N259" s="345"/>
      <c r="O259" s="1635"/>
      <c r="P259" s="1635"/>
      <c r="AH259" s="1642">
        <v>0</v>
      </c>
    </row>
    <row s="1646" customFormat="1" customHeight="1" ht="18.75" hidden="1">
      <c r="A260" s="1790" t="s">
        <v>279</v>
      </c>
      <c r="B260" s="1790" t="s">
        <v>280</v>
      </c>
      <c r="C260" s="380"/>
      <c r="D260" s="2492"/>
      <c r="E260" s="2234"/>
      <c r="F260" s="2413" t="str">
        <f>INDEX(PT_DIFFERENTIATION_VTAR,MATCH(A260,PT_DIFFERENTIATION_VTAR_ID,0))</f>
        <v>Тариф на водоотведение</v>
      </c>
      <c r="G260" s="2457" t="str">
        <f>INDEX(PT_DIFFERENTIATION_NTAR,MATCH(B260,PT_DIFFERENTIATION_NTAR_ID,0))</f>
        <v/>
      </c>
      <c r="H260" s="1870"/>
      <c r="I260" s="1749"/>
      <c r="J260" s="1783"/>
      <c r="K260" s="1788"/>
      <c r="L260" s="1870" t="s">
        <v>320</v>
      </c>
      <c r="M260" s="352"/>
      <c r="N260" s="345"/>
      <c r="O260" s="1635"/>
      <c r="P260" s="1635"/>
      <c r="AH260" s="1642">
        <v>0</v>
      </c>
    </row>
    <row s="1646" customFormat="1" customHeight="1" ht="18.75" hidden="1">
      <c r="A261" s="1790"/>
      <c r="B261" s="1790"/>
      <c r="C261" s="380" t="s">
        <v>1422</v>
      </c>
      <c r="D261" s="2492"/>
      <c r="E261" s="2234"/>
      <c r="F261" s="2413"/>
      <c r="G261" s="2457"/>
      <c r="H261" s="1511"/>
      <c r="I261" s="662" t="s">
        <v>1421</v>
      </c>
      <c r="J261" s="582"/>
      <c r="K261" s="1511"/>
      <c r="L261" s="225"/>
      <c r="M261" s="352"/>
      <c r="N261" s="345"/>
      <c r="O261" s="1635"/>
      <c r="P261" s="1635"/>
      <c r="AH261" s="1642">
        <v>0</v>
      </c>
    </row>
    <row s="1646" customFormat="1" customHeight="1" ht="0.75" hidden="1">
      <c r="A262" s="1790"/>
      <c r="B262" s="1790"/>
      <c r="C262" s="380" t="s">
        <v>1429</v>
      </c>
      <c r="D262" s="2492"/>
      <c r="E262" s="2234"/>
      <c r="F262" s="2413"/>
      <c r="G262" s="411"/>
      <c r="H262" s="1511"/>
      <c r="I262" s="662"/>
      <c r="J262" s="582"/>
      <c r="K262" s="1511"/>
      <c r="L262" s="225"/>
      <c r="M262" s="352"/>
      <c r="N262" s="345"/>
      <c r="O262" s="1635"/>
      <c r="P262" s="1635"/>
      <c r="AH262" s="1642">
        <v>0</v>
      </c>
    </row>
    <row s="1646" customFormat="1" customHeight="1" ht="18.75" hidden="1">
      <c r="A263" s="1790" t="s">
        <v>284</v>
      </c>
      <c r="B263" s="1790" t="s">
        <v>285</v>
      </c>
      <c r="C263" s="380"/>
      <c r="D263" s="2492"/>
      <c r="E263" s="2234"/>
      <c r="F263" s="2413" t="str">
        <f>INDEX(PT_DIFFERENTIATION_VTAR,MATCH(A263,PT_DIFFERENTIATION_VTAR_ID,0))</f>
        <v>Тариф на транспортировку сточных вод</v>
      </c>
      <c r="G263" s="2457" t="str">
        <f>INDEX(PT_DIFFERENTIATION_NTAR,MATCH(B263,PT_DIFFERENTIATION_NTAR_ID,0))</f>
        <v/>
      </c>
      <c r="H263" s="1870"/>
      <c r="I263" s="1749"/>
      <c r="J263" s="1783"/>
      <c r="K263" s="1788"/>
      <c r="L263" s="1870" t="s">
        <v>320</v>
      </c>
      <c r="M263" s="352"/>
      <c r="N263" s="345"/>
      <c r="O263" s="1635"/>
      <c r="P263" s="1635"/>
      <c r="AH263" s="1642">
        <v>0</v>
      </c>
    </row>
    <row s="1646" customFormat="1" customHeight="1" ht="18.75" hidden="1">
      <c r="A264" s="1790"/>
      <c r="B264" s="1790"/>
      <c r="C264" s="380" t="s">
        <v>1422</v>
      </c>
      <c r="D264" s="2492"/>
      <c r="E264" s="2234"/>
      <c r="F264" s="2413"/>
      <c r="G264" s="2457"/>
      <c r="H264" s="1511"/>
      <c r="I264" s="662" t="s">
        <v>1421</v>
      </c>
      <c r="J264" s="582"/>
      <c r="K264" s="1511"/>
      <c r="L264" s="225"/>
      <c r="M264" s="352"/>
      <c r="N264" s="345"/>
      <c r="O264" s="1635"/>
      <c r="P264" s="1635"/>
      <c r="AH264" s="1642">
        <v>0</v>
      </c>
    </row>
    <row s="1646" customFormat="1" customHeight="1" ht="0.75" hidden="1">
      <c r="A265" s="1790"/>
      <c r="B265" s="1790"/>
      <c r="C265" s="380" t="s">
        <v>1429</v>
      </c>
      <c r="D265" s="2492"/>
      <c r="E265" s="2234"/>
      <c r="F265" s="2413"/>
      <c r="G265" s="411"/>
      <c r="H265" s="1511"/>
      <c r="I265" s="662"/>
      <c r="J265" s="582"/>
      <c r="K265" s="1511"/>
      <c r="L265" s="225"/>
      <c r="M265" s="352"/>
      <c r="N265" s="345"/>
      <c r="O265" s="1635"/>
      <c r="P265" s="1635"/>
      <c r="AH265" s="1642">
        <v>0</v>
      </c>
    </row>
    <row s="1646" customFormat="1" customHeight="1" ht="18.75" hidden="1">
      <c r="A266" s="1790" t="s">
        <v>289</v>
      </c>
      <c r="B266" s="1790" t="s">
        <v>290</v>
      </c>
      <c r="C266" s="380"/>
      <c r="D266" s="2492"/>
      <c r="E266" s="2234"/>
      <c r="F266" s="2413" t="str">
        <f>INDEX(PT_DIFFERENTIATION_VTAR,MATCH(A266,PT_DIFFERENTIATION_VTAR_ID,0))</f>
        <v>Тариф на подключение (технологическое присоединение) к централизованной системе водоотведения</v>
      </c>
      <c r="G266" s="2457" t="str">
        <f>INDEX(PT_DIFFERENTIATION_NTAR,MATCH(B266,PT_DIFFERENTIATION_NTAR_ID,0))</f>
        <v/>
      </c>
      <c r="H266" s="1870"/>
      <c r="I266" s="1749"/>
      <c r="J266" s="1783"/>
      <c r="K266" s="1788"/>
      <c r="L266" s="1870" t="s">
        <v>320</v>
      </c>
      <c r="M266" s="352"/>
      <c r="N266" s="345"/>
      <c r="O266" s="1635"/>
      <c r="P266" s="1635"/>
      <c r="AH266" s="1642">
        <v>0</v>
      </c>
    </row>
    <row s="1646" customFormat="1" customHeight="1" ht="18.75" hidden="1">
      <c r="A267" s="1790"/>
      <c r="B267" s="1790"/>
      <c r="C267" s="380" t="s">
        <v>1422</v>
      </c>
      <c r="D267" s="2492"/>
      <c r="E267" s="2234"/>
      <c r="F267" s="2413"/>
      <c r="G267" s="2457"/>
      <c r="H267" s="1511"/>
      <c r="I267" s="662" t="s">
        <v>1421</v>
      </c>
      <c r="J267" s="582"/>
      <c r="K267" s="1511"/>
      <c r="L267" s="225"/>
      <c r="M267" s="352"/>
      <c r="N267" s="345"/>
      <c r="O267" s="1635"/>
      <c r="P267" s="1635"/>
      <c r="AH267" s="1642">
        <v>0</v>
      </c>
    </row>
    <row s="1646" customFormat="1" customHeight="1" ht="1.05">
      <c r="A268" s="1790"/>
      <c r="B268" s="1790"/>
      <c r="C268" s="380" t="s">
        <v>1429</v>
      </c>
      <c r="D268" s="2492"/>
      <c r="E268" s="2234"/>
      <c r="F268" s="2413"/>
      <c r="G268" s="411"/>
      <c r="H268" s="1511"/>
      <c r="I268" s="662"/>
      <c r="J268" s="582"/>
      <c r="K268" s="1511"/>
      <c r="L268" s="225"/>
      <c r="M268" s="352"/>
      <c r="N268" s="345"/>
      <c r="O268" s="1635"/>
      <c r="P268" s="1635"/>
      <c r="AH268" s="1642">
        <v>1</v>
      </c>
    </row>
    <row customHeight="1" ht="27.299999999999997">
      <c r="A269" s="1790"/>
      <c r="B269" s="1790"/>
      <c r="D269" s="387"/>
      <c r="E269" s="158" t="s">
        <v>93</v>
      </c>
      <c r="F269" s="249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90"/>
      <c r="H269" s="2490"/>
      <c r="I269" s="2490"/>
      <c r="J269" s="2490"/>
      <c r="K269" s="2490"/>
      <c r="L269" s="2490"/>
      <c r="M269" s="308"/>
      <c r="N269" s="345"/>
      <c r="AH269" s="385">
        <v>26</v>
      </c>
    </row>
    <row s="1646" customFormat="1" customHeight="1" ht="60.75" hidden="1">
      <c r="A270" s="1790" t="s">
        <v>171</v>
      </c>
      <c r="B270" s="1790" t="s">
        <v>172</v>
      </c>
      <c r="C270" s="380"/>
      <c r="D270" s="2492"/>
      <c r="E270" s="2234"/>
      <c r="F270" s="241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7" t="str">
        <f>INDEX(PT_DIFFERENTIATION_NTAR,MATCH(B270,PT_DIFFERENTIATION_NTAR_ID,0))</f>
        <v/>
      </c>
      <c r="H270" s="1870"/>
      <c r="I270" s="1749"/>
      <c r="J270" s="1783"/>
      <c r="K270" s="1788"/>
      <c r="L270" s="1870" t="s">
        <v>320</v>
      </c>
      <c r="M270" s="21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5"/>
      <c r="O270" s="1635"/>
      <c r="P270" s="1635"/>
      <c r="AH270" s="1642">
        <v>0</v>
      </c>
    </row>
    <row s="1646" customFormat="1" customHeight="1" ht="18.75" hidden="1">
      <c r="A271" s="1790"/>
      <c r="B271" s="1790"/>
      <c r="C271" s="380" t="s">
        <v>1422</v>
      </c>
      <c r="D271" s="2492"/>
      <c r="E271" s="2234"/>
      <c r="F271" s="2413"/>
      <c r="G271" s="2457"/>
      <c r="H271" s="1511"/>
      <c r="I271" s="662" t="s">
        <v>1421</v>
      </c>
      <c r="J271" s="582"/>
      <c r="K271" s="1511"/>
      <c r="L271" s="225"/>
      <c r="M271" s="2200"/>
      <c r="N271" s="345"/>
      <c r="O271" s="1635"/>
      <c r="P271" s="1635"/>
      <c r="AH271" s="1642">
        <v>0</v>
      </c>
    </row>
    <row s="1646" customFormat="1" customHeight="1" ht="0.75" hidden="1">
      <c r="A272" s="1790"/>
      <c r="B272" s="1790"/>
      <c r="C272" s="380" t="s">
        <v>1429</v>
      </c>
      <c r="D272" s="2492"/>
      <c r="E272" s="2234"/>
      <c r="F272" s="2413"/>
      <c r="G272" s="411"/>
      <c r="H272" s="1511"/>
      <c r="I272" s="662"/>
      <c r="J272" s="582"/>
      <c r="K272" s="1511"/>
      <c r="L272" s="225"/>
      <c r="M272" s="2200"/>
      <c r="N272" s="345"/>
      <c r="O272" s="1635"/>
      <c r="P272" s="1635"/>
      <c r="AH272" s="1642">
        <v>0</v>
      </c>
    </row>
    <row s="1646" customFormat="1" customHeight="1" ht="45" hidden="1">
      <c r="A273" s="1790" t="s">
        <v>176</v>
      </c>
      <c r="B273" s="1790" t="s">
        <v>177</v>
      </c>
      <c r="C273" s="380"/>
      <c r="D273" s="2492"/>
      <c r="E273" s="2234"/>
      <c r="F273" s="2413" t="str">
        <f>INDEX(PT_DIFFERENTIATION_VTAR,MATCH(A273,PT_DIFFERENTIATION_VTAR_ID,0))</f>
        <v/>
      </c>
      <c r="G273" s="2457" t="str">
        <f>INDEX(PT_DIFFERENTIATION_NTAR,MATCH(B273,PT_DIFFERENTIATION_NTAR_ID,0))</f>
        <v/>
      </c>
      <c r="H273" s="1870"/>
      <c r="I273" s="1749"/>
      <c r="J273" s="1783"/>
      <c r="K273" s="1788"/>
      <c r="L273" s="1870" t="s">
        <v>320</v>
      </c>
      <c r="M273" s="2201"/>
      <c r="N273" s="345"/>
      <c r="O273" s="1635"/>
      <c r="P273" s="1635"/>
      <c r="AH273" s="1642">
        <v>0</v>
      </c>
    </row>
    <row s="1646" customFormat="1" customHeight="1" ht="18.75" hidden="1">
      <c r="A274" s="1790"/>
      <c r="B274" s="1790"/>
      <c r="C274" s="380" t="s">
        <v>1422</v>
      </c>
      <c r="D274" s="2492"/>
      <c r="E274" s="2234"/>
      <c r="F274" s="2413"/>
      <c r="G274" s="2457"/>
      <c r="H274" s="1511"/>
      <c r="I274" s="662" t="s">
        <v>1421</v>
      </c>
      <c r="J274" s="582"/>
      <c r="K274" s="1511"/>
      <c r="L274" s="225"/>
      <c r="M274" s="1869"/>
      <c r="N274" s="345"/>
      <c r="O274" s="1635"/>
      <c r="P274" s="1635"/>
      <c r="AH274" s="1642">
        <v>0</v>
      </c>
    </row>
    <row s="1646" customFormat="1" customHeight="1" ht="0.75" hidden="1">
      <c r="A275" s="1790"/>
      <c r="B275" s="1790"/>
      <c r="C275" s="380" t="s">
        <v>1429</v>
      </c>
      <c r="D275" s="2492"/>
      <c r="E275" s="2234"/>
      <c r="F275" s="2413"/>
      <c r="G275" s="411"/>
      <c r="H275" s="1511"/>
      <c r="I275" s="662"/>
      <c r="J275" s="582"/>
      <c r="K275" s="1511"/>
      <c r="L275" s="225"/>
      <c r="M275" s="352"/>
      <c r="N275" s="345"/>
      <c r="O275" s="1635"/>
      <c r="P275" s="1635"/>
      <c r="AH275" s="1642">
        <v>0</v>
      </c>
    </row>
    <row s="1646" customFormat="1" customHeight="1" ht="45" hidden="1">
      <c r="A276" s="1790" t="s">
        <v>183</v>
      </c>
      <c r="B276" s="1790" t="s">
        <v>184</v>
      </c>
      <c r="C276" s="380"/>
      <c r="D276" s="2492"/>
      <c r="E276" s="2234"/>
      <c r="F276" s="241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7" t="str">
        <f>INDEX(PT_DIFFERENTIATION_NTAR,MATCH(B276,PT_DIFFERENTIATION_NTAR_ID,0))</f>
        <v/>
      </c>
      <c r="H276" s="1870"/>
      <c r="I276" s="1749"/>
      <c r="J276" s="1783"/>
      <c r="K276" s="1788"/>
      <c r="L276" s="1870" t="s">
        <v>320</v>
      </c>
      <c r="M276" s="352"/>
      <c r="N276" s="345"/>
      <c r="O276" s="1635"/>
      <c r="P276" s="1635"/>
      <c r="AH276" s="1642">
        <v>0</v>
      </c>
    </row>
    <row s="1646" customFormat="1" customHeight="1" ht="18.75" hidden="1">
      <c r="A277" s="1790"/>
      <c r="B277" s="1790"/>
      <c r="C277" s="380" t="s">
        <v>1422</v>
      </c>
      <c r="D277" s="2492"/>
      <c r="E277" s="2234"/>
      <c r="F277" s="2413"/>
      <c r="G277" s="2457"/>
      <c r="H277" s="1511"/>
      <c r="I277" s="662" t="s">
        <v>1421</v>
      </c>
      <c r="J277" s="582"/>
      <c r="K277" s="1511"/>
      <c r="L277" s="225"/>
      <c r="M277" s="352"/>
      <c r="N277" s="345"/>
      <c r="O277" s="1635"/>
      <c r="P277" s="1635"/>
      <c r="AH277" s="1642">
        <v>0</v>
      </c>
    </row>
    <row s="1646" customFormat="1" customHeight="1" ht="0.75" hidden="1">
      <c r="A278" s="1790"/>
      <c r="B278" s="1790"/>
      <c r="C278" s="380" t="s">
        <v>1429</v>
      </c>
      <c r="D278" s="2492"/>
      <c r="E278" s="2234"/>
      <c r="F278" s="2413"/>
      <c r="G278" s="411"/>
      <c r="H278" s="1511"/>
      <c r="I278" s="662"/>
      <c r="J278" s="582"/>
      <c r="K278" s="1511"/>
      <c r="L278" s="225"/>
      <c r="M278" s="352"/>
      <c r="N278" s="345"/>
      <c r="O278" s="1635"/>
      <c r="P278" s="1635"/>
      <c r="AH278" s="1642">
        <v>0</v>
      </c>
    </row>
    <row s="1646" customFormat="1" customHeight="1" ht="45" hidden="1">
      <c r="A279" s="1790" t="s">
        <v>189</v>
      </c>
      <c r="B279" s="1790" t="s">
        <v>190</v>
      </c>
      <c r="C279" s="380"/>
      <c r="D279" s="2492"/>
      <c r="E279" s="2234"/>
      <c r="F279" s="241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7" t="str">
        <f>INDEX(PT_DIFFERENTIATION_NTAR,MATCH(B279,PT_DIFFERENTIATION_NTAR_ID,0))</f>
        <v/>
      </c>
      <c r="H279" s="1870"/>
      <c r="I279" s="1749"/>
      <c r="J279" s="1783"/>
      <c r="K279" s="1788"/>
      <c r="L279" s="1870" t="s">
        <v>320</v>
      </c>
      <c r="M279" s="352"/>
      <c r="N279" s="345"/>
      <c r="O279" s="1635"/>
      <c r="P279" s="1635"/>
      <c r="AH279" s="1642">
        <v>0</v>
      </c>
    </row>
    <row s="1646" customFormat="1" customHeight="1" ht="18.75" hidden="1">
      <c r="A280" s="1790"/>
      <c r="B280" s="1790"/>
      <c r="C280" s="380" t="s">
        <v>1422</v>
      </c>
      <c r="D280" s="2492"/>
      <c r="E280" s="2234"/>
      <c r="F280" s="2413"/>
      <c r="G280" s="2457"/>
      <c r="H280" s="1511"/>
      <c r="I280" s="662" t="s">
        <v>1421</v>
      </c>
      <c r="J280" s="582"/>
      <c r="K280" s="1511"/>
      <c r="L280" s="225"/>
      <c r="M280" s="352"/>
      <c r="N280" s="345"/>
      <c r="O280" s="1635"/>
      <c r="P280" s="1635"/>
      <c r="AH280" s="1642">
        <v>0</v>
      </c>
    </row>
    <row s="1646" customFormat="1" customHeight="1" ht="0.75" hidden="1">
      <c r="A281" s="1790"/>
      <c r="B281" s="1790"/>
      <c r="C281" s="380" t="s">
        <v>1429</v>
      </c>
      <c r="D281" s="2492"/>
      <c r="E281" s="2234"/>
      <c r="F281" s="2413"/>
      <c r="G281" s="411"/>
      <c r="H281" s="1511"/>
      <c r="I281" s="662"/>
      <c r="J281" s="582"/>
      <c r="K281" s="1511"/>
      <c r="L281" s="225"/>
      <c r="M281" s="352"/>
      <c r="N281" s="345"/>
      <c r="O281" s="1635"/>
      <c r="P281" s="1635"/>
      <c r="AH281" s="1642">
        <v>0</v>
      </c>
    </row>
    <row s="1646" customFormat="1" customHeight="1" ht="18.75" hidden="1">
      <c r="A282" s="1790" t="s">
        <v>195</v>
      </c>
      <c r="B282" s="1790" t="s">
        <v>196</v>
      </c>
      <c r="C282" s="380"/>
      <c r="D282" s="2492"/>
      <c r="E282" s="2234"/>
      <c r="F282" s="2413" t="str">
        <f>INDEX(PT_DIFFERENTIATION_VTAR,MATCH(A282,PT_DIFFERENTIATION_VTAR_ID,0))</f>
        <v>Тарифы на услуги по передаче тепловой энергии</v>
      </c>
      <c r="G282" s="2457" t="str">
        <f>INDEX(PT_DIFFERENTIATION_NTAR,MATCH(B282,PT_DIFFERENTIATION_NTAR_ID,0))</f>
        <v/>
      </c>
      <c r="H282" s="1870"/>
      <c r="I282" s="1749"/>
      <c r="J282" s="1783"/>
      <c r="K282" s="1788"/>
      <c r="L282" s="1870" t="s">
        <v>320</v>
      </c>
      <c r="M282" s="352"/>
      <c r="N282" s="345"/>
      <c r="O282" s="1635"/>
      <c r="P282" s="1635"/>
      <c r="AH282" s="1642">
        <v>0</v>
      </c>
    </row>
    <row s="1646" customFormat="1" customHeight="1" ht="18.75" hidden="1">
      <c r="A283" s="1790"/>
      <c r="B283" s="1790"/>
      <c r="C283" s="380" t="s">
        <v>1422</v>
      </c>
      <c r="D283" s="2492"/>
      <c r="E283" s="2234"/>
      <c r="F283" s="2413"/>
      <c r="G283" s="2457"/>
      <c r="H283" s="1511"/>
      <c r="I283" s="662" t="s">
        <v>1421</v>
      </c>
      <c r="J283" s="582"/>
      <c r="K283" s="1511"/>
      <c r="L283" s="225"/>
      <c r="M283" s="352"/>
      <c r="N283" s="345"/>
      <c r="O283" s="1635"/>
      <c r="P283" s="1635"/>
      <c r="AH283" s="1642">
        <v>0</v>
      </c>
    </row>
    <row s="1646" customFormat="1" customHeight="1" ht="0.75" hidden="1">
      <c r="A284" s="1790"/>
      <c r="B284" s="1790"/>
      <c r="C284" s="380" t="s">
        <v>1429</v>
      </c>
      <c r="D284" s="2492"/>
      <c r="E284" s="2234"/>
      <c r="F284" s="2413"/>
      <c r="G284" s="411"/>
      <c r="H284" s="1511"/>
      <c r="I284" s="662"/>
      <c r="J284" s="582"/>
      <c r="K284" s="1511"/>
      <c r="L284" s="225"/>
      <c r="M284" s="352"/>
      <c r="N284" s="345"/>
      <c r="O284" s="1635"/>
      <c r="P284" s="1635"/>
      <c r="AH284" s="1642">
        <v>0</v>
      </c>
    </row>
    <row s="1646" customFormat="1" customHeight="1" ht="18.75" hidden="1">
      <c r="A285" s="1790" t="s">
        <v>201</v>
      </c>
      <c r="B285" s="1790" t="s">
        <v>202</v>
      </c>
      <c r="C285" s="380"/>
      <c r="D285" s="2492"/>
      <c r="E285" s="2234"/>
      <c r="F285" s="2413" t="str">
        <f>INDEX(PT_DIFFERENTIATION_VTAR,MATCH(A285,PT_DIFFERENTIATION_VTAR_ID,0))</f>
        <v>Тарифы на услуги по передаче теплоносителя</v>
      </c>
      <c r="G285" s="2457" t="str">
        <f>INDEX(PT_DIFFERENTIATION_NTAR,MATCH(B285,PT_DIFFERENTIATION_NTAR_ID,0))</f>
        <v/>
      </c>
      <c r="H285" s="1870"/>
      <c r="I285" s="1749"/>
      <c r="J285" s="1783"/>
      <c r="K285" s="1788"/>
      <c r="L285" s="1870" t="s">
        <v>320</v>
      </c>
      <c r="M285" s="352"/>
      <c r="N285" s="345"/>
      <c r="O285" s="1635"/>
      <c r="P285" s="1635"/>
      <c r="AH285" s="1642">
        <v>0</v>
      </c>
    </row>
    <row s="1646" customFormat="1" customHeight="1" ht="18.75" hidden="1">
      <c r="A286" s="1790"/>
      <c r="B286" s="1790"/>
      <c r="C286" s="380" t="s">
        <v>1422</v>
      </c>
      <c r="D286" s="2492"/>
      <c r="E286" s="2234"/>
      <c r="F286" s="2413"/>
      <c r="G286" s="2457"/>
      <c r="H286" s="1511"/>
      <c r="I286" s="662" t="s">
        <v>1421</v>
      </c>
      <c r="J286" s="582"/>
      <c r="K286" s="1511"/>
      <c r="L286" s="225"/>
      <c r="M286" s="352"/>
      <c r="N286" s="345"/>
      <c r="O286" s="1635"/>
      <c r="P286" s="1635"/>
      <c r="AH286" s="1642">
        <v>0</v>
      </c>
    </row>
    <row s="1646" customFormat="1" customHeight="1" ht="0.75" hidden="1">
      <c r="A287" s="1790"/>
      <c r="B287" s="1790"/>
      <c r="C287" s="380" t="s">
        <v>1429</v>
      </c>
      <c r="D287" s="2492"/>
      <c r="E287" s="2234"/>
      <c r="F287" s="2413"/>
      <c r="G287" s="411"/>
      <c r="H287" s="1511"/>
      <c r="I287" s="662"/>
      <c r="J287" s="582"/>
      <c r="K287" s="1511"/>
      <c r="L287" s="225"/>
      <c r="M287" s="352"/>
      <c r="N287" s="345"/>
      <c r="O287" s="1635"/>
      <c r="P287" s="1635"/>
      <c r="AH287" s="1642">
        <v>0</v>
      </c>
    </row>
    <row s="1646" customFormat="1" customHeight="1" ht="18.75" hidden="1">
      <c r="A288" s="1790" t="s">
        <v>207</v>
      </c>
      <c r="B288" s="1790" t="s">
        <v>208</v>
      </c>
      <c r="C288" s="380"/>
      <c r="D288" s="2492"/>
      <c r="E288" s="2234"/>
      <c r="F288" s="241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7" t="str">
        <f>INDEX(PT_DIFFERENTIATION_NTAR,MATCH(B288,PT_DIFFERENTIATION_NTAR_ID,0))</f>
        <v/>
      </c>
      <c r="H288" s="1870"/>
      <c r="I288" s="1749"/>
      <c r="J288" s="1783"/>
      <c r="K288" s="1788"/>
      <c r="L288" s="1870" t="s">
        <v>320</v>
      </c>
      <c r="M288" s="352"/>
      <c r="N288" s="345"/>
      <c r="O288" s="1635"/>
      <c r="P288" s="1635"/>
      <c r="AH288" s="1642">
        <v>0</v>
      </c>
    </row>
    <row s="1646" customFormat="1" customHeight="1" ht="18.75" hidden="1">
      <c r="A289" s="1790"/>
      <c r="B289" s="1790"/>
      <c r="C289" s="380" t="s">
        <v>1422</v>
      </c>
      <c r="D289" s="2492"/>
      <c r="E289" s="2234"/>
      <c r="F289" s="2413"/>
      <c r="G289" s="2457"/>
      <c r="H289" s="1511"/>
      <c r="I289" s="662" t="s">
        <v>1421</v>
      </c>
      <c r="J289" s="582"/>
      <c r="K289" s="1511"/>
      <c r="L289" s="225"/>
      <c r="M289" s="352"/>
      <c r="N289" s="345"/>
      <c r="O289" s="1635"/>
      <c r="P289" s="1635"/>
      <c r="AH289" s="1642">
        <v>0</v>
      </c>
    </row>
    <row s="1646" customFormat="1" customHeight="1" ht="0.75" hidden="1">
      <c r="A290" s="1790"/>
      <c r="B290" s="1790"/>
      <c r="C290" s="380" t="s">
        <v>1429</v>
      </c>
      <c r="D290" s="2492"/>
      <c r="E290" s="2234"/>
      <c r="F290" s="2413"/>
      <c r="G290" s="411"/>
      <c r="H290" s="1511"/>
      <c r="I290" s="662"/>
      <c r="J290" s="582"/>
      <c r="K290" s="1511"/>
      <c r="L290" s="225"/>
      <c r="M290" s="352"/>
      <c r="N290" s="345"/>
      <c r="O290" s="1635"/>
      <c r="P290" s="1635"/>
      <c r="AH290" s="1642">
        <v>0</v>
      </c>
    </row>
    <row s="1646" customFormat="1" customHeight="1" ht="18.75" hidden="1">
      <c r="A291" s="1790" t="s">
        <v>213</v>
      </c>
      <c r="B291" s="1790" t="s">
        <v>214</v>
      </c>
      <c r="C291" s="380"/>
      <c r="D291" s="2492"/>
      <c r="E291" s="2234"/>
      <c r="F291" s="2413" t="str">
        <f>INDEX(PT_DIFFERENTIATION_VTAR,MATCH(A291,PT_DIFFERENTIATION_VTAR_ID,0))</f>
        <v>Плата за подключение (технологическое присоединение) к системе теплоснабжения</v>
      </c>
      <c r="G291" s="2457" t="str">
        <f>INDEX(PT_DIFFERENTIATION_NTAR,MATCH(B291,PT_DIFFERENTIATION_NTAR_ID,0))</f>
        <v/>
      </c>
      <c r="H291" s="1870"/>
      <c r="I291" s="1749"/>
      <c r="J291" s="1783"/>
      <c r="K291" s="1788"/>
      <c r="L291" s="1870" t="s">
        <v>320</v>
      </c>
      <c r="M291" s="352"/>
      <c r="N291" s="345"/>
      <c r="O291" s="1635"/>
      <c r="P291" s="1635"/>
      <c r="AH291" s="1642">
        <v>0</v>
      </c>
    </row>
    <row s="1646" customFormat="1" customHeight="1" ht="18.75" hidden="1">
      <c r="A292" s="1790"/>
      <c r="B292" s="1790"/>
      <c r="C292" s="380" t="s">
        <v>1422</v>
      </c>
      <c r="D292" s="2492"/>
      <c r="E292" s="2234"/>
      <c r="F292" s="2413"/>
      <c r="G292" s="2457"/>
      <c r="H292" s="1511"/>
      <c r="I292" s="662" t="s">
        <v>1421</v>
      </c>
      <c r="J292" s="582"/>
      <c r="K292" s="1511"/>
      <c r="L292" s="225"/>
      <c r="M292" s="352"/>
      <c r="N292" s="345"/>
      <c r="O292" s="1635"/>
      <c r="P292" s="1635"/>
      <c r="AH292" s="1642">
        <v>0</v>
      </c>
    </row>
    <row s="1646" customFormat="1" customHeight="1" ht="0.75" hidden="1">
      <c r="A293" s="1790"/>
      <c r="B293" s="1790"/>
      <c r="C293" s="380" t="s">
        <v>1429</v>
      </c>
      <c r="D293" s="2492"/>
      <c r="E293" s="2234"/>
      <c r="F293" s="2413"/>
      <c r="G293" s="411"/>
      <c r="H293" s="1511"/>
      <c r="I293" s="662"/>
      <c r="J293" s="582"/>
      <c r="K293" s="1511"/>
      <c r="L293" s="225"/>
      <c r="M293" s="352"/>
      <c r="N293" s="345"/>
      <c r="O293" s="1635"/>
      <c r="P293" s="1635"/>
      <c r="AH293" s="1642">
        <v>0</v>
      </c>
    </row>
    <row s="1646" customFormat="1" customHeight="1" ht="18.75" hidden="1">
      <c r="A294" s="1790" t="s">
        <v>219</v>
      </c>
      <c r="B294" s="1790" t="s">
        <v>220</v>
      </c>
      <c r="C294" s="380"/>
      <c r="D294" s="2492"/>
      <c r="E294" s="2234"/>
      <c r="F294" s="2413" t="str">
        <f>INDEX(PT_DIFFERENTIATION_VTAR,MATCH(A294,PT_DIFFERENTIATION_VTAR_ID,0))</f>
        <v>Плата за подключение (технологическое присоединение) к системе теплоснабжения (индивидуальная)</v>
      </c>
      <c r="G294" s="2457" t="str">
        <f>INDEX(PT_DIFFERENTIATION_NTAR,MATCH(B294,PT_DIFFERENTIATION_NTAR_ID,0))</f>
        <v/>
      </c>
      <c r="H294" s="1997"/>
      <c r="I294" s="1749"/>
      <c r="J294" s="1783"/>
      <c r="K294" s="1788"/>
      <c r="L294" s="1997" t="s">
        <v>320</v>
      </c>
      <c r="M294" s="352"/>
      <c r="N294" s="345"/>
      <c r="O294" s="1635"/>
      <c r="P294" s="1635"/>
      <c r="AH294" s="1642">
        <v>0</v>
      </c>
    </row>
    <row s="1646" customFormat="1" customHeight="1" ht="18.75" hidden="1">
      <c r="A295" s="1790"/>
      <c r="B295" s="1790"/>
      <c r="C295" s="380" t="s">
        <v>1422</v>
      </c>
      <c r="D295" s="2492"/>
      <c r="E295" s="2234"/>
      <c r="F295" s="2413"/>
      <c r="G295" s="2457"/>
      <c r="H295" s="1511"/>
      <c r="I295" s="662" t="s">
        <v>1421</v>
      </c>
      <c r="J295" s="582"/>
      <c r="K295" s="1511"/>
      <c r="L295" s="225"/>
      <c r="M295" s="352"/>
      <c r="N295" s="345"/>
      <c r="O295" s="1635"/>
      <c r="P295" s="1635"/>
      <c r="AH295" s="1642">
        <v>0</v>
      </c>
    </row>
    <row s="1646" customFormat="1" customHeight="1" ht="0.75" hidden="1">
      <c r="A296" s="1790"/>
      <c r="B296" s="1790"/>
      <c r="C296" s="380" t="s">
        <v>1429</v>
      </c>
      <c r="D296" s="2492"/>
      <c r="E296" s="2234"/>
      <c r="F296" s="2413"/>
      <c r="G296" s="411"/>
      <c r="H296" s="1511"/>
      <c r="I296" s="662"/>
      <c r="J296" s="582"/>
      <c r="K296" s="1511"/>
      <c r="L296" s="225"/>
      <c r="M296" s="352"/>
      <c r="N296" s="345"/>
      <c r="O296" s="1635"/>
      <c r="P296" s="1635"/>
      <c r="AH296" s="1642">
        <v>0</v>
      </c>
    </row>
    <row s="1646" customFormat="1" customHeight="1" ht="18.75" hidden="1">
      <c r="A297" s="1790" t="s">
        <v>239</v>
      </c>
      <c r="B297" s="1790" t="s">
        <v>240</v>
      </c>
      <c r="C297" s="380"/>
      <c r="D297" s="2492"/>
      <c r="E297" s="2234"/>
      <c r="F297" s="2413" t="str">
        <f>INDEX(PT_DIFFERENTIATION_VTAR,MATCH(A297,PT_DIFFERENTIATION_VTAR_ID,0))</f>
        <v>Тариф на питьевую воду (питьевое водоснабжение)</v>
      </c>
      <c r="G297" s="2457" t="str">
        <f>INDEX(PT_DIFFERENTIATION_NTAR,MATCH(B297,PT_DIFFERENTIATION_NTAR_ID,0))</f>
        <v/>
      </c>
      <c r="H297" s="1870"/>
      <c r="I297" s="1749"/>
      <c r="J297" s="1783"/>
      <c r="K297" s="1788"/>
      <c r="L297" s="1870" t="s">
        <v>320</v>
      </c>
      <c r="M297" s="352"/>
      <c r="N297" s="345"/>
      <c r="O297" s="1635"/>
      <c r="P297" s="1635"/>
      <c r="AH297" s="1642">
        <v>0</v>
      </c>
    </row>
    <row s="1646" customFormat="1" customHeight="1" ht="18.75" hidden="1">
      <c r="A298" s="1790"/>
      <c r="B298" s="1790"/>
      <c r="C298" s="380" t="s">
        <v>1422</v>
      </c>
      <c r="D298" s="2492"/>
      <c r="E298" s="2234"/>
      <c r="F298" s="2413"/>
      <c r="G298" s="2457"/>
      <c r="H298" s="1511"/>
      <c r="I298" s="662" t="s">
        <v>1421</v>
      </c>
      <c r="J298" s="582"/>
      <c r="K298" s="1511"/>
      <c r="L298" s="225"/>
      <c r="M298" s="352"/>
      <c r="N298" s="345"/>
      <c r="O298" s="1635"/>
      <c r="P298" s="1635"/>
      <c r="AH298" s="1642">
        <v>0</v>
      </c>
    </row>
    <row s="1646" customFormat="1" customHeight="1" ht="0.75" hidden="1">
      <c r="A299" s="1790"/>
      <c r="B299" s="1790"/>
      <c r="C299" s="380" t="s">
        <v>1429</v>
      </c>
      <c r="D299" s="2492"/>
      <c r="E299" s="2234"/>
      <c r="F299" s="2413"/>
      <c r="G299" s="411"/>
      <c r="H299" s="1511"/>
      <c r="I299" s="662"/>
      <c r="J299" s="582"/>
      <c r="K299" s="1511"/>
      <c r="L299" s="225"/>
      <c r="M299" s="352"/>
      <c r="N299" s="345"/>
      <c r="O299" s="1635"/>
      <c r="P299" s="1635"/>
      <c r="AH299" s="1642">
        <v>0</v>
      </c>
    </row>
    <row s="1646" customFormat="1" customHeight="1" ht="18.75" hidden="1">
      <c r="A300" s="1790" t="s">
        <v>244</v>
      </c>
      <c r="B300" s="1790" t="s">
        <v>245</v>
      </c>
      <c r="C300" s="380"/>
      <c r="D300" s="2492"/>
      <c r="E300" s="2234"/>
      <c r="F300" s="2413" t="str">
        <f>INDEX(PT_DIFFERENTIATION_VTAR,MATCH(A300,PT_DIFFERENTIATION_VTAR_ID,0))</f>
        <v>Тариф на техническую воду</v>
      </c>
      <c r="G300" s="2457" t="str">
        <f>INDEX(PT_DIFFERENTIATION_NTAR,MATCH(B300,PT_DIFFERENTIATION_NTAR_ID,0))</f>
        <v/>
      </c>
      <c r="H300" s="1870"/>
      <c r="I300" s="1749"/>
      <c r="J300" s="1783"/>
      <c r="K300" s="1788"/>
      <c r="L300" s="1870" t="s">
        <v>320</v>
      </c>
      <c r="M300" s="352"/>
      <c r="N300" s="345"/>
      <c r="O300" s="1635"/>
      <c r="P300" s="1635"/>
      <c r="AH300" s="1642">
        <v>0</v>
      </c>
    </row>
    <row s="1646" customFormat="1" customHeight="1" ht="18.75" hidden="1">
      <c r="A301" s="1790"/>
      <c r="B301" s="1790"/>
      <c r="C301" s="380" t="s">
        <v>1422</v>
      </c>
      <c r="D301" s="2492"/>
      <c r="E301" s="2234"/>
      <c r="F301" s="2413"/>
      <c r="G301" s="2457"/>
      <c r="H301" s="1511"/>
      <c r="I301" s="662" t="s">
        <v>1421</v>
      </c>
      <c r="J301" s="582"/>
      <c r="K301" s="1511"/>
      <c r="L301" s="225"/>
      <c r="M301" s="352"/>
      <c r="N301" s="345"/>
      <c r="O301" s="1635"/>
      <c r="P301" s="1635"/>
      <c r="AH301" s="1642">
        <v>0</v>
      </c>
    </row>
    <row s="1646" customFormat="1" customHeight="1" ht="0.75" hidden="1">
      <c r="A302" s="1790"/>
      <c r="B302" s="1790"/>
      <c r="C302" s="380" t="s">
        <v>1429</v>
      </c>
      <c r="D302" s="2492"/>
      <c r="E302" s="2234"/>
      <c r="F302" s="2413"/>
      <c r="G302" s="411"/>
      <c r="H302" s="1511"/>
      <c r="I302" s="662"/>
      <c r="J302" s="582"/>
      <c r="K302" s="1511"/>
      <c r="L302" s="225"/>
      <c r="M302" s="352"/>
      <c r="N302" s="345"/>
      <c r="O302" s="1635"/>
      <c r="P302" s="1635"/>
      <c r="AH302" s="1642">
        <v>0</v>
      </c>
    </row>
    <row s="1646" customFormat="1" customHeight="1" ht="18.75" hidden="1">
      <c r="A303" s="1790" t="s">
        <v>249</v>
      </c>
      <c r="B303" s="1790" t="s">
        <v>250</v>
      </c>
      <c r="C303" s="380"/>
      <c r="D303" s="2492"/>
      <c r="E303" s="2234"/>
      <c r="F303" s="2413" t="str">
        <f>INDEX(PT_DIFFERENTIATION_VTAR,MATCH(A303,PT_DIFFERENTIATION_VTAR_ID,0))</f>
        <v>Тариф на транспортировку воды</v>
      </c>
      <c r="G303" s="2457" t="str">
        <f>INDEX(PT_DIFFERENTIATION_NTAR,MATCH(B303,PT_DIFFERENTIATION_NTAR_ID,0))</f>
        <v/>
      </c>
      <c r="H303" s="1870"/>
      <c r="I303" s="1749"/>
      <c r="J303" s="1783"/>
      <c r="K303" s="1788"/>
      <c r="L303" s="1870" t="s">
        <v>320</v>
      </c>
      <c r="M303" s="352"/>
      <c r="N303" s="345"/>
      <c r="O303" s="1635"/>
      <c r="P303" s="1635"/>
      <c r="AH303" s="1642">
        <v>0</v>
      </c>
    </row>
    <row s="1646" customFormat="1" customHeight="1" ht="18.75" hidden="1">
      <c r="A304" s="1790"/>
      <c r="B304" s="1790"/>
      <c r="C304" s="380" t="s">
        <v>1422</v>
      </c>
      <c r="D304" s="2492"/>
      <c r="E304" s="2234"/>
      <c r="F304" s="2413"/>
      <c r="G304" s="2457"/>
      <c r="H304" s="1511"/>
      <c r="I304" s="662" t="s">
        <v>1421</v>
      </c>
      <c r="J304" s="582"/>
      <c r="K304" s="1511"/>
      <c r="L304" s="225"/>
      <c r="M304" s="352"/>
      <c r="N304" s="345"/>
      <c r="O304" s="1635"/>
      <c r="P304" s="1635"/>
      <c r="AH304" s="1642">
        <v>0</v>
      </c>
    </row>
    <row s="1646" customFormat="1" customHeight="1" ht="0.75" hidden="1">
      <c r="A305" s="1790"/>
      <c r="B305" s="1790"/>
      <c r="C305" s="380" t="s">
        <v>1429</v>
      </c>
      <c r="D305" s="2492"/>
      <c r="E305" s="2234"/>
      <c r="F305" s="2413"/>
      <c r="G305" s="411"/>
      <c r="H305" s="1511"/>
      <c r="I305" s="662"/>
      <c r="J305" s="582"/>
      <c r="K305" s="1511"/>
      <c r="L305" s="225"/>
      <c r="M305" s="352"/>
      <c r="N305" s="345"/>
      <c r="O305" s="1635"/>
      <c r="P305" s="1635"/>
      <c r="AH305" s="1642">
        <v>0</v>
      </c>
    </row>
    <row s="1646" customFormat="1" customHeight="1" ht="18.75" hidden="1">
      <c r="A306" s="1790" t="s">
        <v>254</v>
      </c>
      <c r="B306" s="1790" t="s">
        <v>255</v>
      </c>
      <c r="C306" s="380"/>
      <c r="D306" s="2492"/>
      <c r="E306" s="2234"/>
      <c r="F306" s="2413" t="str">
        <f>INDEX(PT_DIFFERENTIATION_VTAR,MATCH(A306,PT_DIFFERENTIATION_VTAR_ID,0))</f>
        <v>Тариф на подвоз воды</v>
      </c>
      <c r="G306" s="2457" t="str">
        <f>INDEX(PT_DIFFERENTIATION_NTAR,MATCH(B306,PT_DIFFERENTIATION_NTAR_ID,0))</f>
        <v/>
      </c>
      <c r="H306" s="1870"/>
      <c r="I306" s="1749"/>
      <c r="J306" s="1783"/>
      <c r="K306" s="1788"/>
      <c r="L306" s="1870" t="s">
        <v>320</v>
      </c>
      <c r="M306" s="352"/>
      <c r="N306" s="345"/>
      <c r="O306" s="1635"/>
      <c r="P306" s="1635"/>
      <c r="AH306" s="1642">
        <v>0</v>
      </c>
    </row>
    <row s="1646" customFormat="1" customHeight="1" ht="18.75" hidden="1">
      <c r="A307" s="1790"/>
      <c r="B307" s="1790"/>
      <c r="C307" s="380" t="s">
        <v>1422</v>
      </c>
      <c r="D307" s="2492"/>
      <c r="E307" s="2234"/>
      <c r="F307" s="2413"/>
      <c r="G307" s="2457"/>
      <c r="H307" s="1511"/>
      <c r="I307" s="662" t="s">
        <v>1421</v>
      </c>
      <c r="J307" s="582"/>
      <c r="K307" s="1511"/>
      <c r="L307" s="225"/>
      <c r="M307" s="352"/>
      <c r="N307" s="345"/>
      <c r="O307" s="1635"/>
      <c r="P307" s="1635"/>
      <c r="AH307" s="1642">
        <v>0</v>
      </c>
    </row>
    <row s="1646" customFormat="1" customHeight="1" ht="0.75" hidden="1">
      <c r="A308" s="1790"/>
      <c r="B308" s="1790"/>
      <c r="C308" s="380" t="s">
        <v>1429</v>
      </c>
      <c r="D308" s="2492"/>
      <c r="E308" s="2234"/>
      <c r="F308" s="2413"/>
      <c r="G308" s="411"/>
      <c r="H308" s="1511"/>
      <c r="I308" s="662"/>
      <c r="J308" s="582"/>
      <c r="K308" s="1511"/>
      <c r="L308" s="225"/>
      <c r="M308" s="352"/>
      <c r="N308" s="345"/>
      <c r="O308" s="1635"/>
      <c r="P308" s="1635"/>
      <c r="AH308" s="1642">
        <v>0</v>
      </c>
    </row>
    <row s="1646" customFormat="1" customHeight="1" ht="18.75" hidden="1">
      <c r="A309" s="1790" t="s">
        <v>259</v>
      </c>
      <c r="B309" s="1790" t="s">
        <v>260</v>
      </c>
      <c r="C309" s="380"/>
      <c r="D309" s="2492"/>
      <c r="E309" s="2234"/>
      <c r="F309" s="241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7" t="str">
        <f>INDEX(PT_DIFFERENTIATION_NTAR,MATCH(B309,PT_DIFFERENTIATION_NTAR_ID,0))</f>
        <v/>
      </c>
      <c r="H309" s="1870"/>
      <c r="I309" s="1749"/>
      <c r="J309" s="1783"/>
      <c r="K309" s="1788"/>
      <c r="L309" s="1870" t="s">
        <v>320</v>
      </c>
      <c r="M309" s="352"/>
      <c r="N309" s="345"/>
      <c r="O309" s="1635"/>
      <c r="P309" s="1635"/>
      <c r="AH309" s="1642">
        <v>0</v>
      </c>
    </row>
    <row s="1646" customFormat="1" customHeight="1" ht="18.75" hidden="1">
      <c r="A310" s="1790"/>
      <c r="B310" s="1790"/>
      <c r="C310" s="380" t="s">
        <v>1422</v>
      </c>
      <c r="D310" s="2492"/>
      <c r="E310" s="2234"/>
      <c r="F310" s="2413"/>
      <c r="G310" s="2457"/>
      <c r="H310" s="1511"/>
      <c r="I310" s="662" t="s">
        <v>1421</v>
      </c>
      <c r="J310" s="582"/>
      <c r="K310" s="1511"/>
      <c r="L310" s="225"/>
      <c r="M310" s="352"/>
      <c r="N310" s="345"/>
      <c r="O310" s="1635"/>
      <c r="P310" s="1635"/>
      <c r="AH310" s="1642">
        <v>0</v>
      </c>
    </row>
    <row s="1646" customFormat="1" customHeight="1" ht="0.75" hidden="1">
      <c r="A311" s="1790"/>
      <c r="B311" s="1790"/>
      <c r="C311" s="380" t="s">
        <v>1429</v>
      </c>
      <c r="D311" s="2492"/>
      <c r="E311" s="2234"/>
      <c r="F311" s="2413"/>
      <c r="G311" s="411"/>
      <c r="H311" s="1511"/>
      <c r="I311" s="662"/>
      <c r="J311" s="582"/>
      <c r="K311" s="1511"/>
      <c r="L311" s="225"/>
      <c r="M311" s="352"/>
      <c r="N311" s="345"/>
      <c r="O311" s="1635"/>
      <c r="P311" s="1635"/>
      <c r="AH311" s="1642">
        <v>0</v>
      </c>
    </row>
    <row s="1646" customFormat="1" customHeight="1" ht="18.75" hidden="1">
      <c r="A312" s="1790" t="s">
        <v>264</v>
      </c>
      <c r="B312" s="1790" t="s">
        <v>265</v>
      </c>
      <c r="C312" s="380"/>
      <c r="D312" s="2492"/>
      <c r="E312" s="2234"/>
      <c r="F312" s="2413" t="str">
        <f>INDEX(PT_DIFFERENTIATION_VTAR,MATCH(A312,PT_DIFFERENTIATION_VTAR_ID,0))</f>
        <v>Тариф на горячую воду (горячее водоснабжение)</v>
      </c>
      <c r="G312" s="2457" t="str">
        <f>INDEX(PT_DIFFERENTIATION_NTAR,MATCH(B312,PT_DIFFERENTIATION_NTAR_ID,0))</f>
        <v/>
      </c>
      <c r="H312" s="1870"/>
      <c r="I312" s="1749"/>
      <c r="J312" s="1783"/>
      <c r="K312" s="1788"/>
      <c r="L312" s="1870" t="s">
        <v>320</v>
      </c>
      <c r="M312" s="352"/>
      <c r="N312" s="345"/>
      <c r="O312" s="1635"/>
      <c r="P312" s="1635"/>
      <c r="AH312" s="1642">
        <v>0</v>
      </c>
    </row>
    <row s="1646" customFormat="1" customHeight="1" ht="18.75" hidden="1">
      <c r="A313" s="1790"/>
      <c r="B313" s="1790"/>
      <c r="C313" s="380" t="s">
        <v>1422</v>
      </c>
      <c r="D313" s="2492"/>
      <c r="E313" s="2234"/>
      <c r="F313" s="2413"/>
      <c r="G313" s="2457"/>
      <c r="H313" s="1511"/>
      <c r="I313" s="662" t="s">
        <v>1421</v>
      </c>
      <c r="J313" s="582"/>
      <c r="K313" s="1511"/>
      <c r="L313" s="225"/>
      <c r="M313" s="352"/>
      <c r="N313" s="345"/>
      <c r="O313" s="1635"/>
      <c r="P313" s="1635"/>
      <c r="AH313" s="1642">
        <v>0</v>
      </c>
    </row>
    <row s="1646" customFormat="1" customHeight="1" ht="0.75" hidden="1">
      <c r="A314" s="1790"/>
      <c r="B314" s="1790"/>
      <c r="C314" s="380" t="s">
        <v>1429</v>
      </c>
      <c r="D314" s="2492"/>
      <c r="E314" s="2234"/>
      <c r="F314" s="2413"/>
      <c r="G314" s="411"/>
      <c r="H314" s="1511"/>
      <c r="I314" s="662"/>
      <c r="J314" s="582"/>
      <c r="K314" s="1511"/>
      <c r="L314" s="225"/>
      <c r="M314" s="352"/>
      <c r="N314" s="345"/>
      <c r="O314" s="1635"/>
      <c r="P314" s="1635"/>
      <c r="AH314" s="1642">
        <v>0</v>
      </c>
    </row>
    <row s="1646" customFormat="1" customHeight="1" ht="18.75" hidden="1">
      <c r="A315" s="1790" t="s">
        <v>269</v>
      </c>
      <c r="B315" s="1790" t="s">
        <v>270</v>
      </c>
      <c r="C315" s="380"/>
      <c r="D315" s="2492"/>
      <c r="E315" s="2234"/>
      <c r="F315" s="2413" t="str">
        <f>INDEX(PT_DIFFERENTIATION_VTAR,MATCH(A315,PT_DIFFERENTIATION_VTAR_ID,0))</f>
        <v>Тариф на транспортировку горячей воды</v>
      </c>
      <c r="G315" s="2457" t="str">
        <f>INDEX(PT_DIFFERENTIATION_NTAR,MATCH(B315,PT_DIFFERENTIATION_NTAR_ID,0))</f>
        <v/>
      </c>
      <c r="H315" s="1870"/>
      <c r="I315" s="1749"/>
      <c r="J315" s="1783"/>
      <c r="K315" s="1788"/>
      <c r="L315" s="1870" t="s">
        <v>320</v>
      </c>
      <c r="M315" s="352"/>
      <c r="N315" s="345"/>
      <c r="O315" s="1635"/>
      <c r="P315" s="1635"/>
      <c r="AH315" s="1642">
        <v>0</v>
      </c>
    </row>
    <row s="1646" customFormat="1" customHeight="1" ht="18.75" hidden="1">
      <c r="A316" s="1790"/>
      <c r="B316" s="1790"/>
      <c r="C316" s="380" t="s">
        <v>1422</v>
      </c>
      <c r="D316" s="2492"/>
      <c r="E316" s="2234"/>
      <c r="F316" s="2413"/>
      <c r="G316" s="2457"/>
      <c r="H316" s="1511"/>
      <c r="I316" s="662" t="s">
        <v>1421</v>
      </c>
      <c r="J316" s="582"/>
      <c r="K316" s="1511"/>
      <c r="L316" s="225"/>
      <c r="M316" s="352"/>
      <c r="N316" s="345"/>
      <c r="O316" s="1635"/>
      <c r="P316" s="1635"/>
      <c r="AH316" s="1642">
        <v>0</v>
      </c>
    </row>
    <row s="1646" customFormat="1" customHeight="1" ht="0.75" hidden="1">
      <c r="A317" s="1790"/>
      <c r="B317" s="1790"/>
      <c r="C317" s="380" t="s">
        <v>1429</v>
      </c>
      <c r="D317" s="2492"/>
      <c r="E317" s="2234"/>
      <c r="F317" s="2413"/>
      <c r="G317" s="411"/>
      <c r="H317" s="1511"/>
      <c r="I317" s="662"/>
      <c r="J317" s="582"/>
      <c r="K317" s="1511"/>
      <c r="L317" s="225"/>
      <c r="M317" s="352"/>
      <c r="N317" s="345"/>
      <c r="O317" s="1635"/>
      <c r="P317" s="1635"/>
      <c r="AH317" s="1642">
        <v>0</v>
      </c>
    </row>
    <row s="1646" customFormat="1" customHeight="1" ht="18.75" hidden="1">
      <c r="A318" s="1790" t="s">
        <v>274</v>
      </c>
      <c r="B318" s="1790" t="s">
        <v>275</v>
      </c>
      <c r="C318" s="380"/>
      <c r="D318" s="2492"/>
      <c r="E318" s="2234"/>
      <c r="F318" s="241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7" t="str">
        <f>INDEX(PT_DIFFERENTIATION_NTAR,MATCH(B318,PT_DIFFERENTIATION_NTAR_ID,0))</f>
        <v/>
      </c>
      <c r="H318" s="1870"/>
      <c r="I318" s="1749"/>
      <c r="J318" s="1783"/>
      <c r="K318" s="1788"/>
      <c r="L318" s="1870" t="s">
        <v>320</v>
      </c>
      <c r="M318" s="352"/>
      <c r="N318" s="345"/>
      <c r="O318" s="1635"/>
      <c r="P318" s="1635"/>
      <c r="AH318" s="1642">
        <v>0</v>
      </c>
    </row>
    <row s="1646" customFormat="1" customHeight="1" ht="18.75" hidden="1">
      <c r="A319" s="1790"/>
      <c r="B319" s="1790"/>
      <c r="C319" s="380" t="s">
        <v>1422</v>
      </c>
      <c r="D319" s="2492"/>
      <c r="E319" s="2234"/>
      <c r="F319" s="2413"/>
      <c r="G319" s="2457"/>
      <c r="H319" s="1511"/>
      <c r="I319" s="662" t="s">
        <v>1421</v>
      </c>
      <c r="J319" s="582"/>
      <c r="K319" s="1511"/>
      <c r="L319" s="225"/>
      <c r="M319" s="352"/>
      <c r="N319" s="345"/>
      <c r="O319" s="1635"/>
      <c r="P319" s="1635"/>
      <c r="AH319" s="1642">
        <v>0</v>
      </c>
    </row>
    <row s="1646" customFormat="1" customHeight="1" ht="0.75" hidden="1">
      <c r="A320" s="1790"/>
      <c r="B320" s="1790"/>
      <c r="C320" s="380" t="s">
        <v>1429</v>
      </c>
      <c r="D320" s="2492"/>
      <c r="E320" s="2234"/>
      <c r="F320" s="2413"/>
      <c r="G320" s="411"/>
      <c r="H320" s="1511"/>
      <c r="I320" s="662"/>
      <c r="J320" s="582"/>
      <c r="K320" s="1511"/>
      <c r="L320" s="225"/>
      <c r="M320" s="352"/>
      <c r="N320" s="345"/>
      <c r="O320" s="1635"/>
      <c r="P320" s="1635"/>
      <c r="AH320" s="1642">
        <v>0</v>
      </c>
    </row>
    <row s="1646" customFormat="1" customHeight="1" ht="18.75" hidden="1">
      <c r="A321" s="1790" t="s">
        <v>279</v>
      </c>
      <c r="B321" s="1790" t="s">
        <v>280</v>
      </c>
      <c r="C321" s="380"/>
      <c r="D321" s="2492"/>
      <c r="E321" s="2234"/>
      <c r="F321" s="2413" t="str">
        <f>INDEX(PT_DIFFERENTIATION_VTAR,MATCH(A321,PT_DIFFERENTIATION_VTAR_ID,0))</f>
        <v>Тариф на водоотведение</v>
      </c>
      <c r="G321" s="2457" t="str">
        <f>INDEX(PT_DIFFERENTIATION_NTAR,MATCH(B321,PT_DIFFERENTIATION_NTAR_ID,0))</f>
        <v/>
      </c>
      <c r="H321" s="1870"/>
      <c r="I321" s="1749"/>
      <c r="J321" s="1783"/>
      <c r="K321" s="1788"/>
      <c r="L321" s="1870" t="s">
        <v>320</v>
      </c>
      <c r="M321" s="352"/>
      <c r="N321" s="345"/>
      <c r="O321" s="1635"/>
      <c r="P321" s="1635"/>
      <c r="AH321" s="1642">
        <v>0</v>
      </c>
    </row>
    <row s="1646" customFormat="1" customHeight="1" ht="18.75" hidden="1">
      <c r="A322" s="1790"/>
      <c r="B322" s="1790"/>
      <c r="C322" s="380" t="s">
        <v>1422</v>
      </c>
      <c r="D322" s="2492"/>
      <c r="E322" s="2234"/>
      <c r="F322" s="2413"/>
      <c r="G322" s="2457"/>
      <c r="H322" s="1511"/>
      <c r="I322" s="662" t="s">
        <v>1421</v>
      </c>
      <c r="J322" s="582"/>
      <c r="K322" s="1511"/>
      <c r="L322" s="225"/>
      <c r="M322" s="352"/>
      <c r="N322" s="345"/>
      <c r="O322" s="1635"/>
      <c r="P322" s="1635"/>
      <c r="AH322" s="1642">
        <v>0</v>
      </c>
    </row>
    <row s="1646" customFormat="1" customHeight="1" ht="0.75" hidden="1">
      <c r="A323" s="1790"/>
      <c r="B323" s="1790"/>
      <c r="C323" s="380" t="s">
        <v>1429</v>
      </c>
      <c r="D323" s="2492"/>
      <c r="E323" s="2234"/>
      <c r="F323" s="2413"/>
      <c r="G323" s="411"/>
      <c r="H323" s="1511"/>
      <c r="I323" s="662"/>
      <c r="J323" s="582"/>
      <c r="K323" s="1511"/>
      <c r="L323" s="225"/>
      <c r="M323" s="352"/>
      <c r="N323" s="345"/>
      <c r="O323" s="1635"/>
      <c r="P323" s="1635"/>
      <c r="AH323" s="1642">
        <v>0</v>
      </c>
    </row>
    <row s="1646" customFormat="1" customHeight="1" ht="18.75" hidden="1">
      <c r="A324" s="1790" t="s">
        <v>284</v>
      </c>
      <c r="B324" s="1790" t="s">
        <v>285</v>
      </c>
      <c r="C324" s="380"/>
      <c r="D324" s="2492"/>
      <c r="E324" s="2234"/>
      <c r="F324" s="2413" t="str">
        <f>INDEX(PT_DIFFERENTIATION_VTAR,MATCH(A324,PT_DIFFERENTIATION_VTAR_ID,0))</f>
        <v>Тариф на транспортировку сточных вод</v>
      </c>
      <c r="G324" s="2457" t="str">
        <f>INDEX(PT_DIFFERENTIATION_NTAR,MATCH(B324,PT_DIFFERENTIATION_NTAR_ID,0))</f>
        <v/>
      </c>
      <c r="H324" s="1870"/>
      <c r="I324" s="1749"/>
      <c r="J324" s="1783"/>
      <c r="K324" s="1788"/>
      <c r="L324" s="1870" t="s">
        <v>320</v>
      </c>
      <c r="M324" s="352"/>
      <c r="N324" s="345"/>
      <c r="O324" s="1635"/>
      <c r="P324" s="1635"/>
      <c r="AH324" s="1642">
        <v>0</v>
      </c>
    </row>
    <row s="1646" customFormat="1" customHeight="1" ht="18.75" hidden="1">
      <c r="A325" s="1790"/>
      <c r="B325" s="1790"/>
      <c r="C325" s="380" t="s">
        <v>1422</v>
      </c>
      <c r="D325" s="2492"/>
      <c r="E325" s="2234"/>
      <c r="F325" s="2413"/>
      <c r="G325" s="2457"/>
      <c r="H325" s="1511"/>
      <c r="I325" s="662" t="s">
        <v>1421</v>
      </c>
      <c r="J325" s="582"/>
      <c r="K325" s="1511"/>
      <c r="L325" s="225"/>
      <c r="M325" s="352"/>
      <c r="N325" s="345"/>
      <c r="O325" s="1635"/>
      <c r="P325" s="1635"/>
      <c r="AH325" s="1642">
        <v>0</v>
      </c>
    </row>
    <row s="1646" customFormat="1" customHeight="1" ht="0.75" hidden="1">
      <c r="A326" s="1790"/>
      <c r="B326" s="1790"/>
      <c r="C326" s="380" t="s">
        <v>1429</v>
      </c>
      <c r="D326" s="2492"/>
      <c r="E326" s="2234"/>
      <c r="F326" s="2413"/>
      <c r="G326" s="411"/>
      <c r="H326" s="1511"/>
      <c r="I326" s="662"/>
      <c r="J326" s="582"/>
      <c r="K326" s="1511"/>
      <c r="L326" s="225"/>
      <c r="M326" s="352"/>
      <c r="N326" s="345"/>
      <c r="O326" s="1635"/>
      <c r="P326" s="1635"/>
      <c r="AH326" s="1642">
        <v>0</v>
      </c>
    </row>
    <row s="1646" customFormat="1" customHeight="1" ht="18.75" hidden="1">
      <c r="A327" s="1790" t="s">
        <v>289</v>
      </c>
      <c r="B327" s="1790" t="s">
        <v>290</v>
      </c>
      <c r="C327" s="380"/>
      <c r="D327" s="2492"/>
      <c r="E327" s="2234"/>
      <c r="F327" s="2413" t="str">
        <f>INDEX(PT_DIFFERENTIATION_VTAR,MATCH(A327,PT_DIFFERENTIATION_VTAR_ID,0))</f>
        <v>Тариф на подключение (технологическое присоединение) к централизованной системе водоотведения</v>
      </c>
      <c r="G327" s="2457" t="str">
        <f>INDEX(PT_DIFFERENTIATION_NTAR,MATCH(B327,PT_DIFFERENTIATION_NTAR_ID,0))</f>
        <v/>
      </c>
      <c r="H327" s="1870"/>
      <c r="I327" s="1749"/>
      <c r="J327" s="1783"/>
      <c r="K327" s="1788"/>
      <c r="L327" s="1870" t="s">
        <v>320</v>
      </c>
      <c r="M327" s="352"/>
      <c r="N327" s="345"/>
      <c r="O327" s="1635"/>
      <c r="P327" s="1635"/>
      <c r="AH327" s="1642">
        <v>0</v>
      </c>
    </row>
    <row s="1646" customFormat="1" customHeight="1" ht="18.75" hidden="1">
      <c r="A328" s="1790"/>
      <c r="B328" s="1790"/>
      <c r="C328" s="380" t="s">
        <v>1422</v>
      </c>
      <c r="D328" s="2492"/>
      <c r="E328" s="2234"/>
      <c r="F328" s="2413"/>
      <c r="G328" s="2457"/>
      <c r="H328" s="1511"/>
      <c r="I328" s="662" t="s">
        <v>1421</v>
      </c>
      <c r="J328" s="582"/>
      <c r="K328" s="1511"/>
      <c r="L328" s="225"/>
      <c r="M328" s="352"/>
      <c r="N328" s="345"/>
      <c r="O328" s="1635"/>
      <c r="P328" s="1635"/>
      <c r="AH328" s="1642">
        <v>0</v>
      </c>
    </row>
    <row s="1646" customFormat="1" customHeight="1" ht="1.05">
      <c r="A329" s="1790"/>
      <c r="B329" s="1790"/>
      <c r="C329" s="380" t="s">
        <v>1429</v>
      </c>
      <c r="D329" s="2492"/>
      <c r="E329" s="2234"/>
      <c r="F329" s="2413"/>
      <c r="G329" s="411"/>
      <c r="H329" s="1511"/>
      <c r="I329" s="662"/>
      <c r="J329" s="582"/>
      <c r="K329" s="1511"/>
      <c r="L329" s="225"/>
      <c r="M329" s="352"/>
      <c r="N329" s="345"/>
      <c r="O329" s="1635"/>
      <c r="P329" s="1635"/>
      <c r="AH329" s="1642">
        <v>1</v>
      </c>
    </row>
    <row s="1833" customFormat="1" customHeight="1" ht="3">
      <c r="A330" s="1790"/>
      <c r="B330" s="1790"/>
      <c r="C330" s="1791"/>
      <c r="E330" s="413"/>
      <c r="F330" s="413"/>
      <c r="G330" s="413"/>
      <c r="H330" s="413"/>
      <c r="I330" s="413"/>
      <c r="J330" s="413"/>
      <c r="K330" s="413"/>
      <c r="L330" s="413"/>
      <c r="M330" s="413"/>
      <c r="O330" s="207"/>
      <c r="P330" s="207"/>
      <c r="AH330" s="151">
        <v>3</v>
      </c>
    </row>
    <row customHeight="1" ht="26.25">
      <c r="E331" s="213"/>
      <c r="F331" s="2315"/>
      <c r="G331" s="2315"/>
      <c r="H331" s="2315"/>
      <c r="I331" s="2315"/>
      <c r="J331" s="2315"/>
      <c r="K331" s="2315"/>
      <c r="L331" s="2315"/>
      <c r="M331" s="2315"/>
      <c r="AH331" s="385">
        <v>25</v>
      </c>
    </row>
    <row customHeight="1" ht="14.25" hidden="1">
      <c r="A332" s="1789" t="s">
        <v>83</v>
      </c>
      <c r="B332" s="1789">
        <v>0</v>
      </c>
      <c r="C332" s="380">
        <v>0</v>
      </c>
      <c r="D332" s="355">
        <v>3</v>
      </c>
      <c r="E332" s="385">
        <v>6</v>
      </c>
      <c r="F332" s="385">
        <v>46</v>
      </c>
      <c r="G332" s="385">
        <v>35</v>
      </c>
      <c r="H332" s="385">
        <v>3</v>
      </c>
      <c r="I332" s="385">
        <v>11</v>
      </c>
      <c r="J332" s="385">
        <v>11</v>
      </c>
      <c r="K332" s="385">
        <v>35</v>
      </c>
      <c r="L332" s="385">
        <v>35</v>
      </c>
      <c r="M332" s="385">
        <v>84</v>
      </c>
      <c r="N332" s="385">
        <v>10</v>
      </c>
      <c r="O332" s="361">
        <v>10</v>
      </c>
      <c r="P332" s="361">
        <v>10</v>
      </c>
      <c r="Q332" s="385">
        <v>10</v>
      </c>
      <c r="R332" s="385">
        <v>10</v>
      </c>
      <c r="S332" s="385">
        <v>10</v>
      </c>
      <c r="T332" s="385">
        <v>10</v>
      </c>
      <c r="U332" s="385">
        <v>10</v>
      </c>
      <c r="V332" s="385">
        <v>10</v>
      </c>
      <c r="W332" s="385">
        <v>10</v>
      </c>
      <c r="X332" s="385">
        <v>10</v>
      </c>
      <c r="Y332" s="385">
        <v>10</v>
      </c>
      <c r="Z332" s="385">
        <v>10</v>
      </c>
      <c r="AA332" s="385">
        <v>10</v>
      </c>
      <c r="AB332" s="385">
        <v>10</v>
      </c>
      <c r="AC332" s="385">
        <v>10</v>
      </c>
      <c r="AD332" s="385">
        <v>10</v>
      </c>
      <c r="AE332" s="385">
        <v>10</v>
      </c>
      <c r="AF332" s="385">
        <v>10</v>
      </c>
      <c r="AG332" s="385">
        <v>10</v>
      </c>
      <c r="AH332" s="38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A2288-F228-A0B8-5DC8-ECA9732291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27" width="9.140625" hidden="1" customWidth="1"/>
    <col min="2" max="2" style="1377" width="9.140625" hidden="1" customWidth="1"/>
    <col min="3" max="3" style="355" width="3.00390625" customWidth="1"/>
    <col min="4" max="4" style="1646" width="6.00390625" customWidth="1"/>
    <col min="5" max="5" style="1646" width="53.00390625" customWidth="1"/>
    <col min="6" max="7" style="1646" width="35.00390625" customWidth="1"/>
    <col min="8" max="8" style="1646" width="89.00390625" customWidth="1"/>
    <col min="9" max="9" style="1646" width="10.00390625" customWidth="1"/>
    <col min="10" max="11" style="1635" width="10.00390625" customWidth="1"/>
    <col min="12" max="17" style="1646" width="10.00390625" customWidth="1"/>
    <col min="18" max="18" style="1646" width="10.57421875" hidden="1"/>
  </cols>
  <sheetData>
    <row customHeight="1" ht="22.5" hidden="1">
      <c r="N1" s="266"/>
      <c r="O1" s="266"/>
      <c r="Q1" s="266"/>
      <c r="R1" s="385" t="s">
        <v>14</v>
      </c>
    </row>
    <row s="1646" customFormat="1" customHeight="1" ht="18.75" hidden="1">
      <c r="A2" s="113"/>
      <c r="B2" s="1171"/>
      <c r="C2" s="1740" t="s">
        <v>105</v>
      </c>
      <c r="D2" s="1683"/>
      <c r="E2" s="1692"/>
      <c r="F2" s="268"/>
      <c r="G2" s="1172"/>
      <c r="H2" s="385"/>
      <c r="I2" s="1635"/>
      <c r="J2" s="1635"/>
      <c r="R2" s="1642">
        <v>0</v>
      </c>
    </row>
    <row customHeight="1" ht="14.25" hidden="1">
      <c r="R3" s="385">
        <v>0</v>
      </c>
    </row>
    <row customHeight="1" ht="6.3">
      <c r="C4" s="387"/>
      <c r="D4" s="374"/>
      <c r="E4" s="374"/>
      <c r="F4" s="374"/>
      <c r="G4" s="96"/>
      <c r="H4" s="96"/>
      <c r="R4" s="385">
        <v>6</v>
      </c>
    </row>
    <row customHeight="1" ht="34.5">
      <c r="C5" s="387"/>
      <c r="D5" s="248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85"/>
      <c r="F5" s="2485"/>
      <c r="G5" s="2486"/>
      <c r="H5" s="277"/>
      <c r="R5" s="385">
        <v>33</v>
      </c>
    </row>
    <row s="1646" customFormat="1" customHeight="1" ht="18">
      <c r="A6" s="1679"/>
      <c r="B6" s="1171"/>
      <c r="C6" s="387"/>
      <c r="D6" s="2487" t="str">
        <f>IF(org=0,"Не определено",org)</f>
        <v>ПАО "КГК"</v>
      </c>
      <c r="E6" s="2488"/>
      <c r="F6" s="2488"/>
      <c r="G6" s="2489"/>
      <c r="H6" s="277"/>
      <c r="J6" s="1635"/>
      <c r="K6" s="1635"/>
      <c r="R6" s="1642">
        <v>17</v>
      </c>
    </row>
    <row customHeight="1" ht="14.699999999999998">
      <c r="C7" s="387"/>
      <c r="D7" s="374"/>
      <c r="E7" s="400"/>
      <c r="F7" s="400"/>
      <c r="G7" s="763"/>
      <c r="H7" s="204"/>
      <c r="R7" s="385">
        <v>14</v>
      </c>
    </row>
    <row customHeight="1" ht="14.699999999999998">
      <c r="C8" s="387"/>
      <c r="D8" s="2239" t="s">
        <v>314</v>
      </c>
      <c r="E8" s="2239"/>
      <c r="F8" s="2239"/>
      <c r="G8" s="2239"/>
      <c r="H8" s="2419" t="s">
        <v>315</v>
      </c>
      <c r="R8" s="385">
        <v>14</v>
      </c>
    </row>
    <row customHeight="1" ht="24">
      <c r="C9" s="387"/>
      <c r="D9" s="397" t="s">
        <v>89</v>
      </c>
      <c r="E9" s="119" t="s">
        <v>316</v>
      </c>
      <c r="F9" s="119" t="s">
        <v>317</v>
      </c>
      <c r="G9" s="119" t="s">
        <v>404</v>
      </c>
      <c r="H9" s="2419"/>
      <c r="R9" s="385">
        <v>23</v>
      </c>
    </row>
    <row customHeight="1" ht="14.699999999999998">
      <c r="A10" s="354"/>
      <c r="C10" s="387"/>
      <c r="D10" s="158" t="s">
        <v>120</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8"/>
      <c r="G10" s="224"/>
      <c r="H10" s="2199" t="s">
        <v>1430</v>
      </c>
      <c r="R10" s="385">
        <v>14</v>
      </c>
    </row>
    <row customHeight="1" ht="14.699999999999998">
      <c r="A11" s="354"/>
      <c r="C11" s="387"/>
      <c r="D11" s="158" t="s">
        <v>104</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8"/>
      <c r="G11" s="224"/>
      <c r="H11" s="2200"/>
      <c r="R11" s="385">
        <v>14</v>
      </c>
    </row>
    <row customHeight="1" ht="14.699999999999998">
      <c r="A12" s="113"/>
      <c r="C12" s="398"/>
      <c r="D12" s="158" t="s">
        <v>91</v>
      </c>
      <c r="E12" s="399" t="str">
        <f>"Сведения о планировании закупочных процедур"&amp;IF(TEMPLATE_SPHERE="TKO"," &lt;1&gt;","")</f>
        <v>Сведения о планировании закупочных процедур</v>
      </c>
      <c r="F12" s="268"/>
      <c r="G12" s="224"/>
      <c r="H12" s="22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1"/>
      <c r="K12" s="385"/>
      <c r="R12" s="385">
        <v>14</v>
      </c>
    </row>
    <row customHeight="1" ht="14.699999999999998">
      <c r="A13" s="113"/>
      <c r="C13" s="398"/>
      <c r="D13" s="158" t="s">
        <v>92</v>
      </c>
      <c r="E13" s="399" t="str">
        <f>"Сведения о результатах проведения закупочных процедур"&amp;IF(TEMPLATE_SPHERE="TKO"," &lt;1&gt;","")</f>
        <v>Сведения о результатах проведения закупочных процедур</v>
      </c>
      <c r="F13" s="268"/>
      <c r="G13" s="224"/>
      <c r="H13" s="2200"/>
      <c r="I13" s="361"/>
      <c r="K13" s="385"/>
      <c r="R13" s="385">
        <v>14</v>
      </c>
    </row>
    <row customHeight="1" ht="14.699999999999998">
      <c r="A14" s="354"/>
      <c r="C14" s="387"/>
      <c r="D14" s="358"/>
      <c r="E14" s="406" t="s">
        <v>336</v>
      </c>
      <c r="F14" s="360"/>
      <c r="G14" s="212"/>
      <c r="H14" s="2201"/>
      <c r="R14" s="385">
        <v>14</v>
      </c>
    </row>
    <row s="1646" customFormat="1" customHeight="1" ht="14.699999999999998">
      <c r="A15" s="354"/>
      <c r="B15" s="1171"/>
      <c r="C15" s="387"/>
      <c r="D15" s="407"/>
      <c r="E15" s="1687"/>
      <c r="F15" s="1688"/>
      <c r="G15" s="1689"/>
      <c r="H15" s="1690"/>
      <c r="J15" s="1635"/>
      <c r="K15" s="1635"/>
      <c r="R15" s="1642">
        <v>14</v>
      </c>
    </row>
    <row customHeight="1" ht="14.699999999999998">
      <c r="D16" s="1691"/>
      <c r="E16" s="2415"/>
      <c r="F16" s="2415"/>
      <c r="G16" s="2415"/>
      <c r="H16" s="2415"/>
      <c r="R16" s="385">
        <v>14</v>
      </c>
    </row>
    <row customHeight="1" ht="22.5" hidden="1">
      <c r="A17" s="375" t="s">
        <v>83</v>
      </c>
      <c r="B17" s="157">
        <v>0</v>
      </c>
      <c r="C17" s="355">
        <v>3</v>
      </c>
      <c r="D17" s="385">
        <v>6</v>
      </c>
      <c r="E17" s="385">
        <v>53</v>
      </c>
      <c r="F17" s="385">
        <v>35</v>
      </c>
      <c r="G17" s="385">
        <v>35</v>
      </c>
      <c r="H17" s="385">
        <v>89</v>
      </c>
      <c r="I17" s="385">
        <v>10</v>
      </c>
      <c r="J17" s="361">
        <v>10</v>
      </c>
      <c r="K17" s="361">
        <v>10</v>
      </c>
      <c r="L17" s="385">
        <v>10</v>
      </c>
      <c r="M17" s="385">
        <v>10</v>
      </c>
      <c r="N17" s="385">
        <v>10</v>
      </c>
      <c r="O17" s="385">
        <v>10</v>
      </c>
      <c r="P17" s="385">
        <v>10</v>
      </c>
      <c r="Q17" s="385">
        <v>10</v>
      </c>
      <c r="R17" s="38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A7CFE-E8B8-9BAB-185C-3A607844AB6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5"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customWidth="1"/>
    <col min="21" max="21" style="1861" width="5.7109375" customWidth="1"/>
    <col min="22" max="22" style="1861" width="34.421875" customWidth="1"/>
    <col min="23" max="23" style="1861" width="30.00390625" customWidth="1"/>
    <col min="24" max="24" style="1861" width="3.00390625" customWidth="1"/>
    <col min="25" max="28" style="1277" width="9.8515625" hidden="1" customWidth="1"/>
    <col min="29" max="29" style="1277" width="27.00390625" hidden="1" customWidth="1"/>
    <col min="30" max="30" style="1277" width="10.57421875" hidden="1" customWidth="1"/>
    <col min="31" max="31" style="1277" width="10.7109375" hidden="1" customWidth="1"/>
    <col min="32" max="32" style="1277" width="10.00390625" hidden="1" customWidth="1"/>
    <col min="33" max="33" style="1277" width="12.8515625" hidden="1" customWidth="1"/>
    <col min="34" max="34" style="1277" width="24.421875" hidden="1" customWidth="1"/>
    <col min="35" max="35" style="1277" width="15.8515625" hidden="1" customWidth="1"/>
    <col min="36" max="36" style="1277" width="19.421875" hidden="1" customWidth="1"/>
    <col min="37" max="37" style="1277" width="11.00390625" hidden="1" customWidth="1"/>
    <col min="38" max="38" style="1277" width="23.57421875" hidden="1" customWidth="1"/>
    <col min="39" max="39" style="1277" width="23.8515625" hidden="1" customWidth="1"/>
    <col min="40" max="40" style="1277" width="25.28125" hidden="1" customWidth="1"/>
    <col min="41" max="41" style="1277" width="16.8515625" hidden="1" customWidth="1"/>
    <col min="42" max="42" style="1277" width="29.57421875" hidden="1" customWidth="1"/>
    <col min="43" max="43" style="1277" width="29.8515625" hidden="1" customWidth="1"/>
    <col min="44" max="44" style="1861" width="9.140625" hidden="1"/>
  </cols>
  <sheetData>
    <row customHeight="1" ht="11.25" hidden="1">
      <c r="A1" s="167"/>
      <c r="AR1" s="115" t="s">
        <v>14</v>
      </c>
    </row>
    <row customHeight="1" ht="11.25" hidden="1">
      <c r="AR2" s="115">
        <v>0</v>
      </c>
    </row>
    <row customHeight="1" ht="11.25" hidden="1">
      <c r="AR3" s="115">
        <v>0</v>
      </c>
    </row>
    <row customHeight="1" ht="3">
      <c r="AR4" s="115">
        <v>3</v>
      </c>
    </row>
    <row s="600" customFormat="1" customHeight="1" ht="30.45">
      <c r="A5" s="165"/>
      <c r="B5" s="165"/>
      <c r="D5" s="218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88"/>
      <c r="F5" s="2188"/>
      <c r="G5" s="2188"/>
      <c r="H5" s="2188"/>
      <c r="I5" s="2188"/>
      <c r="J5" s="2189"/>
      <c r="K5" s="276"/>
      <c r="L5" s="153"/>
      <c r="M5" s="153"/>
      <c r="N5" s="153"/>
      <c r="O5" s="153"/>
      <c r="P5" s="153"/>
      <c r="Q5" s="153"/>
      <c r="R5" s="153"/>
      <c r="S5" s="301"/>
      <c r="T5" s="301"/>
      <c r="U5" s="301"/>
      <c r="V5" s="301"/>
      <c r="W5" s="153"/>
      <c r="Y5" s="1271"/>
      <c r="Z5" s="1271"/>
      <c r="AA5" s="1271"/>
      <c r="AB5" s="1271"/>
      <c r="AC5" s="1271"/>
      <c r="AD5" s="1271"/>
      <c r="AE5" s="1271"/>
      <c r="AF5" s="1271"/>
      <c r="AG5" s="1271"/>
      <c r="AH5" s="1271"/>
      <c r="AI5" s="1271"/>
      <c r="AJ5" s="1271"/>
      <c r="AK5" s="1271"/>
      <c r="AL5" s="1271"/>
      <c r="AM5" s="1271"/>
      <c r="AN5" s="1271"/>
      <c r="AO5" s="1271"/>
      <c r="AP5" s="1271"/>
      <c r="AQ5" s="1271"/>
      <c r="AR5" s="122">
        <v>29</v>
      </c>
    </row>
    <row s="600" customFormat="1" customHeight="1" ht="14.699999999999998">
      <c r="A6" s="596"/>
      <c r="B6" s="596"/>
      <c r="C6" s="596"/>
      <c r="D6" s="2193" t="str">
        <f>IF(org=0,"Не определено",org)</f>
        <v>ПАО "КГК"</v>
      </c>
      <c r="E6" s="2193"/>
      <c r="F6" s="2193"/>
      <c r="G6" s="2193"/>
      <c r="H6" s="2193"/>
      <c r="I6" s="2193"/>
      <c r="J6" s="2193"/>
      <c r="K6" s="597"/>
      <c r="L6" s="597"/>
      <c r="M6" s="597"/>
      <c r="N6" s="597"/>
      <c r="O6" s="881"/>
      <c r="P6" s="881"/>
      <c r="Q6" s="881"/>
      <c r="R6" s="881"/>
      <c r="S6" s="881"/>
      <c r="T6" s="881"/>
      <c r="U6" s="881"/>
      <c r="V6" s="881"/>
      <c r="W6" s="881"/>
      <c r="X6" s="597"/>
      <c r="Y6" s="1272"/>
      <c r="Z6" s="1272"/>
      <c r="AA6" s="1272"/>
      <c r="AB6" s="1272"/>
      <c r="AC6" s="1272"/>
      <c r="AD6" s="1272"/>
      <c r="AE6" s="1272"/>
      <c r="AF6" s="1272"/>
      <c r="AG6" s="1272"/>
      <c r="AH6" s="1272"/>
      <c r="AI6" s="1272"/>
      <c r="AJ6" s="1272"/>
      <c r="AK6" s="1272"/>
      <c r="AL6" s="1272"/>
      <c r="AM6" s="1272"/>
      <c r="AN6" s="1272"/>
      <c r="AO6" s="1272"/>
      <c r="AP6" s="1272"/>
      <c r="AQ6" s="1272"/>
      <c r="AR6" s="598">
        <v>14</v>
      </c>
    </row>
    <row s="310" customFormat="1" customHeight="1" ht="11.549999999999999">
      <c r="A7" s="222"/>
      <c r="B7" s="222"/>
      <c r="D7" s="2190"/>
      <c r="E7" s="2191"/>
      <c r="F7" s="2191"/>
      <c r="G7" s="2191"/>
      <c r="H7" s="2191"/>
      <c r="I7" s="2191"/>
      <c r="J7" s="2192"/>
      <c r="S7" s="310"/>
      <c r="T7" s="310"/>
      <c r="U7" s="310"/>
      <c r="V7" s="310"/>
      <c r="Y7" s="1273"/>
      <c r="Z7" s="1273"/>
      <c r="AA7" s="1273"/>
      <c r="AB7" s="1273"/>
      <c r="AC7" s="1273"/>
      <c r="AD7" s="1273"/>
      <c r="AE7" s="1273"/>
      <c r="AF7" s="1273"/>
      <c r="AG7" s="1273"/>
      <c r="AH7" s="1273"/>
      <c r="AI7" s="1273"/>
      <c r="AJ7" s="1273"/>
      <c r="AK7" s="1273"/>
      <c r="AL7" s="1273"/>
      <c r="AM7" s="1273"/>
      <c r="AN7" s="1273"/>
      <c r="AO7" s="1273"/>
      <c r="AP7" s="1273"/>
      <c r="AQ7" s="1273"/>
      <c r="AR7" s="287">
        <v>11</v>
      </c>
    </row>
    <row s="600" customFormat="1" customHeight="1" ht="1.05">
      <c r="A8" s="165"/>
      <c r="B8" s="165"/>
      <c r="D8" s="223"/>
      <c r="E8" s="223"/>
      <c r="F8" s="223"/>
      <c r="G8" s="223"/>
      <c r="H8" s="223"/>
      <c r="I8" s="223"/>
      <c r="J8" s="223"/>
      <c r="K8" s="223"/>
      <c r="L8" s="223"/>
      <c r="M8" s="223"/>
      <c r="N8" s="223"/>
      <c r="O8" s="223"/>
      <c r="P8" s="223"/>
      <c r="Q8" s="223"/>
      <c r="R8" s="223"/>
      <c r="S8" s="223"/>
      <c r="T8" s="223"/>
      <c r="U8" s="223"/>
      <c r="V8" s="223"/>
      <c r="W8" s="223"/>
      <c r="X8" s="143"/>
      <c r="Y8" s="1271"/>
      <c r="Z8" s="1271"/>
      <c r="AA8" s="1271"/>
      <c r="AB8" s="1271"/>
      <c r="AC8" s="1271"/>
      <c r="AD8" s="1271"/>
      <c r="AE8" s="1271"/>
      <c r="AF8" s="1271"/>
      <c r="AG8" s="1271"/>
      <c r="AH8" s="1271"/>
      <c r="AI8" s="1271"/>
      <c r="AJ8" s="1271"/>
      <c r="AK8" s="1271"/>
      <c r="AL8" s="1271"/>
      <c r="AM8" s="1271"/>
      <c r="AN8" s="1271"/>
      <c r="AO8" s="1271"/>
      <c r="AP8" s="1271"/>
      <c r="AQ8" s="1271"/>
      <c r="AR8" s="122">
        <v>1</v>
      </c>
    </row>
    <row customHeight="1" ht="28.5">
      <c r="D9" s="2157" t="s">
        <v>89</v>
      </c>
      <c r="E9" s="2131" t="s">
        <v>138</v>
      </c>
      <c r="F9" s="2133"/>
      <c r="G9" s="2157" t="s">
        <v>116</v>
      </c>
      <c r="H9" s="2157" t="s">
        <v>89</v>
      </c>
      <c r="I9" s="2157"/>
      <c r="J9" s="2157" t="s">
        <v>139</v>
      </c>
      <c r="K9" s="2185" t="s">
        <v>140</v>
      </c>
      <c r="L9" s="2185"/>
      <c r="M9" s="2185"/>
      <c r="N9" s="2185"/>
      <c r="O9" s="2185" t="s">
        <v>141</v>
      </c>
      <c r="P9" s="2185"/>
      <c r="Q9" s="2185"/>
      <c r="R9" s="2185"/>
      <c r="S9" s="2185" t="s">
        <v>142</v>
      </c>
      <c r="T9" s="2185"/>
      <c r="U9" s="2185"/>
      <c r="V9" s="2185"/>
      <c r="W9" s="2157" t="s">
        <v>143</v>
      </c>
      <c r="AR9" s="115">
        <v>27</v>
      </c>
    </row>
    <row customHeight="1" ht="31.5">
      <c r="D10" s="2157"/>
      <c r="E10" s="1295" t="s">
        <v>90</v>
      </c>
      <c r="F10" s="1295" t="s">
        <v>144</v>
      </c>
      <c r="G10" s="2157"/>
      <c r="H10" s="2157"/>
      <c r="I10" s="2157"/>
      <c r="J10" s="2157"/>
      <c r="K10" s="121" t="s">
        <v>119</v>
      </c>
      <c r="L10" s="2157" t="s">
        <v>89</v>
      </c>
      <c r="M10" s="2157"/>
      <c r="N10" s="121" t="s">
        <v>145</v>
      </c>
      <c r="O10" s="121" t="s">
        <v>119</v>
      </c>
      <c r="P10" s="2157" t="s">
        <v>89</v>
      </c>
      <c r="Q10" s="2157"/>
      <c r="R10" s="121" t="s">
        <v>145</v>
      </c>
      <c r="S10" s="294" t="s">
        <v>119</v>
      </c>
      <c r="T10" s="2157" t="s">
        <v>89</v>
      </c>
      <c r="U10" s="2157"/>
      <c r="V10" s="294" t="s">
        <v>90</v>
      </c>
      <c r="W10" s="2157"/>
      <c r="Z10" s="1270" t="s">
        <v>146</v>
      </c>
      <c r="AA10" s="1270" t="s">
        <v>147</v>
      </c>
      <c r="AB10" s="1270" t="s">
        <v>148</v>
      </c>
      <c r="AC10" s="1270" t="s">
        <v>149</v>
      </c>
      <c r="AD10" s="1270" t="s">
        <v>150</v>
      </c>
      <c r="AE10" s="1270" t="s">
        <v>151</v>
      </c>
      <c r="AF10" s="1270" t="s">
        <v>152</v>
      </c>
      <c r="AG10" s="1270" t="s">
        <v>153</v>
      </c>
      <c r="AH10" s="1270" t="s">
        <v>154</v>
      </c>
      <c r="AI10" s="1270" t="s">
        <v>155</v>
      </c>
      <c r="AJ10" s="1270" t="s">
        <v>156</v>
      </c>
      <c r="AK10" s="1270" t="s">
        <v>157</v>
      </c>
      <c r="AL10" s="1270" t="s">
        <v>158</v>
      </c>
      <c r="AM10" s="1270" t="s">
        <v>159</v>
      </c>
      <c r="AN10" s="1270" t="s">
        <v>160</v>
      </c>
      <c r="AO10" s="1270" t="s">
        <v>161</v>
      </c>
      <c r="AP10" s="1270" t="s">
        <v>162</v>
      </c>
      <c r="AQ10" s="1270" t="s">
        <v>163</v>
      </c>
      <c r="AR10" s="115">
        <v>30</v>
      </c>
    </row>
    <row s="1635" customFormat="1" customHeight="1" ht="12">
      <c r="D11" s="1260" t="s">
        <v>120</v>
      </c>
      <c r="E11" s="1260" t="s">
        <v>104</v>
      </c>
      <c r="F11" s="1260"/>
      <c r="G11" s="1260" t="s">
        <v>91</v>
      </c>
      <c r="H11" s="2186" t="s">
        <v>121</v>
      </c>
      <c r="I11" s="2186"/>
      <c r="J11" s="1260" t="s">
        <v>93</v>
      </c>
      <c r="K11" s="1260" t="s">
        <v>94</v>
      </c>
      <c r="L11" s="2186" t="s">
        <v>122</v>
      </c>
      <c r="M11" s="2186"/>
      <c r="N11" s="1260" t="s">
        <v>164</v>
      </c>
      <c r="O11" s="1260" t="s">
        <v>165</v>
      </c>
      <c r="P11" s="2186" t="s">
        <v>166</v>
      </c>
      <c r="Q11" s="2186"/>
      <c r="R11" s="1260" t="s">
        <v>167</v>
      </c>
      <c r="S11" s="1260" t="s">
        <v>166</v>
      </c>
      <c r="T11" s="2186" t="s">
        <v>167</v>
      </c>
      <c r="U11" s="2186"/>
      <c r="V11" s="1260" t="s">
        <v>168</v>
      </c>
      <c r="W11" s="1260" t="s">
        <v>169</v>
      </c>
      <c r="Y11" s="1270"/>
      <c r="Z11" s="1270"/>
      <c r="AA11" s="1270"/>
      <c r="AB11" s="1270"/>
      <c r="AC11" s="1270"/>
      <c r="AD11" s="1270"/>
      <c r="AE11" s="1270"/>
      <c r="AF11" s="1270"/>
      <c r="AG11" s="1270"/>
      <c r="AH11" s="1270"/>
      <c r="AI11" s="1270"/>
      <c r="AJ11" s="1270"/>
      <c r="AK11" s="1270"/>
      <c r="AL11" s="1270"/>
      <c r="AM11" s="1270"/>
      <c r="AN11" s="1270"/>
      <c r="AO11" s="1270"/>
      <c r="AP11" s="1270"/>
      <c r="AQ11" s="1270"/>
      <c r="AR11" s="288">
        <v>0</v>
      </c>
    </row>
    <row customHeight="1" ht="14.25">
      <c r="C12" s="220"/>
      <c r="D12" s="1293">
        <v>0</v>
      </c>
      <c r="E12" s="261"/>
      <c r="F12" s="261"/>
      <c r="G12" s="261"/>
      <c r="H12" s="262"/>
      <c r="I12" s="262"/>
      <c r="J12" s="169"/>
      <c r="K12" s="123"/>
      <c r="L12" s="169"/>
      <c r="M12" s="169"/>
      <c r="N12" s="263"/>
      <c r="O12" s="123"/>
      <c r="P12" s="169"/>
      <c r="Q12" s="169"/>
      <c r="R12" s="264"/>
      <c r="S12" s="295"/>
      <c r="T12" s="303"/>
      <c r="U12" s="303"/>
      <c r="V12" s="307"/>
      <c r="W12" s="123"/>
      <c r="X12" s="152"/>
      <c r="AR12" s="115">
        <v>0</v>
      </c>
    </row>
    <row s="1861" customFormat="1" customHeight="1" ht="17.25">
      <c r="A13" s="332"/>
      <c r="C13" s="220"/>
      <c r="D13" s="2165">
        <v>1</v>
      </c>
      <c r="E13" s="2173" t="s">
        <v>170</v>
      </c>
      <c r="F13" s="2175" t="s">
        <v>19</v>
      </c>
      <c r="G13" s="2173"/>
      <c r="H13" s="2178"/>
      <c r="I13" s="2180"/>
      <c r="J13" s="2182"/>
      <c r="K13" s="2167"/>
      <c r="L13" s="2167"/>
      <c r="M13" s="2167"/>
      <c r="N13" s="2169"/>
      <c r="O13" s="2167"/>
      <c r="P13" s="2167"/>
      <c r="Q13" s="2167"/>
      <c r="R13" s="2172"/>
      <c r="S13" s="2167"/>
      <c r="T13" s="1431"/>
      <c r="U13" s="1431"/>
      <c r="V13" s="1430"/>
      <c r="W13" s="1307"/>
      <c r="Y13" s="1278"/>
      <c r="Z13" s="1278"/>
      <c r="AA13" s="1278"/>
      <c r="AB13" s="1278"/>
      <c r="AC13" s="1278" t="s">
        <v>171</v>
      </c>
      <c r="AD13" s="1278" t="s">
        <v>172</v>
      </c>
      <c r="AE13" s="1278" t="s">
        <v>173</v>
      </c>
      <c r="AF13" s="1278" t="s">
        <v>174</v>
      </c>
      <c r="AG13" s="1278" t="s">
        <v>175</v>
      </c>
      <c r="AH13" s="127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8" t="str">
        <f>IF($G$13=0,"",$G$13)</f>
        <v/>
      </c>
      <c r="AJ13" s="1278" t="str">
        <f>IF($J$13=0,"",$J$13)</f>
        <v/>
      </c>
      <c r="AK13" s="1278" t="str">
        <f>IF($K$13="нет","без дифференциации",IF($N$13=0,"",$N$13))</f>
        <v/>
      </c>
      <c r="AL13" s="1278" t="str">
        <f>IF($O$13="нет","без дифференциации",IF($R$13=0,"",$R$13))</f>
        <v/>
      </c>
      <c r="AM13" s="1278" t="str">
        <f>IF($S$13="нет","без дифференциации",IF($V$13=0,"",$V$13))</f>
        <v/>
      </c>
      <c r="AN13" s="1278">
        <f>$I$13</f>
        <v>0</v>
      </c>
      <c r="AO13" s="1278" t="str">
        <f>$I$13&amp;"."&amp;$M$13</f>
        <v>.</v>
      </c>
      <c r="AP13" s="1278" t="str">
        <f>$I$13&amp;"."&amp;$M$13&amp;"."&amp;$Q$13</f>
        <v>..</v>
      </c>
      <c r="AQ13" s="1278" t="str">
        <f>$I$13&amp;"."&amp;$M$13&amp;"."&amp;$Q$13&amp;"."&amp;$U$13</f>
        <v>...</v>
      </c>
      <c r="AR13" s="761">
        <v>0</v>
      </c>
    </row>
    <row s="1861" customFormat="1" customHeight="1" ht="17.25">
      <c r="A14" s="332"/>
      <c r="C14" s="331"/>
      <c r="D14" s="2165"/>
      <c r="E14" s="2173"/>
      <c r="F14" s="2176"/>
      <c r="G14" s="2173"/>
      <c r="H14" s="2179"/>
      <c r="I14" s="2181"/>
      <c r="J14" s="2183"/>
      <c r="K14" s="2168"/>
      <c r="L14" s="2168"/>
      <c r="M14" s="2168"/>
      <c r="N14" s="2170"/>
      <c r="O14" s="2168"/>
      <c r="P14" s="2168"/>
      <c r="Q14" s="2168"/>
      <c r="R14" s="2171"/>
      <c r="S14" s="2168"/>
      <c r="T14" s="1308"/>
      <c r="U14" s="1308"/>
      <c r="V14" s="1308"/>
      <c r="W14" s="1309"/>
      <c r="Y14" s="1270"/>
      <c r="Z14" s="1270"/>
      <c r="AA14" s="1270"/>
      <c r="AB14" s="1270"/>
      <c r="AC14" s="1270"/>
      <c r="AD14" s="1270"/>
      <c r="AE14" s="1270"/>
      <c r="AF14" s="1270"/>
      <c r="AG14" s="1270"/>
      <c r="AH14" s="1270"/>
      <c r="AI14" s="1270"/>
      <c r="AJ14" s="1270"/>
      <c r="AK14" s="1270"/>
      <c r="AL14" s="1270"/>
      <c r="AM14" s="1270"/>
      <c r="AN14" s="1270"/>
      <c r="AO14" s="1270"/>
      <c r="AP14" s="1270"/>
      <c r="AQ14" s="1270"/>
      <c r="AR14" s="761">
        <v>0</v>
      </c>
    </row>
    <row s="1861" customFormat="1" customHeight="1" ht="17.25">
      <c r="A15" s="332"/>
      <c r="C15" s="220"/>
      <c r="D15" s="2165"/>
      <c r="E15" s="2173"/>
      <c r="F15" s="2176"/>
      <c r="G15" s="2173"/>
      <c r="H15" s="2179"/>
      <c r="I15" s="2181"/>
      <c r="J15" s="2184"/>
      <c r="K15" s="2168"/>
      <c r="L15" s="2168"/>
      <c r="M15" s="2168"/>
      <c r="N15" s="2171"/>
      <c r="O15" s="2168"/>
      <c r="P15" s="1429"/>
      <c r="Q15" s="1308"/>
      <c r="R15" s="1308"/>
      <c r="S15" s="340"/>
      <c r="T15" s="340"/>
      <c r="U15" s="340"/>
      <c r="V15" s="340"/>
      <c r="W15" s="1309"/>
      <c r="Y15" s="1278"/>
      <c r="Z15" s="1278"/>
      <c r="AA15" s="1278"/>
      <c r="AB15" s="1278"/>
      <c r="AC15" s="1278"/>
      <c r="AD15" s="1278"/>
      <c r="AE15" s="1278"/>
      <c r="AF15" s="1278"/>
      <c r="AG15" s="1278"/>
      <c r="AH15" s="1278"/>
      <c r="AI15" s="1278"/>
      <c r="AJ15" s="1278"/>
      <c r="AK15" s="1278"/>
      <c r="AL15" s="1278"/>
      <c r="AM15" s="1278"/>
      <c r="AN15" s="1278"/>
      <c r="AO15" s="1278"/>
      <c r="AP15" s="1278"/>
      <c r="AQ15" s="1278"/>
      <c r="AR15" s="1428">
        <v>0</v>
      </c>
    </row>
    <row s="1861" customFormat="1" customHeight="1" ht="17.25">
      <c r="A16" s="332"/>
      <c r="C16" s="331"/>
      <c r="D16" s="2165"/>
      <c r="E16" s="2173"/>
      <c r="F16" s="2176"/>
      <c r="G16" s="2173"/>
      <c r="H16" s="2179"/>
      <c r="I16" s="2181"/>
      <c r="J16" s="2184"/>
      <c r="K16" s="2168"/>
      <c r="L16" s="1308"/>
      <c r="M16" s="1308"/>
      <c r="N16" s="1308"/>
      <c r="O16" s="1308"/>
      <c r="P16" s="1308"/>
      <c r="Q16" s="1308"/>
      <c r="R16" s="1308"/>
      <c r="S16" s="340"/>
      <c r="T16" s="340"/>
      <c r="U16" s="340"/>
      <c r="V16" s="340"/>
      <c r="W16" s="1309"/>
      <c r="Y16" s="1270"/>
      <c r="Z16" s="1270"/>
      <c r="AA16" s="1270"/>
      <c r="AB16" s="1270"/>
      <c r="AC16" s="1270"/>
      <c r="AD16" s="1270"/>
      <c r="AE16" s="1270"/>
      <c r="AF16" s="1270"/>
      <c r="AG16" s="1270"/>
      <c r="AH16" s="1270"/>
      <c r="AI16" s="1270"/>
      <c r="AJ16" s="1270"/>
      <c r="AK16" s="1270"/>
      <c r="AL16" s="1270"/>
      <c r="AM16" s="1270"/>
      <c r="AN16" s="1270"/>
      <c r="AO16" s="1270"/>
      <c r="AP16" s="1270"/>
      <c r="AQ16" s="1270"/>
      <c r="AR16" s="1428">
        <v>0</v>
      </c>
    </row>
    <row s="1861" customFormat="1" customHeight="1" ht="17.25">
      <c r="A17" s="332"/>
      <c r="C17" s="331"/>
      <c r="D17" s="2166"/>
      <c r="E17" s="2174"/>
      <c r="F17" s="2177"/>
      <c r="G17" s="2174"/>
      <c r="H17" s="1310"/>
      <c r="I17" s="1311"/>
      <c r="J17" s="1311"/>
      <c r="K17" s="1311"/>
      <c r="L17" s="1311"/>
      <c r="M17" s="1311"/>
      <c r="N17" s="1311"/>
      <c r="O17" s="1311"/>
      <c r="P17" s="1311"/>
      <c r="Q17" s="1311"/>
      <c r="R17" s="1311"/>
      <c r="S17" s="1312"/>
      <c r="T17" s="1312"/>
      <c r="U17" s="1312"/>
      <c r="V17" s="1312"/>
      <c r="W17" s="1313"/>
      <c r="Y17" s="1270"/>
      <c r="Z17" s="1270"/>
      <c r="AA17" s="1270"/>
      <c r="AB17" s="1270"/>
      <c r="AC17" s="1270"/>
      <c r="AD17" s="1270"/>
      <c r="AE17" s="1270"/>
      <c r="AF17" s="1270"/>
      <c r="AG17" s="1270"/>
      <c r="AH17" s="1270"/>
      <c r="AI17" s="1270"/>
      <c r="AJ17" s="1270"/>
      <c r="AK17" s="1270"/>
      <c r="AL17" s="1270"/>
      <c r="AM17" s="1270"/>
      <c r="AN17" s="1270"/>
      <c r="AO17" s="1270"/>
      <c r="AP17" s="1270"/>
      <c r="AQ17" s="1270"/>
      <c r="AR17" s="761">
        <v>0</v>
      </c>
    </row>
    <row s="1861" customFormat="1" customHeight="1" ht="17.25">
      <c r="A18" s="332"/>
      <c r="C18" s="220"/>
      <c r="D18" s="2165">
        <v>2</v>
      </c>
      <c r="E18" s="2194"/>
      <c r="F18" s="2175" t="s">
        <v>19</v>
      </c>
      <c r="G18" s="2173"/>
      <c r="H18" s="2178"/>
      <c r="I18" s="2180"/>
      <c r="J18" s="2182"/>
      <c r="K18" s="2167"/>
      <c r="L18" s="2167"/>
      <c r="M18" s="2167"/>
      <c r="N18" s="2169"/>
      <c r="O18" s="2167"/>
      <c r="P18" s="2167"/>
      <c r="Q18" s="2167"/>
      <c r="R18" s="2172"/>
      <c r="S18" s="2167"/>
      <c r="T18" s="1431"/>
      <c r="U18" s="1431"/>
      <c r="V18" s="1430"/>
      <c r="W18" s="1307"/>
      <c r="X18" s="1278"/>
      <c r="Y18" s="1278"/>
      <c r="Z18" s="1278"/>
      <c r="AA18" s="1278"/>
      <c r="AB18" s="1278"/>
      <c r="AC18" s="1278" t="s">
        <v>176</v>
      </c>
      <c r="AD18" s="1278" t="s">
        <v>177</v>
      </c>
      <c r="AE18" s="1278" t="s">
        <v>178</v>
      </c>
      <c r="AF18" s="1278" t="s">
        <v>179</v>
      </c>
      <c r="AG18" s="1278" t="s">
        <v>180</v>
      </c>
      <c r="AH18" s="1278" t="str">
        <f>IF($E$18=0,"",$E$18)</f>
        <v/>
      </c>
      <c r="AI18" s="1278" t="str">
        <f>IF($G$18=0,"",$G$18)</f>
        <v/>
      </c>
      <c r="AJ18" s="1278" t="str">
        <f>IF($J$18=0,"",$J$18)</f>
        <v/>
      </c>
      <c r="AK18" s="1278" t="str">
        <f>IF($K$18="нет","без дифференциации",IF($N$18=0,"",$N$18))</f>
        <v/>
      </c>
      <c r="AL18" s="1278" t="str">
        <f>IF($O$18="нет","без дифференциации",IF($R$18=0,"",$R$18))</f>
        <v/>
      </c>
      <c r="AM18" s="1278" t="str">
        <f>IF($S$18="нет","без дифференциации",IF($V$18=0,"",$V$18))</f>
        <v/>
      </c>
      <c r="AN18" s="1782">
        <f>$I$18</f>
        <v>0</v>
      </c>
      <c r="AO18" s="1278" t="str">
        <f>$I$18&amp;"."&amp;$M$18</f>
        <v>.</v>
      </c>
      <c r="AP18" s="1270" t="str">
        <f>$I$18&amp;"."&amp;$M$18&amp;"."&amp;$Q$18</f>
        <v>..</v>
      </c>
      <c r="AQ18" s="1270" t="str">
        <f>$I$18&amp;"."&amp;$M$18&amp;"."&amp;$Q$18&amp;"."&amp;$U$18</f>
        <v>...</v>
      </c>
      <c r="AR18" s="1294">
        <v>0</v>
      </c>
    </row>
    <row s="1861" customFormat="1" customHeight="1" ht="17.25">
      <c r="A19" s="332"/>
      <c r="C19" s="331"/>
      <c r="D19" s="2165"/>
      <c r="E19" s="2194"/>
      <c r="F19" s="2176"/>
      <c r="G19" s="2173"/>
      <c r="H19" s="2179"/>
      <c r="I19" s="2181"/>
      <c r="J19" s="2183"/>
      <c r="K19" s="2168"/>
      <c r="L19" s="2168"/>
      <c r="M19" s="2168"/>
      <c r="N19" s="2170"/>
      <c r="O19" s="2168"/>
      <c r="P19" s="2168"/>
      <c r="Q19" s="2168"/>
      <c r="R19" s="2171"/>
      <c r="S19" s="2168"/>
      <c r="T19" s="1308"/>
      <c r="U19" s="1308"/>
      <c r="V19" s="1308"/>
      <c r="W19" s="1309"/>
      <c r="X19" s="1270"/>
      <c r="Y19" s="1270"/>
      <c r="Z19" s="1270"/>
      <c r="AA19" s="1270"/>
      <c r="AB19" s="1270"/>
      <c r="AC19" s="1270"/>
      <c r="AD19" s="1270"/>
      <c r="AE19" s="1270"/>
      <c r="AF19" s="1270"/>
      <c r="AG19" s="1270"/>
      <c r="AH19" s="1270"/>
      <c r="AI19" s="1270"/>
      <c r="AJ19" s="1270"/>
      <c r="AK19" s="1270"/>
      <c r="AL19" s="1270"/>
      <c r="AM19" s="1270"/>
      <c r="AN19" s="1270"/>
      <c r="AO19" s="1270"/>
      <c r="AP19" s="1270"/>
      <c r="AQ19" s="1270"/>
      <c r="AR19" s="1294">
        <v>0</v>
      </c>
    </row>
    <row s="1861" customFormat="1" customHeight="1" ht="17.25">
      <c r="A20" s="332"/>
      <c r="C20" s="331"/>
      <c r="D20" s="2166"/>
      <c r="E20" s="2195"/>
      <c r="F20" s="2176"/>
      <c r="G20" s="2174"/>
      <c r="H20" s="2179"/>
      <c r="I20" s="2181"/>
      <c r="J20" s="2184"/>
      <c r="K20" s="2168"/>
      <c r="L20" s="2168"/>
      <c r="M20" s="2168"/>
      <c r="N20" s="2171"/>
      <c r="O20" s="2168"/>
      <c r="P20" s="1429"/>
      <c r="Q20" s="1308"/>
      <c r="R20" s="1308"/>
      <c r="S20" s="340"/>
      <c r="T20" s="340"/>
      <c r="U20" s="340"/>
      <c r="V20" s="340"/>
      <c r="W20" s="1309"/>
      <c r="X20" s="1270"/>
      <c r="Y20" s="1270"/>
      <c r="Z20" s="1270"/>
      <c r="AA20" s="1270"/>
      <c r="AB20" s="1270"/>
      <c r="AC20" s="1270"/>
      <c r="AD20" s="1270"/>
      <c r="AE20" s="1270"/>
      <c r="AF20" s="1270"/>
      <c r="AG20" s="1270"/>
      <c r="AH20" s="1270"/>
      <c r="AI20" s="1270"/>
      <c r="AJ20" s="1270"/>
      <c r="AK20" s="1270"/>
      <c r="AL20" s="1270"/>
      <c r="AM20" s="1270"/>
      <c r="AN20" s="1270"/>
      <c r="AO20" s="1270"/>
      <c r="AP20" s="1270"/>
      <c r="AQ20" s="1270"/>
      <c r="AR20" s="1294">
        <v>0</v>
      </c>
    </row>
    <row s="1861" customFormat="1" customHeight="1" ht="17.25">
      <c r="A21" s="332"/>
      <c r="C21" s="331"/>
      <c r="D21" s="2166"/>
      <c r="E21" s="2195"/>
      <c r="F21" s="2176"/>
      <c r="G21" s="2174"/>
      <c r="H21" s="2179"/>
      <c r="I21" s="2181"/>
      <c r="J21" s="2184"/>
      <c r="K21" s="2168"/>
      <c r="L21" s="1308"/>
      <c r="M21" s="1308"/>
      <c r="N21" s="1308"/>
      <c r="O21" s="1308"/>
      <c r="P21" s="1308"/>
      <c r="Q21" s="1308"/>
      <c r="R21" s="1308"/>
      <c r="S21" s="340"/>
      <c r="T21" s="340"/>
      <c r="U21" s="340"/>
      <c r="V21" s="340"/>
      <c r="W21" s="1309"/>
      <c r="X21" s="1270"/>
      <c r="Y21" s="1270"/>
      <c r="Z21" s="1270"/>
      <c r="AA21" s="1270"/>
      <c r="AB21" s="1270"/>
      <c r="AC21" s="1270"/>
      <c r="AD21" s="1270"/>
      <c r="AE21" s="1270"/>
      <c r="AF21" s="1270"/>
      <c r="AG21" s="1270"/>
      <c r="AH21" s="1270"/>
      <c r="AI21" s="1270"/>
      <c r="AJ21" s="1270"/>
      <c r="AK21" s="1270"/>
      <c r="AL21" s="1270"/>
      <c r="AM21" s="1270"/>
      <c r="AN21" s="1270"/>
      <c r="AO21" s="1270"/>
      <c r="AP21" s="1270"/>
      <c r="AQ21" s="1270"/>
      <c r="AR21" s="1294">
        <v>0</v>
      </c>
    </row>
    <row s="1861" customFormat="1" customHeight="1" ht="17.25">
      <c r="A22" s="332"/>
      <c r="C22" s="331"/>
      <c r="D22" s="2166"/>
      <c r="E22" s="2195"/>
      <c r="F22" s="2177"/>
      <c r="G22" s="2174"/>
      <c r="H22" s="1310"/>
      <c r="I22" s="1311"/>
      <c r="J22" s="1311"/>
      <c r="K22" s="1311"/>
      <c r="L22" s="1311"/>
      <c r="M22" s="1311"/>
      <c r="N22" s="1311"/>
      <c r="O22" s="1311"/>
      <c r="P22" s="1311"/>
      <c r="Q22" s="1311"/>
      <c r="R22" s="1311"/>
      <c r="S22" s="1312"/>
      <c r="T22" s="1312"/>
      <c r="U22" s="1312"/>
      <c r="V22" s="1312"/>
      <c r="W22" s="1313"/>
      <c r="X22" s="1270"/>
      <c r="Y22" s="1270"/>
      <c r="Z22" s="1270"/>
      <c r="AA22" s="1270"/>
      <c r="AB22" s="1270"/>
      <c r="AC22" s="1270"/>
      <c r="AD22" s="1270"/>
      <c r="AE22" s="1270"/>
      <c r="AF22" s="1270"/>
      <c r="AG22" s="1270"/>
      <c r="AH22" s="1270"/>
      <c r="AI22" s="1270"/>
      <c r="AJ22" s="1270"/>
      <c r="AK22" s="1270"/>
      <c r="AL22" s="1270"/>
      <c r="AM22" s="1270"/>
      <c r="AN22" s="1270"/>
      <c r="AO22" s="1270"/>
      <c r="AP22" s="1270"/>
      <c r="AQ22" s="1270"/>
      <c r="AR22" s="1294">
        <v>0</v>
      </c>
    </row>
    <row s="1861" customFormat="1" customHeight="1" ht="17.25">
      <c r="A23" s="332"/>
      <c r="C23" s="220"/>
      <c r="D23" s="2165">
        <v>2</v>
      </c>
      <c r="E23" s="2173" t="s">
        <v>181</v>
      </c>
      <c r="F23" s="2175" t="s">
        <v>19</v>
      </c>
      <c r="G23" s="2173"/>
      <c r="H23" s="2178"/>
      <c r="I23" s="2180"/>
      <c r="J23" s="2182"/>
      <c r="K23" s="2167"/>
      <c r="L23" s="2167"/>
      <c r="M23" s="2167"/>
      <c r="N23" s="2169"/>
      <c r="O23" s="2167"/>
      <c r="P23" s="2167"/>
      <c r="Q23" s="2167"/>
      <c r="R23" s="2172"/>
      <c r="S23" s="2167"/>
      <c r="T23" s="2006"/>
      <c r="U23" s="2006"/>
      <c r="V23" s="2008"/>
      <c r="W23" s="1307"/>
      <c r="X23" s="1278"/>
      <c r="Y23" s="1278"/>
      <c r="Z23" s="1278"/>
      <c r="AA23" s="1278"/>
      <c r="AB23" s="1278"/>
      <c r="AC23" s="1278" t="s">
        <v>176</v>
      </c>
      <c r="AD23" s="1278" t="s">
        <v>177</v>
      </c>
      <c r="AE23" s="1278" t="s">
        <v>178</v>
      </c>
      <c r="AF23" s="1278" t="s">
        <v>179</v>
      </c>
      <c r="AG23" s="1278" t="s">
        <v>180</v>
      </c>
      <c r="AH23" s="127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8" t="str">
        <f>IF($G$23=0,"",$G$23)</f>
        <v/>
      </c>
      <c r="AJ23" s="1278" t="str">
        <f>IF($J$23=0,"",$J$23)</f>
        <v/>
      </c>
      <c r="AK23" s="1278" t="str">
        <f>IF($K$23="нет","без дифференциации",IF($N$23=0,"",$N$23))</f>
        <v/>
      </c>
      <c r="AL23" s="1278" t="str">
        <f>IF($O$23="нет","без дифференциации",IF($R$23=0,"",$R$23))</f>
        <v/>
      </c>
      <c r="AM23" s="1278" t="str">
        <f>IF($S$23="нет","без дифференциации",IF($V$23=0,"",$V$23))</f>
        <v/>
      </c>
      <c r="AN23" s="1782">
        <f>$I$23</f>
        <v>0</v>
      </c>
      <c r="AO23" s="1278" t="str">
        <f>$I$23&amp;"."&amp;$M$23</f>
        <v>.</v>
      </c>
      <c r="AP23" s="1277" t="str">
        <f>$I$23&amp;"."&amp;$M$23&amp;"."&amp;$Q$23</f>
        <v>..</v>
      </c>
      <c r="AQ23" s="1277" t="str">
        <f>$I$23&amp;"."&amp;$M$23&amp;"."&amp;$Q$23&amp;"."&amp;$U$23</f>
        <v>...</v>
      </c>
      <c r="AR23" s="1478">
        <v>0</v>
      </c>
    </row>
    <row s="1861" customFormat="1" customHeight="1" ht="17.25">
      <c r="A24" s="332"/>
      <c r="C24" s="331"/>
      <c r="D24" s="2165"/>
      <c r="E24" s="2173"/>
      <c r="F24" s="2176"/>
      <c r="G24" s="2173"/>
      <c r="H24" s="2179"/>
      <c r="I24" s="2181"/>
      <c r="J24" s="2183"/>
      <c r="K24" s="2168"/>
      <c r="L24" s="2168"/>
      <c r="M24" s="2168"/>
      <c r="N24" s="2170"/>
      <c r="O24" s="2168"/>
      <c r="P24" s="2168"/>
      <c r="Q24" s="2168"/>
      <c r="R24" s="2171"/>
      <c r="S24" s="2168"/>
      <c r="T24" s="2011"/>
      <c r="U24" s="2011"/>
      <c r="V24" s="2011"/>
      <c r="W24" s="2012"/>
      <c r="X24" s="1277"/>
      <c r="Y24" s="1277"/>
      <c r="Z24" s="1277"/>
      <c r="AA24" s="1277"/>
      <c r="AB24" s="1277"/>
      <c r="AC24" s="1277"/>
      <c r="AD24" s="1277"/>
      <c r="AE24" s="1277"/>
      <c r="AF24" s="1277"/>
      <c r="AG24" s="1277"/>
      <c r="AH24" s="1277"/>
      <c r="AI24" s="1277"/>
      <c r="AJ24" s="1277"/>
      <c r="AK24" s="1277"/>
      <c r="AL24" s="1277"/>
      <c r="AM24" s="1277"/>
      <c r="AN24" s="1277"/>
      <c r="AO24" s="1277"/>
      <c r="AP24" s="1277"/>
      <c r="AQ24" s="1277"/>
      <c r="AR24" s="1478">
        <v>0</v>
      </c>
    </row>
    <row s="1861" customFormat="1" customHeight="1" ht="17.25">
      <c r="A25" s="332"/>
      <c r="C25" s="331"/>
      <c r="D25" s="2166"/>
      <c r="E25" s="2174"/>
      <c r="F25" s="2176"/>
      <c r="G25" s="2174"/>
      <c r="H25" s="2179"/>
      <c r="I25" s="2181"/>
      <c r="J25" s="2184"/>
      <c r="K25" s="2168"/>
      <c r="L25" s="2168"/>
      <c r="M25" s="2168"/>
      <c r="N25" s="2171"/>
      <c r="O25" s="2168"/>
      <c r="P25" s="2007"/>
      <c r="Q25" s="2011"/>
      <c r="R25" s="2011"/>
      <c r="S25" s="340"/>
      <c r="T25" s="340"/>
      <c r="U25" s="340"/>
      <c r="V25" s="340"/>
      <c r="W25" s="2012"/>
      <c r="X25" s="1277"/>
      <c r="Y25" s="1277"/>
      <c r="Z25" s="1277"/>
      <c r="AA25" s="1277"/>
      <c r="AB25" s="1277"/>
      <c r="AC25" s="1277"/>
      <c r="AD25" s="1277"/>
      <c r="AE25" s="1277"/>
      <c r="AF25" s="1277"/>
      <c r="AG25" s="1277"/>
      <c r="AH25" s="1277"/>
      <c r="AI25" s="1277"/>
      <c r="AJ25" s="1277"/>
      <c r="AK25" s="1277"/>
      <c r="AL25" s="1277"/>
      <c r="AM25" s="1277"/>
      <c r="AN25" s="1277"/>
      <c r="AO25" s="1277"/>
      <c r="AP25" s="1277"/>
      <c r="AQ25" s="1277"/>
      <c r="AR25" s="1478">
        <v>0</v>
      </c>
    </row>
    <row s="1861" customFormat="1" customHeight="1" ht="17.25">
      <c r="A26" s="332"/>
      <c r="C26" s="331"/>
      <c r="D26" s="2166"/>
      <c r="E26" s="2174"/>
      <c r="F26" s="2176"/>
      <c r="G26" s="2174"/>
      <c r="H26" s="2179"/>
      <c r="I26" s="2181"/>
      <c r="J26" s="2184"/>
      <c r="K26" s="2168"/>
      <c r="L26" s="2011"/>
      <c r="M26" s="2011"/>
      <c r="N26" s="2011"/>
      <c r="O26" s="2011"/>
      <c r="P26" s="2011"/>
      <c r="Q26" s="2011"/>
      <c r="R26" s="2011"/>
      <c r="S26" s="340"/>
      <c r="T26" s="340"/>
      <c r="U26" s="340"/>
      <c r="V26" s="340"/>
      <c r="W26" s="2012"/>
      <c r="X26" s="1277"/>
      <c r="Y26" s="1277"/>
      <c r="Z26" s="1277"/>
      <c r="AA26" s="1277"/>
      <c r="AB26" s="1277"/>
      <c r="AC26" s="1277"/>
      <c r="AD26" s="1277"/>
      <c r="AE26" s="1277"/>
      <c r="AF26" s="1277"/>
      <c r="AG26" s="1277"/>
      <c r="AH26" s="1277"/>
      <c r="AI26" s="1277"/>
      <c r="AJ26" s="1277"/>
      <c r="AK26" s="1277"/>
      <c r="AL26" s="1277"/>
      <c r="AM26" s="1277"/>
      <c r="AN26" s="1277"/>
      <c r="AO26" s="1277"/>
      <c r="AP26" s="1277"/>
      <c r="AQ26" s="1277"/>
      <c r="AR26" s="1478">
        <v>0</v>
      </c>
    </row>
    <row s="1861" customFormat="1" customHeight="1" ht="17.25">
      <c r="A27" s="332"/>
      <c r="C27" s="331"/>
      <c r="D27" s="2166"/>
      <c r="E27" s="2174"/>
      <c r="F27" s="2177"/>
      <c r="G27" s="2174"/>
      <c r="H27" s="1310"/>
      <c r="I27" s="2009"/>
      <c r="J27" s="2009"/>
      <c r="K27" s="2009"/>
      <c r="L27" s="2009"/>
      <c r="M27" s="2009"/>
      <c r="N27" s="2009"/>
      <c r="O27" s="2009"/>
      <c r="P27" s="2009"/>
      <c r="Q27" s="2009"/>
      <c r="R27" s="2009"/>
      <c r="S27" s="1312"/>
      <c r="T27" s="1312"/>
      <c r="U27" s="1312"/>
      <c r="V27" s="1312"/>
      <c r="W27" s="2010"/>
      <c r="X27" s="1277"/>
      <c r="Y27" s="1277"/>
      <c r="Z27" s="1277"/>
      <c r="AA27" s="1277"/>
      <c r="AB27" s="1277"/>
      <c r="AC27" s="1277"/>
      <c r="AD27" s="1277"/>
      <c r="AE27" s="1277"/>
      <c r="AF27" s="1277"/>
      <c r="AG27" s="1277"/>
      <c r="AH27" s="1277"/>
      <c r="AI27" s="1277"/>
      <c r="AJ27" s="1277"/>
      <c r="AK27" s="1277"/>
      <c r="AL27" s="1277"/>
      <c r="AM27" s="1277"/>
      <c r="AN27" s="1277"/>
      <c r="AO27" s="1277"/>
      <c r="AP27" s="1277"/>
      <c r="AQ27" s="1277"/>
      <c r="AR27" s="1478">
        <v>0</v>
      </c>
    </row>
    <row s="1861" customFormat="1" customHeight="1" ht="17.25">
      <c r="A28" s="332"/>
      <c r="C28" s="220"/>
      <c r="D28" s="2165">
        <v>3</v>
      </c>
      <c r="E28" s="2173" t="s">
        <v>182</v>
      </c>
      <c r="F28" s="2175" t="s">
        <v>19</v>
      </c>
      <c r="G28" s="2173"/>
      <c r="H28" s="2178"/>
      <c r="I28" s="2180"/>
      <c r="J28" s="2182"/>
      <c r="K28" s="2167"/>
      <c r="L28" s="2167"/>
      <c r="M28" s="2167"/>
      <c r="N28" s="2169"/>
      <c r="O28" s="2167"/>
      <c r="P28" s="2167"/>
      <c r="Q28" s="2167"/>
      <c r="R28" s="2172"/>
      <c r="S28" s="2167"/>
      <c r="T28" s="1431"/>
      <c r="U28" s="1431"/>
      <c r="V28" s="1430"/>
      <c r="W28" s="1307"/>
      <c r="X28" s="1278"/>
      <c r="Y28" s="1278"/>
      <c r="Z28" s="1278"/>
      <c r="AA28" s="1278"/>
      <c r="AB28" s="1278"/>
      <c r="AC28" s="1278" t="s">
        <v>183</v>
      </c>
      <c r="AD28" s="1278" t="s">
        <v>184</v>
      </c>
      <c r="AE28" s="1278" t="s">
        <v>185</v>
      </c>
      <c r="AF28" s="1278" t="s">
        <v>186</v>
      </c>
      <c r="AG28" s="1278" t="s">
        <v>187</v>
      </c>
      <c r="AH28" s="1278" t="str">
        <f>IF($E$28=0,"",$E$28)</f>
        <v>Тарифы на теплоноситель, поставляемый теплоснабжающими организациями потребителям, другим теплоснабжающим организациям</v>
      </c>
      <c r="AI28" s="1278" t="str">
        <f>IF($G$28=0,"",$G$28)</f>
        <v/>
      </c>
      <c r="AJ28" s="1278" t="str">
        <f>IF($J$28=0,"",$J$28)</f>
        <v/>
      </c>
      <c r="AK28" s="1278" t="str">
        <f>IF($K$28="нет","без дифференциации",IF($N$28=0,"",$N$28))</f>
        <v/>
      </c>
      <c r="AL28" s="1278" t="str">
        <f>IF($O$28="нет","без дифференциации",IF($R$28=0,"",$R$28))</f>
        <v/>
      </c>
      <c r="AM28" s="1278" t="str">
        <f>IF($S$28="нет","без дифференциации",IF($V$28=0,"",$V$28))</f>
        <v/>
      </c>
      <c r="AN28" s="1782">
        <f>$I$28</f>
        <v>0</v>
      </c>
      <c r="AO28" s="1278" t="str">
        <f>$I$28&amp;"."&amp;$M$28</f>
        <v>.</v>
      </c>
      <c r="AP28" s="1270" t="str">
        <f>$I$28&amp;"."&amp;$M$28&amp;"."&amp;$Q$28</f>
        <v>..</v>
      </c>
      <c r="AQ28" s="1270" t="str">
        <f>$I$28&amp;"."&amp;$M$28&amp;"."&amp;$Q$28&amp;"."&amp;$U$28</f>
        <v>...</v>
      </c>
      <c r="AR28" s="1294">
        <v>0</v>
      </c>
    </row>
    <row s="1861" customFormat="1" customHeight="1" ht="17.25">
      <c r="A29" s="332"/>
      <c r="C29" s="331"/>
      <c r="D29" s="2165"/>
      <c r="E29" s="2173"/>
      <c r="F29" s="2176"/>
      <c r="G29" s="2173"/>
      <c r="H29" s="2179"/>
      <c r="I29" s="2181"/>
      <c r="J29" s="2183"/>
      <c r="K29" s="2168"/>
      <c r="L29" s="2168"/>
      <c r="M29" s="2168"/>
      <c r="N29" s="2170"/>
      <c r="O29" s="2168"/>
      <c r="P29" s="2168"/>
      <c r="Q29" s="2168"/>
      <c r="R29" s="2171"/>
      <c r="S29" s="2168"/>
      <c r="T29" s="1308"/>
      <c r="U29" s="1308"/>
      <c r="V29" s="1308"/>
      <c r="W29" s="1309"/>
      <c r="X29" s="1270"/>
      <c r="Y29" s="1270"/>
      <c r="Z29" s="1270"/>
      <c r="AA29" s="1270"/>
      <c r="AB29" s="1270"/>
      <c r="AC29" s="1270"/>
      <c r="AD29" s="1270"/>
      <c r="AE29" s="1270"/>
      <c r="AF29" s="1270"/>
      <c r="AG29" s="1270"/>
      <c r="AH29" s="1270"/>
      <c r="AI29" s="1270"/>
      <c r="AJ29" s="1270"/>
      <c r="AK29" s="1270"/>
      <c r="AL29" s="1270"/>
      <c r="AM29" s="1270"/>
      <c r="AN29" s="1270"/>
      <c r="AO29" s="1270"/>
      <c r="AP29" s="1270"/>
      <c r="AQ29" s="1270"/>
      <c r="AR29" s="1294">
        <v>0</v>
      </c>
    </row>
    <row s="1861" customFormat="1" customHeight="1" ht="17.25">
      <c r="A30" s="332"/>
      <c r="C30" s="331"/>
      <c r="D30" s="2166"/>
      <c r="E30" s="2174"/>
      <c r="F30" s="2176"/>
      <c r="G30" s="2174"/>
      <c r="H30" s="2179"/>
      <c r="I30" s="2181"/>
      <c r="J30" s="2184"/>
      <c r="K30" s="2168"/>
      <c r="L30" s="2168"/>
      <c r="M30" s="2168"/>
      <c r="N30" s="2171"/>
      <c r="O30" s="2168"/>
      <c r="P30" s="1429"/>
      <c r="Q30" s="1308"/>
      <c r="R30" s="1308"/>
      <c r="S30" s="340"/>
      <c r="T30" s="340"/>
      <c r="U30" s="340"/>
      <c r="V30" s="340"/>
      <c r="W30" s="1309"/>
      <c r="X30" s="1270"/>
      <c r="Y30" s="1270"/>
      <c r="Z30" s="1270"/>
      <c r="AA30" s="1270"/>
      <c r="AB30" s="1270"/>
      <c r="AC30" s="1270"/>
      <c r="AD30" s="1270"/>
      <c r="AE30" s="1270"/>
      <c r="AF30" s="1270"/>
      <c r="AG30" s="1270"/>
      <c r="AH30" s="1270"/>
      <c r="AI30" s="1270"/>
      <c r="AJ30" s="1270"/>
      <c r="AK30" s="1270"/>
      <c r="AL30" s="1270"/>
      <c r="AM30" s="1270"/>
      <c r="AN30" s="1270"/>
      <c r="AO30" s="1270"/>
      <c r="AP30" s="1270"/>
      <c r="AQ30" s="1270"/>
      <c r="AR30" s="1294">
        <v>0</v>
      </c>
    </row>
    <row s="1861" customFormat="1" customHeight="1" ht="17.25">
      <c r="A31" s="332"/>
      <c r="C31" s="331"/>
      <c r="D31" s="2166"/>
      <c r="E31" s="2174"/>
      <c r="F31" s="2176"/>
      <c r="G31" s="2174"/>
      <c r="H31" s="2179"/>
      <c r="I31" s="2181"/>
      <c r="J31" s="2184"/>
      <c r="K31" s="2168"/>
      <c r="L31" s="1308"/>
      <c r="M31" s="1308"/>
      <c r="N31" s="1308"/>
      <c r="O31" s="1308"/>
      <c r="P31" s="1308"/>
      <c r="Q31" s="1308"/>
      <c r="R31" s="1308"/>
      <c r="S31" s="340"/>
      <c r="T31" s="340"/>
      <c r="U31" s="340"/>
      <c r="V31" s="340"/>
      <c r="W31" s="1309"/>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94">
        <v>0</v>
      </c>
    </row>
    <row s="1861" customFormat="1" customHeight="1" ht="17.25">
      <c r="A32" s="332"/>
      <c r="C32" s="331"/>
      <c r="D32" s="2166"/>
      <c r="E32" s="2174"/>
      <c r="F32" s="2177"/>
      <c r="G32" s="2174"/>
      <c r="H32" s="1310"/>
      <c r="I32" s="1311"/>
      <c r="J32" s="1311"/>
      <c r="K32" s="1311"/>
      <c r="L32" s="1311"/>
      <c r="M32" s="1311"/>
      <c r="N32" s="1311"/>
      <c r="O32" s="1311"/>
      <c r="P32" s="1311"/>
      <c r="Q32" s="1311"/>
      <c r="R32" s="1311"/>
      <c r="S32" s="1312"/>
      <c r="T32" s="1312"/>
      <c r="U32" s="1312"/>
      <c r="V32" s="1312"/>
      <c r="W32" s="1313"/>
      <c r="X32" s="1270"/>
      <c r="Y32" s="1270"/>
      <c r="Z32" s="1270"/>
      <c r="AA32" s="1270"/>
      <c r="AB32" s="1270"/>
      <c r="AC32" s="1270"/>
      <c r="AD32" s="1270"/>
      <c r="AE32" s="1270"/>
      <c r="AF32" s="1270"/>
      <c r="AG32" s="1270"/>
      <c r="AH32" s="1270"/>
      <c r="AI32" s="1270"/>
      <c r="AJ32" s="1270"/>
      <c r="AK32" s="1270"/>
      <c r="AL32" s="1270"/>
      <c r="AM32" s="1270"/>
      <c r="AN32" s="1270"/>
      <c r="AO32" s="1270"/>
      <c r="AP32" s="1270"/>
      <c r="AQ32" s="1270"/>
      <c r="AR32" s="1294">
        <v>0</v>
      </c>
    </row>
    <row s="1861" customFormat="1" customHeight="1" ht="17.25">
      <c r="A33" s="332"/>
      <c r="C33" s="220"/>
      <c r="D33" s="2165">
        <v>4</v>
      </c>
      <c r="E33" s="2173" t="s">
        <v>188</v>
      </c>
      <c r="F33" s="2175" t="s">
        <v>19</v>
      </c>
      <c r="G33" s="2173"/>
      <c r="H33" s="2178"/>
      <c r="I33" s="2180"/>
      <c r="J33" s="2182"/>
      <c r="K33" s="2167"/>
      <c r="L33" s="2167"/>
      <c r="M33" s="2167"/>
      <c r="N33" s="2169"/>
      <c r="O33" s="2167"/>
      <c r="P33" s="2167"/>
      <c r="Q33" s="2167"/>
      <c r="R33" s="2172"/>
      <c r="S33" s="2167"/>
      <c r="T33" s="1431"/>
      <c r="U33" s="1431"/>
      <c r="V33" s="1430"/>
      <c r="W33" s="1307"/>
      <c r="X33" s="1278"/>
      <c r="Y33" s="1278"/>
      <c r="Z33" s="1278"/>
      <c r="AA33" s="1278"/>
      <c r="AB33" s="1278"/>
      <c r="AC33" s="1278" t="s">
        <v>189</v>
      </c>
      <c r="AD33" s="1278" t="s">
        <v>190</v>
      </c>
      <c r="AE33" s="1278" t="s">
        <v>191</v>
      </c>
      <c r="AF33" s="1278" t="s">
        <v>192</v>
      </c>
      <c r="AG33" s="1278" t="s">
        <v>193</v>
      </c>
      <c r="AH33" s="127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8" t="str">
        <f>IF($G$33=0,"",$G$33)</f>
        <v/>
      </c>
      <c r="AJ33" s="1278" t="str">
        <f>IF($J$33=0,"",$J$33)</f>
        <v/>
      </c>
      <c r="AK33" s="1278" t="str">
        <f>IF($K$33="нет","без дифференциации",IF($N$33=0,"",$N$33))</f>
        <v/>
      </c>
      <c r="AL33" s="1278" t="str">
        <f>IF($O$33="нет","без дифференциации",IF($R$33=0,"",$R$33))</f>
        <v/>
      </c>
      <c r="AM33" s="1278" t="str">
        <f>IF($S$33="нет","без дифференциации",IF($V$33=0,"",$V$33))</f>
        <v/>
      </c>
      <c r="AN33" s="1782">
        <f>$I$33</f>
        <v>0</v>
      </c>
      <c r="AO33" s="1278" t="str">
        <f>$I$33&amp;"."&amp;$M$33</f>
        <v>.</v>
      </c>
      <c r="AP33" s="1270" t="str">
        <f>$I$33&amp;"."&amp;$M$33&amp;"."&amp;$Q$33</f>
        <v>..</v>
      </c>
      <c r="AQ33" s="1270" t="str">
        <f>$I$33&amp;"."&amp;$M$33&amp;"."&amp;$Q$33&amp;"."&amp;$U$33</f>
        <v>...</v>
      </c>
      <c r="AR33" s="1294">
        <v>0</v>
      </c>
    </row>
    <row s="1861" customFormat="1" customHeight="1" ht="17.25">
      <c r="A34" s="332"/>
      <c r="C34" s="331"/>
      <c r="D34" s="2165"/>
      <c r="E34" s="2173"/>
      <c r="F34" s="2176"/>
      <c r="G34" s="2173"/>
      <c r="H34" s="2179"/>
      <c r="I34" s="2181"/>
      <c r="J34" s="2183"/>
      <c r="K34" s="2168"/>
      <c r="L34" s="2168"/>
      <c r="M34" s="2168"/>
      <c r="N34" s="2170"/>
      <c r="O34" s="2168"/>
      <c r="P34" s="2168"/>
      <c r="Q34" s="2168"/>
      <c r="R34" s="2171"/>
      <c r="S34" s="2168"/>
      <c r="T34" s="1308"/>
      <c r="U34" s="1308"/>
      <c r="V34" s="1308"/>
      <c r="W34" s="1309"/>
      <c r="X34" s="1270"/>
      <c r="Y34" s="1270"/>
      <c r="Z34" s="1270"/>
      <c r="AA34" s="1270"/>
      <c r="AB34" s="1270"/>
      <c r="AC34" s="1270"/>
      <c r="AD34" s="1270"/>
      <c r="AE34" s="1270"/>
      <c r="AF34" s="1270"/>
      <c r="AG34" s="1270"/>
      <c r="AH34" s="1270"/>
      <c r="AI34" s="1270"/>
      <c r="AJ34" s="1270"/>
      <c r="AK34" s="1270"/>
      <c r="AL34" s="1270"/>
      <c r="AM34" s="1270"/>
      <c r="AN34" s="1270"/>
      <c r="AO34" s="1270"/>
      <c r="AP34" s="1270"/>
      <c r="AQ34" s="1270"/>
      <c r="AR34" s="1294">
        <v>0</v>
      </c>
    </row>
    <row s="1861" customFormat="1" customHeight="1" ht="17.25">
      <c r="A35" s="332"/>
      <c r="C35" s="331"/>
      <c r="D35" s="2166"/>
      <c r="E35" s="2174"/>
      <c r="F35" s="2176"/>
      <c r="G35" s="2174"/>
      <c r="H35" s="2179"/>
      <c r="I35" s="2181"/>
      <c r="J35" s="2184"/>
      <c r="K35" s="2168"/>
      <c r="L35" s="2168"/>
      <c r="M35" s="2168"/>
      <c r="N35" s="2171"/>
      <c r="O35" s="2168"/>
      <c r="P35" s="1429"/>
      <c r="Q35" s="1308"/>
      <c r="R35" s="1308"/>
      <c r="S35" s="340"/>
      <c r="T35" s="340"/>
      <c r="U35" s="340"/>
      <c r="V35" s="340"/>
      <c r="W35" s="1309"/>
      <c r="X35" s="1270"/>
      <c r="Y35" s="1270"/>
      <c r="Z35" s="1270"/>
      <c r="AA35" s="1270"/>
      <c r="AB35" s="1270"/>
      <c r="AC35" s="1270"/>
      <c r="AD35" s="1270"/>
      <c r="AE35" s="1270"/>
      <c r="AF35" s="1270"/>
      <c r="AG35" s="1270"/>
      <c r="AH35" s="1270"/>
      <c r="AI35" s="1270"/>
      <c r="AJ35" s="1270"/>
      <c r="AK35" s="1270"/>
      <c r="AL35" s="1270"/>
      <c r="AM35" s="1270"/>
      <c r="AN35" s="1270"/>
      <c r="AO35" s="1270"/>
      <c r="AP35" s="1270"/>
      <c r="AQ35" s="1270"/>
      <c r="AR35" s="1294">
        <v>0</v>
      </c>
    </row>
    <row s="1861" customFormat="1" customHeight="1" ht="17.25">
      <c r="A36" s="332"/>
      <c r="C36" s="331"/>
      <c r="D36" s="2166"/>
      <c r="E36" s="2174"/>
      <c r="F36" s="2176"/>
      <c r="G36" s="2174"/>
      <c r="H36" s="2179"/>
      <c r="I36" s="2181"/>
      <c r="J36" s="2184"/>
      <c r="K36" s="2168"/>
      <c r="L36" s="1308"/>
      <c r="M36" s="1308"/>
      <c r="N36" s="1308"/>
      <c r="O36" s="1308"/>
      <c r="P36" s="1308"/>
      <c r="Q36" s="1308"/>
      <c r="R36" s="1308"/>
      <c r="S36" s="340"/>
      <c r="T36" s="340"/>
      <c r="U36" s="340"/>
      <c r="V36" s="340"/>
      <c r="W36" s="1309"/>
      <c r="X36" s="1270"/>
      <c r="Y36" s="1270"/>
      <c r="Z36" s="1270"/>
      <c r="AA36" s="1270"/>
      <c r="AB36" s="1270"/>
      <c r="AC36" s="1270"/>
      <c r="AD36" s="1270"/>
      <c r="AE36" s="1270"/>
      <c r="AF36" s="1270"/>
      <c r="AG36" s="1270"/>
      <c r="AH36" s="1270"/>
      <c r="AI36" s="1270"/>
      <c r="AJ36" s="1270"/>
      <c r="AK36" s="1270"/>
      <c r="AL36" s="1270"/>
      <c r="AM36" s="1270"/>
      <c r="AN36" s="1270"/>
      <c r="AO36" s="1270"/>
      <c r="AP36" s="1270"/>
      <c r="AQ36" s="1270"/>
      <c r="AR36" s="1294">
        <v>0</v>
      </c>
    </row>
    <row s="1861" customFormat="1" customHeight="1" ht="17.25">
      <c r="A37" s="332"/>
      <c r="C37" s="331"/>
      <c r="D37" s="2166"/>
      <c r="E37" s="2174"/>
      <c r="F37" s="2177"/>
      <c r="G37" s="2174"/>
      <c r="H37" s="1310"/>
      <c r="I37" s="1311"/>
      <c r="J37" s="1311"/>
      <c r="K37" s="1311"/>
      <c r="L37" s="1311"/>
      <c r="M37" s="1311"/>
      <c r="N37" s="1311"/>
      <c r="O37" s="1311"/>
      <c r="P37" s="1311"/>
      <c r="Q37" s="1311"/>
      <c r="R37" s="1311"/>
      <c r="S37" s="1312"/>
      <c r="T37" s="1312"/>
      <c r="U37" s="1312"/>
      <c r="V37" s="1312"/>
      <c r="W37" s="1313"/>
      <c r="X37" s="1270"/>
      <c r="Y37" s="1270"/>
      <c r="Z37" s="1270"/>
      <c r="AA37" s="1270"/>
      <c r="AB37" s="1270"/>
      <c r="AC37" s="1270"/>
      <c r="AD37" s="1270"/>
      <c r="AE37" s="1270"/>
      <c r="AF37" s="1270"/>
      <c r="AG37" s="1270"/>
      <c r="AH37" s="1270"/>
      <c r="AI37" s="1270"/>
      <c r="AJ37" s="1270"/>
      <c r="AK37" s="1270"/>
      <c r="AL37" s="1270"/>
      <c r="AM37" s="1270"/>
      <c r="AN37" s="1270"/>
      <c r="AO37" s="1270"/>
      <c r="AP37" s="1270"/>
      <c r="AQ37" s="1270"/>
      <c r="AR37" s="1294">
        <v>0</v>
      </c>
    </row>
    <row s="1861" customFormat="1" customHeight="1" ht="17.25">
      <c r="A38" s="332"/>
      <c r="C38" s="220"/>
      <c r="D38" s="2165">
        <v>5</v>
      </c>
      <c r="E38" s="2173" t="s">
        <v>194</v>
      </c>
      <c r="F38" s="2175" t="s">
        <v>19</v>
      </c>
      <c r="G38" s="2173"/>
      <c r="H38" s="2178"/>
      <c r="I38" s="2180"/>
      <c r="J38" s="2182"/>
      <c r="K38" s="2167"/>
      <c r="L38" s="2167"/>
      <c r="M38" s="2167"/>
      <c r="N38" s="2169"/>
      <c r="O38" s="2167"/>
      <c r="P38" s="2167"/>
      <c r="Q38" s="2167"/>
      <c r="R38" s="2172"/>
      <c r="S38" s="2167"/>
      <c r="T38" s="1431"/>
      <c r="U38" s="1431"/>
      <c r="V38" s="1430"/>
      <c r="W38" s="1307"/>
      <c r="X38" s="1278"/>
      <c r="Y38" s="1278"/>
      <c r="Z38" s="1278"/>
      <c r="AA38" s="1278"/>
      <c r="AB38" s="1278"/>
      <c r="AC38" s="1278" t="s">
        <v>195</v>
      </c>
      <c r="AD38" s="1278" t="s">
        <v>196</v>
      </c>
      <c r="AE38" s="1278" t="s">
        <v>197</v>
      </c>
      <c r="AF38" s="1278" t="s">
        <v>198</v>
      </c>
      <c r="AG38" s="1278" t="s">
        <v>199</v>
      </c>
      <c r="AH38" s="1278" t="str">
        <f>IF($E$38=0,"",$E$38)</f>
        <v>Тарифы на услуги по передаче тепловой энергии</v>
      </c>
      <c r="AI38" s="1278" t="str">
        <f>IF($G$38=0,"",$G$38)</f>
        <v/>
      </c>
      <c r="AJ38" s="1278" t="str">
        <f>IF($J$38=0,"",$J$38)</f>
        <v/>
      </c>
      <c r="AK38" s="1278" t="str">
        <f>IF($K$38="нет","без дифференциации",IF($N$38=0,"",$N$38))</f>
        <v/>
      </c>
      <c r="AL38" s="1278" t="str">
        <f>IF($O$38="нет","без дифференциации",IF($R$38=0,"",$R$38))</f>
        <v/>
      </c>
      <c r="AM38" s="1278" t="str">
        <f>IF($S$38="нет","без дифференциации",IF($V$38=0,"",$V$38))</f>
        <v/>
      </c>
      <c r="AN38" s="1782">
        <f>$I$38</f>
        <v>0</v>
      </c>
      <c r="AO38" s="1278" t="str">
        <f>$I$38&amp;"."&amp;$M$38</f>
        <v>.</v>
      </c>
      <c r="AP38" s="1270" t="str">
        <f>$I$38&amp;"."&amp;$M$38&amp;"."&amp;$Q$38</f>
        <v>..</v>
      </c>
      <c r="AQ38" s="1270" t="str">
        <f>$I$38&amp;"."&amp;$M$38&amp;"."&amp;$Q$38&amp;"."&amp;$U$38</f>
        <v>...</v>
      </c>
      <c r="AR38" s="1294">
        <v>0</v>
      </c>
    </row>
    <row s="1861" customFormat="1" customHeight="1" ht="17.25">
      <c r="A39" s="332"/>
      <c r="C39" s="331"/>
      <c r="D39" s="2165"/>
      <c r="E39" s="2173"/>
      <c r="F39" s="2176"/>
      <c r="G39" s="2173"/>
      <c r="H39" s="2179"/>
      <c r="I39" s="2181"/>
      <c r="J39" s="2183"/>
      <c r="K39" s="2168"/>
      <c r="L39" s="2168"/>
      <c r="M39" s="2168"/>
      <c r="N39" s="2170"/>
      <c r="O39" s="2168"/>
      <c r="P39" s="2168"/>
      <c r="Q39" s="2168"/>
      <c r="R39" s="2171"/>
      <c r="S39" s="2168"/>
      <c r="T39" s="1308"/>
      <c r="U39" s="1308"/>
      <c r="V39" s="1308"/>
      <c r="W39" s="1309"/>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94">
        <v>0</v>
      </c>
    </row>
    <row s="1861" customFormat="1" customHeight="1" ht="17.25">
      <c r="A40" s="332"/>
      <c r="C40" s="331"/>
      <c r="D40" s="2166"/>
      <c r="E40" s="2174"/>
      <c r="F40" s="2176"/>
      <c r="G40" s="2174"/>
      <c r="H40" s="2179"/>
      <c r="I40" s="2181"/>
      <c r="J40" s="2184"/>
      <c r="K40" s="2168"/>
      <c r="L40" s="2168"/>
      <c r="M40" s="2168"/>
      <c r="N40" s="2171"/>
      <c r="O40" s="2168"/>
      <c r="P40" s="1429"/>
      <c r="Q40" s="1308"/>
      <c r="R40" s="1308"/>
      <c r="S40" s="340"/>
      <c r="T40" s="340"/>
      <c r="U40" s="340"/>
      <c r="V40" s="340"/>
      <c r="W40" s="1309"/>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94">
        <v>0</v>
      </c>
    </row>
    <row s="1861" customFormat="1" customHeight="1" ht="17.25">
      <c r="A41" s="332"/>
      <c r="C41" s="331"/>
      <c r="D41" s="2166"/>
      <c r="E41" s="2174"/>
      <c r="F41" s="2176"/>
      <c r="G41" s="2174"/>
      <c r="H41" s="2179"/>
      <c r="I41" s="2181"/>
      <c r="J41" s="2184"/>
      <c r="K41" s="2168"/>
      <c r="L41" s="1308"/>
      <c r="M41" s="1308"/>
      <c r="N41" s="1308"/>
      <c r="O41" s="1308"/>
      <c r="P41" s="1308"/>
      <c r="Q41" s="1308"/>
      <c r="R41" s="1308"/>
      <c r="S41" s="340"/>
      <c r="T41" s="340"/>
      <c r="U41" s="340"/>
      <c r="V41" s="340"/>
      <c r="W41" s="1309"/>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94">
        <v>0</v>
      </c>
    </row>
    <row s="1861" customFormat="1" customHeight="1" ht="17.25">
      <c r="A42" s="332"/>
      <c r="C42" s="331"/>
      <c r="D42" s="2166"/>
      <c r="E42" s="2174"/>
      <c r="F42" s="2177"/>
      <c r="G42" s="2174"/>
      <c r="H42" s="1310"/>
      <c r="I42" s="1311"/>
      <c r="J42" s="1311"/>
      <c r="K42" s="1311"/>
      <c r="L42" s="1311"/>
      <c r="M42" s="1311"/>
      <c r="N42" s="1311"/>
      <c r="O42" s="1311"/>
      <c r="P42" s="1311"/>
      <c r="Q42" s="1311"/>
      <c r="R42" s="1311"/>
      <c r="S42" s="1312"/>
      <c r="T42" s="1312"/>
      <c r="U42" s="1312"/>
      <c r="V42" s="1312"/>
      <c r="W42" s="1313"/>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94">
        <v>0</v>
      </c>
    </row>
    <row s="1861" customFormat="1" customHeight="1" ht="17.25">
      <c r="A43" s="332"/>
      <c r="C43" s="220"/>
      <c r="D43" s="2165">
        <v>6</v>
      </c>
      <c r="E43" s="2173" t="s">
        <v>200</v>
      </c>
      <c r="F43" s="2175" t="s">
        <v>19</v>
      </c>
      <c r="G43" s="2173"/>
      <c r="H43" s="2178"/>
      <c r="I43" s="2180"/>
      <c r="J43" s="2182"/>
      <c r="K43" s="2167"/>
      <c r="L43" s="2167"/>
      <c r="M43" s="2167"/>
      <c r="N43" s="2169"/>
      <c r="O43" s="2167"/>
      <c r="P43" s="2167"/>
      <c r="Q43" s="2167"/>
      <c r="R43" s="2172"/>
      <c r="S43" s="2167"/>
      <c r="T43" s="1431"/>
      <c r="U43" s="1431"/>
      <c r="V43" s="1430"/>
      <c r="W43" s="1307"/>
      <c r="X43" s="1278"/>
      <c r="Y43" s="1278"/>
      <c r="Z43" s="1278"/>
      <c r="AA43" s="1278"/>
      <c r="AB43" s="1278"/>
      <c r="AC43" s="1278" t="s">
        <v>201</v>
      </c>
      <c r="AD43" s="1278" t="s">
        <v>202</v>
      </c>
      <c r="AE43" s="1278" t="s">
        <v>203</v>
      </c>
      <c r="AF43" s="1278" t="s">
        <v>204</v>
      </c>
      <c r="AG43" s="1278" t="s">
        <v>205</v>
      </c>
      <c r="AH43" s="1278" t="str">
        <f>IF($E$43=0,"",$E$43)</f>
        <v>Тарифы на услуги по передаче теплоносителя</v>
      </c>
      <c r="AI43" s="1278" t="str">
        <f>IF($G$43=0,"",$G$43)</f>
        <v/>
      </c>
      <c r="AJ43" s="1278" t="str">
        <f>IF($J$43=0,"",$J$43)</f>
        <v/>
      </c>
      <c r="AK43" s="1278" t="str">
        <f>IF($K$43="нет","без дифференциации",IF($N$43=0,"",$N$43))</f>
        <v/>
      </c>
      <c r="AL43" s="1278" t="str">
        <f>IF($O$43="нет","без дифференциации",IF($R$43=0,"",$R$43))</f>
        <v/>
      </c>
      <c r="AM43" s="1278" t="str">
        <f>IF($S$43="нет","без дифференциации",IF($V$43=0,"",$V$43))</f>
        <v/>
      </c>
      <c r="AN43" s="1782">
        <f>$I$43</f>
        <v>0</v>
      </c>
      <c r="AO43" s="1278" t="str">
        <f>$I$43&amp;"."&amp;$M$43</f>
        <v>.</v>
      </c>
      <c r="AP43" s="1270" t="str">
        <f>$I$43&amp;"."&amp;$M$43&amp;"."&amp;$Q$43</f>
        <v>..</v>
      </c>
      <c r="AQ43" s="1270" t="str">
        <f>$I$43&amp;"."&amp;$M$43&amp;"."&amp;$Q$43&amp;"."&amp;$U$43</f>
        <v>...</v>
      </c>
      <c r="AR43" s="1294">
        <v>0</v>
      </c>
    </row>
    <row s="1861" customFormat="1" customHeight="1" ht="17.25">
      <c r="A44" s="332"/>
      <c r="C44" s="331"/>
      <c r="D44" s="2165"/>
      <c r="E44" s="2173"/>
      <c r="F44" s="2176"/>
      <c r="G44" s="2173"/>
      <c r="H44" s="2179"/>
      <c r="I44" s="2181"/>
      <c r="J44" s="2183"/>
      <c r="K44" s="2168"/>
      <c r="L44" s="2168"/>
      <c r="M44" s="2168"/>
      <c r="N44" s="2170"/>
      <c r="O44" s="2168"/>
      <c r="P44" s="2168"/>
      <c r="Q44" s="2168"/>
      <c r="R44" s="2171"/>
      <c r="S44" s="2168"/>
      <c r="T44" s="1308"/>
      <c r="U44" s="1308"/>
      <c r="V44" s="1308"/>
      <c r="W44" s="1309"/>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94">
        <v>0</v>
      </c>
    </row>
    <row s="1861" customFormat="1" customHeight="1" ht="17.25">
      <c r="A45" s="332"/>
      <c r="C45" s="331"/>
      <c r="D45" s="2166"/>
      <c r="E45" s="2174"/>
      <c r="F45" s="2176"/>
      <c r="G45" s="2174"/>
      <c r="H45" s="2179"/>
      <c r="I45" s="2181"/>
      <c r="J45" s="2184"/>
      <c r="K45" s="2168"/>
      <c r="L45" s="2168"/>
      <c r="M45" s="2168"/>
      <c r="N45" s="2171"/>
      <c r="O45" s="2168"/>
      <c r="P45" s="1429"/>
      <c r="Q45" s="1308"/>
      <c r="R45" s="1308"/>
      <c r="S45" s="340"/>
      <c r="T45" s="340"/>
      <c r="U45" s="340"/>
      <c r="V45" s="340"/>
      <c r="W45" s="1309"/>
      <c r="X45" s="1270"/>
      <c r="Y45" s="1270"/>
      <c r="Z45" s="1270"/>
      <c r="AA45" s="1270"/>
      <c r="AB45" s="1270"/>
      <c r="AC45" s="1270"/>
      <c r="AD45" s="1270"/>
      <c r="AE45" s="1270"/>
      <c r="AF45" s="1270"/>
      <c r="AG45" s="1270"/>
      <c r="AH45" s="1270"/>
      <c r="AI45" s="1270"/>
      <c r="AJ45" s="1270"/>
      <c r="AK45" s="1270"/>
      <c r="AL45" s="1270"/>
      <c r="AM45" s="1270"/>
      <c r="AN45" s="1270"/>
      <c r="AO45" s="1270"/>
      <c r="AP45" s="1270"/>
      <c r="AQ45" s="1270"/>
      <c r="AR45" s="1294">
        <v>0</v>
      </c>
    </row>
    <row s="1861" customFormat="1" customHeight="1" ht="17.25">
      <c r="A46" s="332"/>
      <c r="C46" s="220"/>
      <c r="D46" s="2166"/>
      <c r="E46" s="2174"/>
      <c r="F46" s="2176"/>
      <c r="G46" s="2174"/>
      <c r="H46" s="2179"/>
      <c r="I46" s="2181"/>
      <c r="J46" s="2184"/>
      <c r="K46" s="2168"/>
      <c r="L46" s="1308"/>
      <c r="M46" s="1308"/>
      <c r="N46" s="1308"/>
      <c r="O46" s="1308"/>
      <c r="P46" s="1308"/>
      <c r="Q46" s="1308"/>
      <c r="R46" s="1308"/>
      <c r="S46" s="340"/>
      <c r="T46" s="340"/>
      <c r="U46" s="340"/>
      <c r="V46" s="340"/>
      <c r="W46" s="1309"/>
      <c r="Y46" s="1278"/>
      <c r="Z46" s="1278"/>
      <c r="AA46" s="1278"/>
      <c r="AB46" s="1278"/>
      <c r="AC46" s="1278"/>
      <c r="AD46" s="1278"/>
      <c r="AE46" s="1278"/>
      <c r="AF46" s="1278"/>
      <c r="AG46" s="1278"/>
      <c r="AH46" s="1278"/>
      <c r="AI46" s="1278"/>
      <c r="AJ46" s="1278"/>
      <c r="AK46" s="1278"/>
      <c r="AL46" s="1278"/>
      <c r="AM46" s="1278"/>
      <c r="AN46" s="1278"/>
      <c r="AO46" s="1278"/>
      <c r="AP46" s="1278"/>
      <c r="AQ46" s="1278"/>
      <c r="AR46" s="1337">
        <v>0</v>
      </c>
    </row>
    <row s="1861" customFormat="1" customHeight="1" ht="17.25">
      <c r="A47" s="332"/>
      <c r="C47" s="331"/>
      <c r="D47" s="2166"/>
      <c r="E47" s="2174"/>
      <c r="F47" s="2177"/>
      <c r="G47" s="2174"/>
      <c r="H47" s="1310"/>
      <c r="I47" s="1311"/>
      <c r="J47" s="1311"/>
      <c r="K47" s="1311"/>
      <c r="L47" s="1311"/>
      <c r="M47" s="1311"/>
      <c r="N47" s="1311"/>
      <c r="O47" s="1311"/>
      <c r="P47" s="1311"/>
      <c r="Q47" s="1311"/>
      <c r="R47" s="1311"/>
      <c r="S47" s="1312"/>
      <c r="T47" s="1312"/>
      <c r="U47" s="1312"/>
      <c r="V47" s="1312"/>
      <c r="W47" s="1313"/>
      <c r="X47" s="1270"/>
      <c r="Y47" s="1270"/>
      <c r="Z47" s="1270"/>
      <c r="AA47" s="1270"/>
      <c r="AB47" s="1270"/>
      <c r="AC47" s="1270"/>
      <c r="AD47" s="1270"/>
      <c r="AE47" s="1270"/>
      <c r="AF47" s="1270"/>
      <c r="AG47" s="1270"/>
      <c r="AH47" s="1270"/>
      <c r="AI47" s="1270"/>
      <c r="AJ47" s="1270"/>
      <c r="AK47" s="1270"/>
      <c r="AL47" s="1270"/>
      <c r="AM47" s="1270"/>
      <c r="AN47" s="1270"/>
      <c r="AO47" s="1270"/>
      <c r="AP47" s="1270"/>
      <c r="AQ47" s="1270"/>
      <c r="AR47" s="1294">
        <v>0</v>
      </c>
    </row>
    <row s="1861" customFormat="1" customHeight="1" ht="17.25">
      <c r="A48" s="332"/>
      <c r="C48" s="220"/>
      <c r="D48" s="2196">
        <v>7</v>
      </c>
      <c r="E48" s="2199" t="s">
        <v>206</v>
      </c>
      <c r="F48" s="2175" t="s">
        <v>19</v>
      </c>
      <c r="G48" s="2199"/>
      <c r="H48" s="2178"/>
      <c r="I48" s="2180"/>
      <c r="J48" s="2182"/>
      <c r="K48" s="2167"/>
      <c r="L48" s="2167"/>
      <c r="M48" s="2167"/>
      <c r="N48" s="2169"/>
      <c r="O48" s="2167"/>
      <c r="P48" s="2167"/>
      <c r="Q48" s="2167"/>
      <c r="R48" s="2172"/>
      <c r="S48" s="2167"/>
      <c r="T48" s="1431"/>
      <c r="U48" s="1431"/>
      <c r="V48" s="1430"/>
      <c r="W48" s="1307"/>
      <c r="X48" s="1278"/>
      <c r="Y48" s="1278"/>
      <c r="Z48" s="1278"/>
      <c r="AA48" s="1278"/>
      <c r="AB48" s="1278"/>
      <c r="AC48" s="1278" t="s">
        <v>207</v>
      </c>
      <c r="AD48" s="1278" t="s">
        <v>208</v>
      </c>
      <c r="AE48" s="1278" t="s">
        <v>209</v>
      </c>
      <c r="AF48" s="1278" t="s">
        <v>210</v>
      </c>
      <c r="AG48" s="1278" t="s">
        <v>211</v>
      </c>
      <c r="AH48" s="1278" t="str">
        <f>IF($E$48=0,"",$E$48)</f>
        <v>Плата за услуги по поддержанию резервной тепловой мощности при отсутствии потребления тепловой энергии</v>
      </c>
      <c r="AI48" s="1278" t="str">
        <f>IF($G$48=0,"",$G$48)</f>
        <v/>
      </c>
      <c r="AJ48" s="1278" t="str">
        <f>IF($J$48=0,"",$J$48)</f>
        <v/>
      </c>
      <c r="AK48" s="1278" t="str">
        <f>IF($K$48="нет","без дифференциации",IF($N$48=0,"",$N$48))</f>
        <v/>
      </c>
      <c r="AL48" s="1278" t="str">
        <f>IF($O$48="нет","без дифференциации",IF($R$48=0,"",$R$48))</f>
        <v/>
      </c>
      <c r="AM48" s="1278" t="str">
        <f>IF($S$48="нет","без дифференциации",IF($V$48=0,"",$V$48))</f>
        <v/>
      </c>
      <c r="AN48" s="1782">
        <f>$I$48</f>
        <v>0</v>
      </c>
      <c r="AO48" s="1278" t="str">
        <f>$I$48&amp;"."&amp;$M$48</f>
        <v>.</v>
      </c>
      <c r="AP48" s="1270" t="str">
        <f>$I$48&amp;"."&amp;$M$48&amp;"."&amp;$Q$48</f>
        <v>..</v>
      </c>
      <c r="AQ48" s="1270" t="str">
        <f>$I$48&amp;"."&amp;$M$48&amp;"."&amp;$Q$48&amp;"."&amp;$U$48</f>
        <v>...</v>
      </c>
      <c r="AR48" s="1319">
        <v>0</v>
      </c>
    </row>
    <row s="1861" customFormat="1" customHeight="1" ht="17.25">
      <c r="A49" s="332"/>
      <c r="C49" s="331"/>
      <c r="D49" s="2197"/>
      <c r="E49" s="2200"/>
      <c r="F49" s="2176"/>
      <c r="G49" s="2200"/>
      <c r="H49" s="2179"/>
      <c r="I49" s="2181"/>
      <c r="J49" s="2183"/>
      <c r="K49" s="2168"/>
      <c r="L49" s="2168"/>
      <c r="M49" s="2168"/>
      <c r="N49" s="2170"/>
      <c r="O49" s="2168"/>
      <c r="P49" s="2168"/>
      <c r="Q49" s="2168"/>
      <c r="R49" s="2171"/>
      <c r="S49" s="2168"/>
      <c r="T49" s="1308"/>
      <c r="U49" s="1308"/>
      <c r="V49" s="1308"/>
      <c r="W49" s="1309"/>
      <c r="X49" s="1270"/>
      <c r="Y49" s="1270"/>
      <c r="Z49" s="1270"/>
      <c r="AA49" s="1270"/>
      <c r="AB49" s="1270"/>
      <c r="AC49" s="1270"/>
      <c r="AD49" s="1270"/>
      <c r="AE49" s="1270"/>
      <c r="AF49" s="1270"/>
      <c r="AG49" s="1270"/>
      <c r="AH49" s="1270"/>
      <c r="AI49" s="1270"/>
      <c r="AJ49" s="1270"/>
      <c r="AK49" s="1270"/>
      <c r="AL49" s="1270"/>
      <c r="AM49" s="1270"/>
      <c r="AN49" s="1270"/>
      <c r="AO49" s="1270"/>
      <c r="AP49" s="1270"/>
      <c r="AQ49" s="1270"/>
      <c r="AR49" s="1319">
        <v>0</v>
      </c>
    </row>
    <row s="1861" customFormat="1" customHeight="1" ht="17.25">
      <c r="A50" s="332"/>
      <c r="C50" s="331"/>
      <c r="D50" s="2197"/>
      <c r="E50" s="2200"/>
      <c r="F50" s="2176"/>
      <c r="G50" s="2200"/>
      <c r="H50" s="2179"/>
      <c r="I50" s="2181"/>
      <c r="J50" s="2184"/>
      <c r="K50" s="2168"/>
      <c r="L50" s="2168"/>
      <c r="M50" s="2168"/>
      <c r="N50" s="2171"/>
      <c r="O50" s="2168"/>
      <c r="P50" s="1429"/>
      <c r="Q50" s="1308"/>
      <c r="R50" s="1308"/>
      <c r="S50" s="340"/>
      <c r="T50" s="340"/>
      <c r="U50" s="340"/>
      <c r="V50" s="340"/>
      <c r="W50" s="1309"/>
      <c r="X50" s="1270"/>
      <c r="Y50" s="1270"/>
      <c r="Z50" s="1270"/>
      <c r="AA50" s="1270"/>
      <c r="AB50" s="1270"/>
      <c r="AC50" s="1270"/>
      <c r="AD50" s="1270"/>
      <c r="AE50" s="1270"/>
      <c r="AF50" s="1270"/>
      <c r="AG50" s="1270"/>
      <c r="AH50" s="1270"/>
      <c r="AI50" s="1270"/>
      <c r="AJ50" s="1270"/>
      <c r="AK50" s="1270"/>
      <c r="AL50" s="1270"/>
      <c r="AM50" s="1270"/>
      <c r="AN50" s="1270"/>
      <c r="AO50" s="1270"/>
      <c r="AP50" s="1270"/>
      <c r="AQ50" s="1270"/>
      <c r="AR50" s="1319">
        <v>0</v>
      </c>
    </row>
    <row s="1861" customFormat="1" customHeight="1" ht="17.25">
      <c r="A51" s="332"/>
      <c r="C51" s="220"/>
      <c r="D51" s="2197"/>
      <c r="E51" s="2200"/>
      <c r="F51" s="2176"/>
      <c r="G51" s="2200"/>
      <c r="H51" s="2179"/>
      <c r="I51" s="2181"/>
      <c r="J51" s="2184"/>
      <c r="K51" s="2168"/>
      <c r="L51" s="1308"/>
      <c r="M51" s="1308"/>
      <c r="N51" s="1308"/>
      <c r="O51" s="1308"/>
      <c r="P51" s="1308"/>
      <c r="Q51" s="1308"/>
      <c r="R51" s="1308"/>
      <c r="S51" s="340"/>
      <c r="T51" s="340"/>
      <c r="U51" s="340"/>
      <c r="V51" s="340"/>
      <c r="W51" s="1309"/>
      <c r="Y51" s="1278"/>
      <c r="Z51" s="1278"/>
      <c r="AA51" s="1278"/>
      <c r="AB51" s="1278"/>
      <c r="AC51" s="1278"/>
      <c r="AD51" s="1278"/>
      <c r="AE51" s="1278"/>
      <c r="AF51" s="1278"/>
      <c r="AG51" s="1278"/>
      <c r="AH51" s="1278"/>
      <c r="AI51" s="1278"/>
      <c r="AJ51" s="1278"/>
      <c r="AK51" s="1278"/>
      <c r="AL51" s="1278"/>
      <c r="AM51" s="1278"/>
      <c r="AN51" s="1278"/>
      <c r="AO51" s="1278"/>
      <c r="AP51" s="1278"/>
      <c r="AQ51" s="1278"/>
      <c r="AR51" s="1337">
        <v>0</v>
      </c>
    </row>
    <row s="1861" customFormat="1" customHeight="1" ht="17.25">
      <c r="A52" s="332"/>
      <c r="C52" s="331"/>
      <c r="D52" s="2198"/>
      <c r="E52" s="2201"/>
      <c r="F52" s="2177"/>
      <c r="G52" s="2201"/>
      <c r="H52" s="1310"/>
      <c r="I52" s="1311"/>
      <c r="J52" s="1311"/>
      <c r="K52" s="1311"/>
      <c r="L52" s="1311"/>
      <c r="M52" s="1311"/>
      <c r="N52" s="1311"/>
      <c r="O52" s="1311"/>
      <c r="P52" s="1311"/>
      <c r="Q52" s="1311"/>
      <c r="R52" s="1311"/>
      <c r="S52" s="1312"/>
      <c r="T52" s="1312"/>
      <c r="U52" s="1312"/>
      <c r="V52" s="1312"/>
      <c r="W52" s="1313"/>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319">
        <v>0</v>
      </c>
    </row>
    <row s="1861" customFormat="1" customHeight="1" ht="17.25">
      <c r="A53" s="332"/>
      <c r="C53" s="220"/>
      <c r="D53" s="2165">
        <v>8</v>
      </c>
      <c r="E53" s="2173" t="s">
        <v>212</v>
      </c>
      <c r="F53" s="2175" t="s">
        <v>19</v>
      </c>
      <c r="G53" s="2173"/>
      <c r="H53" s="2178"/>
      <c r="I53" s="2180"/>
      <c r="J53" s="2182"/>
      <c r="K53" s="2167"/>
      <c r="L53" s="2167"/>
      <c r="M53" s="2167"/>
      <c r="N53" s="2169"/>
      <c r="O53" s="2167"/>
      <c r="P53" s="2167"/>
      <c r="Q53" s="2167"/>
      <c r="R53" s="2172"/>
      <c r="S53" s="2167"/>
      <c r="T53" s="1481"/>
      <c r="U53" s="1481"/>
      <c r="V53" s="1483"/>
      <c r="W53" s="1307"/>
      <c r="X53" s="1278"/>
      <c r="Y53" s="1278"/>
      <c r="Z53" s="1278"/>
      <c r="AA53" s="1278"/>
      <c r="AB53" s="1278"/>
      <c r="AC53" s="1278" t="s">
        <v>213</v>
      </c>
      <c r="AD53" s="1278" t="s">
        <v>214</v>
      </c>
      <c r="AE53" s="1278" t="s">
        <v>215</v>
      </c>
      <c r="AF53" s="1278" t="s">
        <v>216</v>
      </c>
      <c r="AG53" s="1278" t="s">
        <v>217</v>
      </c>
      <c r="AH53" s="1278" t="str">
        <f>IF($E$53=0,"",$E$53)</f>
        <v>Плата за подключение (технологическое присоединение) к системе теплоснабжения</v>
      </c>
      <c r="AI53" s="1278" t="str">
        <f>IF($G$53=0,"",$G$53)</f>
        <v/>
      </c>
      <c r="AJ53" s="1278" t="str">
        <f>IF($J$53=0,"",$J$53)</f>
        <v/>
      </c>
      <c r="AK53" s="1278" t="str">
        <f>IF($K$53="нет","без дифференциации",IF($N$53=0,"",$N$53))</f>
        <v/>
      </c>
      <c r="AL53" s="1278" t="str">
        <f>IF($O$53="нет","без дифференциации",IF($R$53=0,"",$R$53))</f>
        <v/>
      </c>
      <c r="AM53" s="1278" t="str">
        <f>IF($S$53="нет","без дифференциации",IF($V$53=0,"",$V$53))</f>
        <v/>
      </c>
      <c r="AN53" s="1782">
        <f>$I$53</f>
        <v>0</v>
      </c>
      <c r="AO53" s="1278" t="str">
        <f>$I$53&amp;"."&amp;$M$53</f>
        <v>.</v>
      </c>
      <c r="AP53" s="1270" t="str">
        <f>$I$53&amp;"."&amp;$M$53&amp;"."&amp;$Q$53</f>
        <v>..</v>
      </c>
      <c r="AQ53" s="1270" t="str">
        <f>$I$53&amp;"."&amp;$M$53&amp;"."&amp;$Q$53&amp;"."&amp;$U$53</f>
        <v>...</v>
      </c>
      <c r="AR53" s="1319">
        <v>0</v>
      </c>
    </row>
    <row s="1861" customFormat="1" customHeight="1" ht="17.25">
      <c r="A54" s="332"/>
      <c r="C54" s="331"/>
      <c r="D54" s="2165"/>
      <c r="E54" s="2173"/>
      <c r="F54" s="2176"/>
      <c r="G54" s="2173"/>
      <c r="H54" s="2179"/>
      <c r="I54" s="2181"/>
      <c r="J54" s="2183"/>
      <c r="K54" s="2168"/>
      <c r="L54" s="2168"/>
      <c r="M54" s="2168"/>
      <c r="N54" s="2170"/>
      <c r="O54" s="2168"/>
      <c r="P54" s="2168"/>
      <c r="Q54" s="2168"/>
      <c r="R54" s="2171"/>
      <c r="S54" s="2168"/>
      <c r="T54" s="1308"/>
      <c r="U54" s="1308"/>
      <c r="V54" s="1308"/>
      <c r="W54" s="1309"/>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319">
        <v>0</v>
      </c>
    </row>
    <row s="1861" customFormat="1" customHeight="1" ht="17.25">
      <c r="A55" s="332"/>
      <c r="C55" s="331"/>
      <c r="D55" s="2166"/>
      <c r="E55" s="2174"/>
      <c r="F55" s="2176"/>
      <c r="G55" s="2174"/>
      <c r="H55" s="2179"/>
      <c r="I55" s="2181"/>
      <c r="J55" s="2184"/>
      <c r="K55" s="2168"/>
      <c r="L55" s="2168"/>
      <c r="M55" s="2168"/>
      <c r="N55" s="2171"/>
      <c r="O55" s="2168"/>
      <c r="P55" s="1482"/>
      <c r="Q55" s="1308"/>
      <c r="R55" s="1308"/>
      <c r="S55" s="340"/>
      <c r="T55" s="340"/>
      <c r="U55" s="340"/>
      <c r="V55" s="340"/>
      <c r="W55" s="1309"/>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319">
        <v>0</v>
      </c>
    </row>
    <row s="1861" customFormat="1" customHeight="1" ht="17.25">
      <c r="A56" s="332"/>
      <c r="C56" s="220"/>
      <c r="D56" s="2166"/>
      <c r="E56" s="2174"/>
      <c r="F56" s="2176"/>
      <c r="G56" s="2174"/>
      <c r="H56" s="2179"/>
      <c r="I56" s="2181"/>
      <c r="J56" s="2184"/>
      <c r="K56" s="2168"/>
      <c r="L56" s="1308"/>
      <c r="M56" s="1308"/>
      <c r="N56" s="1308"/>
      <c r="O56" s="1308"/>
      <c r="P56" s="1308"/>
      <c r="Q56" s="1308"/>
      <c r="R56" s="1308"/>
      <c r="S56" s="340"/>
      <c r="T56" s="340"/>
      <c r="U56" s="340"/>
      <c r="V56" s="340"/>
      <c r="W56" s="1309"/>
      <c r="Y56" s="1278"/>
      <c r="Z56" s="1278"/>
      <c r="AA56" s="1278"/>
      <c r="AB56" s="1278"/>
      <c r="AC56" s="1278"/>
      <c r="AD56" s="1278"/>
      <c r="AE56" s="1278"/>
      <c r="AF56" s="1278"/>
      <c r="AG56" s="1278"/>
      <c r="AH56" s="1278"/>
      <c r="AI56" s="1278"/>
      <c r="AJ56" s="1278"/>
      <c r="AK56" s="1278"/>
      <c r="AL56" s="1278"/>
      <c r="AM56" s="1278"/>
      <c r="AN56" s="1278"/>
      <c r="AO56" s="1278"/>
      <c r="AP56" s="1278"/>
      <c r="AQ56" s="1278"/>
      <c r="AR56" s="1337">
        <v>0</v>
      </c>
    </row>
    <row s="1861" customFormat="1" customHeight="1" ht="17.25">
      <c r="A57" s="332"/>
      <c r="C57" s="331"/>
      <c r="D57" s="2166"/>
      <c r="E57" s="2174"/>
      <c r="F57" s="2177"/>
      <c r="G57" s="2174"/>
      <c r="H57" s="1310"/>
      <c r="I57" s="1311"/>
      <c r="J57" s="1311"/>
      <c r="K57" s="1311"/>
      <c r="L57" s="1311"/>
      <c r="M57" s="1311"/>
      <c r="N57" s="1311"/>
      <c r="O57" s="1311"/>
      <c r="P57" s="1311"/>
      <c r="Q57" s="1311"/>
      <c r="R57" s="1311"/>
      <c r="S57" s="1312"/>
      <c r="T57" s="1312"/>
      <c r="U57" s="1312"/>
      <c r="V57" s="1312"/>
      <c r="W57" s="1313"/>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319">
        <v>0</v>
      </c>
    </row>
    <row s="1861" customFormat="1" customHeight="1" ht="17.25">
      <c r="A58" s="332"/>
      <c r="C58" s="220"/>
      <c r="D58" s="2165">
        <v>9</v>
      </c>
      <c r="E58" s="2173" t="s">
        <v>218</v>
      </c>
      <c r="F58" s="2175" t="s">
        <v>19</v>
      </c>
      <c r="G58" s="2173"/>
      <c r="H58" s="2178"/>
      <c r="I58" s="2180"/>
      <c r="J58" s="2182"/>
      <c r="K58" s="2167"/>
      <c r="L58" s="2167"/>
      <c r="M58" s="2167"/>
      <c r="N58" s="2169"/>
      <c r="O58" s="2167"/>
      <c r="P58" s="2167"/>
      <c r="Q58" s="2167"/>
      <c r="R58" s="2172"/>
      <c r="S58" s="2167"/>
      <c r="T58" s="1939"/>
      <c r="U58" s="1939"/>
      <c r="V58" s="1941"/>
      <c r="W58" s="1307"/>
      <c r="X58" s="1278"/>
      <c r="Y58" s="1278"/>
      <c r="Z58" s="1278"/>
      <c r="AA58" s="1278"/>
      <c r="AB58" s="1278"/>
      <c r="AC58" s="1278" t="s">
        <v>219</v>
      </c>
      <c r="AD58" s="1278" t="s">
        <v>220</v>
      </c>
      <c r="AE58" s="1278" t="s">
        <v>221</v>
      </c>
      <c r="AF58" s="1278" t="s">
        <v>222</v>
      </c>
      <c r="AG58" s="1278" t="s">
        <v>223</v>
      </c>
      <c r="AH58" s="1278" t="str">
        <f>IF($E$58=0,"",$E$58)</f>
        <v>Плата за подключение (технологическое присоединение) к системе теплоснабжения (индивидуальная)</v>
      </c>
      <c r="AI58" s="1278" t="str">
        <f>IF($G$58=0,"",$G$58)</f>
        <v/>
      </c>
      <c r="AJ58" s="1278" t="str">
        <f>IF($J$58=0,"",$J$58)</f>
        <v/>
      </c>
      <c r="AK58" s="1278" t="str">
        <f>IF($K$58="нет","без дифференциации",IF($N$58=0,"",$N$58))</f>
        <v/>
      </c>
      <c r="AL58" s="1278" t="str">
        <f>IF($O$58="нет","без дифференциации",IF($R$58=0,"",$R$58))</f>
        <v/>
      </c>
      <c r="AM58" s="1278" t="str">
        <f>IF($S$58="нет","без дифференциации",IF($V$58=0,"",$V$58))</f>
        <v/>
      </c>
      <c r="AN58" s="1782">
        <f>$I$58</f>
        <v>0</v>
      </c>
      <c r="AO58" s="1278" t="str">
        <f>$I$58&amp;"."&amp;$M$58</f>
        <v>.</v>
      </c>
      <c r="AP58" s="1277" t="str">
        <f>$I$58&amp;"."&amp;$M$58&amp;"."&amp;$Q$58</f>
        <v>..</v>
      </c>
      <c r="AQ58" s="1277" t="str">
        <f>$I$58&amp;"."&amp;$M$58&amp;"."&amp;$Q$58&amp;"."&amp;$U$58</f>
        <v>...</v>
      </c>
      <c r="AR58" s="1478">
        <v>0</v>
      </c>
    </row>
    <row s="1861" customFormat="1" customHeight="1" ht="17.25">
      <c r="A59" s="332"/>
      <c r="C59" s="331"/>
      <c r="D59" s="2165"/>
      <c r="E59" s="2173"/>
      <c r="F59" s="2176"/>
      <c r="G59" s="2173"/>
      <c r="H59" s="2179"/>
      <c r="I59" s="2181"/>
      <c r="J59" s="2183"/>
      <c r="K59" s="2168"/>
      <c r="L59" s="2168"/>
      <c r="M59" s="2168"/>
      <c r="N59" s="2170"/>
      <c r="O59" s="2168"/>
      <c r="P59" s="2168"/>
      <c r="Q59" s="2168"/>
      <c r="R59" s="2171"/>
      <c r="S59" s="2168"/>
      <c r="T59" s="1942"/>
      <c r="U59" s="1942"/>
      <c r="V59" s="1942"/>
      <c r="W59" s="1943"/>
      <c r="X59" s="1277"/>
      <c r="Y59" s="1277"/>
      <c r="Z59" s="1277"/>
      <c r="AA59" s="1277"/>
      <c r="AB59" s="1277"/>
      <c r="AC59" s="1277"/>
      <c r="AD59" s="1277"/>
      <c r="AE59" s="1277"/>
      <c r="AF59" s="1277"/>
      <c r="AG59" s="1277"/>
      <c r="AH59" s="1277"/>
      <c r="AI59" s="1277"/>
      <c r="AJ59" s="1277"/>
      <c r="AK59" s="1277"/>
      <c r="AL59" s="1277"/>
      <c r="AM59" s="1277"/>
      <c r="AN59" s="1277"/>
      <c r="AO59" s="1277"/>
      <c r="AP59" s="1277"/>
      <c r="AQ59" s="1277"/>
      <c r="AR59" s="1478">
        <v>0</v>
      </c>
    </row>
    <row s="1861" customFormat="1" customHeight="1" ht="17.25">
      <c r="A60" s="332"/>
      <c r="C60" s="331"/>
      <c r="D60" s="2166"/>
      <c r="E60" s="2174"/>
      <c r="F60" s="2176"/>
      <c r="G60" s="2174"/>
      <c r="H60" s="2179"/>
      <c r="I60" s="2181"/>
      <c r="J60" s="2184"/>
      <c r="K60" s="2168"/>
      <c r="L60" s="2168"/>
      <c r="M60" s="2168"/>
      <c r="N60" s="2171"/>
      <c r="O60" s="2168"/>
      <c r="P60" s="1940"/>
      <c r="Q60" s="1942"/>
      <c r="R60" s="1942"/>
      <c r="S60" s="340"/>
      <c r="T60" s="340"/>
      <c r="U60" s="340"/>
      <c r="V60" s="340"/>
      <c r="W60" s="1943"/>
      <c r="X60" s="1277"/>
      <c r="Y60" s="1277"/>
      <c r="Z60" s="1277"/>
      <c r="AA60" s="1277"/>
      <c r="AB60" s="1277"/>
      <c r="AC60" s="1277"/>
      <c r="AD60" s="1277"/>
      <c r="AE60" s="1277"/>
      <c r="AF60" s="1277"/>
      <c r="AG60" s="1277"/>
      <c r="AH60" s="1277"/>
      <c r="AI60" s="1277"/>
      <c r="AJ60" s="1277"/>
      <c r="AK60" s="1277"/>
      <c r="AL60" s="1277"/>
      <c r="AM60" s="1277"/>
      <c r="AN60" s="1277"/>
      <c r="AO60" s="1277"/>
      <c r="AP60" s="1277"/>
      <c r="AQ60" s="1277"/>
      <c r="AR60" s="1478">
        <v>0</v>
      </c>
    </row>
    <row s="1861" customFormat="1" customHeight="1" ht="17.25">
      <c r="A61" s="332"/>
      <c r="C61" s="220"/>
      <c r="D61" s="2166"/>
      <c r="E61" s="2174"/>
      <c r="F61" s="2176"/>
      <c r="G61" s="2174"/>
      <c r="H61" s="2179"/>
      <c r="I61" s="2181"/>
      <c r="J61" s="2184"/>
      <c r="K61" s="2168"/>
      <c r="L61" s="1942"/>
      <c r="M61" s="1942"/>
      <c r="N61" s="1942"/>
      <c r="O61" s="1942"/>
      <c r="P61" s="1942"/>
      <c r="Q61" s="1942"/>
      <c r="R61" s="1942"/>
      <c r="S61" s="340"/>
      <c r="T61" s="340"/>
      <c r="U61" s="340"/>
      <c r="V61" s="340"/>
      <c r="W61" s="1943"/>
      <c r="Y61" s="1278"/>
      <c r="Z61" s="1278"/>
      <c r="AA61" s="1278"/>
      <c r="AB61" s="1278"/>
      <c r="AC61" s="1278"/>
      <c r="AD61" s="1278"/>
      <c r="AE61" s="1278"/>
      <c r="AF61" s="1278"/>
      <c r="AG61" s="1278"/>
      <c r="AH61" s="1278"/>
      <c r="AI61" s="1278"/>
      <c r="AJ61" s="1278"/>
      <c r="AK61" s="1278"/>
      <c r="AL61" s="1278"/>
      <c r="AM61" s="1278"/>
      <c r="AN61" s="1278"/>
      <c r="AO61" s="1278"/>
      <c r="AP61" s="1278"/>
      <c r="AQ61" s="1278"/>
      <c r="AR61" s="1478">
        <v>0</v>
      </c>
    </row>
    <row s="1861" customFormat="1" customHeight="1" ht="17.25">
      <c r="A62" s="332"/>
      <c r="C62" s="331"/>
      <c r="D62" s="2166"/>
      <c r="E62" s="2174"/>
      <c r="F62" s="2177"/>
      <c r="G62" s="2174"/>
      <c r="H62" s="1310"/>
      <c r="I62" s="1944"/>
      <c r="J62" s="1944"/>
      <c r="K62" s="1944"/>
      <c r="L62" s="1944"/>
      <c r="M62" s="1944"/>
      <c r="N62" s="1944"/>
      <c r="O62" s="1944"/>
      <c r="P62" s="1944"/>
      <c r="Q62" s="1944"/>
      <c r="R62" s="1944"/>
      <c r="S62" s="1312"/>
      <c r="T62" s="1312"/>
      <c r="U62" s="1312"/>
      <c r="V62" s="1312"/>
      <c r="W62" s="1945"/>
      <c r="X62" s="1277"/>
      <c r="Y62" s="1277"/>
      <c r="Z62" s="1277"/>
      <c r="AA62" s="1277"/>
      <c r="AB62" s="1277"/>
      <c r="AC62" s="1277"/>
      <c r="AD62" s="1277"/>
      <c r="AE62" s="1277"/>
      <c r="AF62" s="1277"/>
      <c r="AG62" s="1277"/>
      <c r="AH62" s="1277"/>
      <c r="AI62" s="1277"/>
      <c r="AJ62" s="1277"/>
      <c r="AK62" s="1277"/>
      <c r="AL62" s="1277"/>
      <c r="AM62" s="1277"/>
      <c r="AN62" s="1277"/>
      <c r="AO62" s="1277"/>
      <c r="AP62" s="1277"/>
      <c r="AQ62" s="1277"/>
      <c r="AR62" s="1478">
        <v>0</v>
      </c>
    </row>
    <row s="1861" customFormat="1" customHeight="1" ht="17.25">
      <c r="A63" s="332"/>
      <c r="C63" s="220"/>
      <c r="D63" s="2165">
        <v>10</v>
      </c>
      <c r="E63" s="2173" t="s">
        <v>224</v>
      </c>
      <c r="F63" s="2175" t="s">
        <v>19</v>
      </c>
      <c r="G63" s="2173"/>
      <c r="H63" s="2178"/>
      <c r="I63" s="2180"/>
      <c r="J63" s="2182"/>
      <c r="K63" s="2167"/>
      <c r="L63" s="2167"/>
      <c r="M63" s="2167"/>
      <c r="N63" s="2169"/>
      <c r="O63" s="2167"/>
      <c r="P63" s="2167"/>
      <c r="Q63" s="2167"/>
      <c r="R63" s="2172"/>
      <c r="S63" s="2167"/>
      <c r="T63" s="1939"/>
      <c r="U63" s="1939"/>
      <c r="V63" s="1941"/>
      <c r="W63" s="1307"/>
      <c r="X63" s="1278"/>
      <c r="Y63" s="1278"/>
      <c r="Z63" s="1278"/>
      <c r="AA63" s="1278"/>
      <c r="AB63" s="1278"/>
      <c r="AC63" s="1278" t="s">
        <v>225</v>
      </c>
      <c r="AD63" s="1278" t="s">
        <v>226</v>
      </c>
      <c r="AE63" s="1278" t="s">
        <v>227</v>
      </c>
      <c r="AF63" s="1278" t="s">
        <v>228</v>
      </c>
      <c r="AG63" s="1278" t="s">
        <v>229</v>
      </c>
      <c r="AH63" s="1278" t="str">
        <f>IF($E$63=0,"",$E$63)</f>
        <v>Предельный уровень цены на тепловую энергию (мощность), поставляемую теплоснабжающими организациями потребителям</v>
      </c>
      <c r="AI63" s="1278" t="str">
        <f>IF($G$63=0,"",$G$63)</f>
        <v/>
      </c>
      <c r="AJ63" s="1278" t="str">
        <f>IF($J$63=0,"",$J$63)</f>
        <v/>
      </c>
      <c r="AK63" s="1278" t="str">
        <f>IF($K$63="нет","без дифференциации",IF($N$63=0,"",$N$63))</f>
        <v/>
      </c>
      <c r="AL63" s="1278" t="str">
        <f>IF($O$63="нет","без дифференциации",IF($R$63=0,"",$R$63))</f>
        <v/>
      </c>
      <c r="AM63" s="1278" t="str">
        <f>IF($S$63="нет","без дифференциации",IF($V$63=0,"",$V$63))</f>
        <v/>
      </c>
      <c r="AN63" s="1782">
        <f>$I$63</f>
        <v>0</v>
      </c>
      <c r="AO63" s="1278" t="str">
        <f>$I$63&amp;"."&amp;$M$63</f>
        <v>.</v>
      </c>
      <c r="AP63" s="1277" t="str">
        <f>$I$63&amp;"."&amp;$M$63&amp;"."&amp;$Q$63</f>
        <v>..</v>
      </c>
      <c r="AQ63" s="1277" t="str">
        <f>$I$63&amp;"."&amp;$M$63&amp;"."&amp;$Q$63&amp;"."&amp;$U$63</f>
        <v>...</v>
      </c>
      <c r="AR63" s="1478">
        <v>0</v>
      </c>
    </row>
    <row s="1861" customFormat="1" customHeight="1" ht="17.25">
      <c r="A64" s="332"/>
      <c r="C64" s="331"/>
      <c r="D64" s="2165"/>
      <c r="E64" s="2173"/>
      <c r="F64" s="2176"/>
      <c r="G64" s="2173"/>
      <c r="H64" s="2179"/>
      <c r="I64" s="2181"/>
      <c r="J64" s="2183"/>
      <c r="K64" s="2168"/>
      <c r="L64" s="2168"/>
      <c r="M64" s="2168"/>
      <c r="N64" s="2170"/>
      <c r="O64" s="2168"/>
      <c r="P64" s="2168"/>
      <c r="Q64" s="2168"/>
      <c r="R64" s="2171"/>
      <c r="S64" s="2168"/>
      <c r="T64" s="1942"/>
      <c r="U64" s="1942"/>
      <c r="V64" s="1942"/>
      <c r="W64" s="1943"/>
      <c r="X64" s="1277"/>
      <c r="Y64" s="1277"/>
      <c r="Z64" s="1277"/>
      <c r="AA64" s="1277"/>
      <c r="AB64" s="1277"/>
      <c r="AC64" s="1277"/>
      <c r="AD64" s="1277"/>
      <c r="AE64" s="1277"/>
      <c r="AF64" s="1277"/>
      <c r="AG64" s="1277"/>
      <c r="AH64" s="1277"/>
      <c r="AI64" s="1277"/>
      <c r="AJ64" s="1277"/>
      <c r="AK64" s="1277"/>
      <c r="AL64" s="1277"/>
      <c r="AM64" s="1277"/>
      <c r="AN64" s="1277"/>
      <c r="AO64" s="1277"/>
      <c r="AP64" s="1277"/>
      <c r="AQ64" s="1277"/>
      <c r="AR64" s="1478">
        <v>0</v>
      </c>
    </row>
    <row s="1861" customFormat="1" customHeight="1" ht="17.25">
      <c r="A65" s="332"/>
      <c r="C65" s="331"/>
      <c r="D65" s="2166"/>
      <c r="E65" s="2174"/>
      <c r="F65" s="2176"/>
      <c r="G65" s="2174"/>
      <c r="H65" s="2179"/>
      <c r="I65" s="2181"/>
      <c r="J65" s="2184"/>
      <c r="K65" s="2168"/>
      <c r="L65" s="2168"/>
      <c r="M65" s="2168"/>
      <c r="N65" s="2171"/>
      <c r="O65" s="2168"/>
      <c r="P65" s="1940"/>
      <c r="Q65" s="1942"/>
      <c r="R65" s="1942"/>
      <c r="S65" s="340"/>
      <c r="T65" s="340"/>
      <c r="U65" s="340"/>
      <c r="V65" s="340"/>
      <c r="W65" s="1943"/>
      <c r="X65" s="1277"/>
      <c r="Y65" s="1277"/>
      <c r="Z65" s="1277"/>
      <c r="AA65" s="1277"/>
      <c r="AB65" s="1277"/>
      <c r="AC65" s="1277"/>
      <c r="AD65" s="1277"/>
      <c r="AE65" s="1277"/>
      <c r="AF65" s="1277"/>
      <c r="AG65" s="1277"/>
      <c r="AH65" s="1277"/>
      <c r="AI65" s="1277"/>
      <c r="AJ65" s="1277"/>
      <c r="AK65" s="1277"/>
      <c r="AL65" s="1277"/>
      <c r="AM65" s="1277"/>
      <c r="AN65" s="1277"/>
      <c r="AO65" s="1277"/>
      <c r="AP65" s="1277"/>
      <c r="AQ65" s="1277"/>
      <c r="AR65" s="1478">
        <v>0</v>
      </c>
    </row>
    <row s="1861" customFormat="1" customHeight="1" ht="17.25">
      <c r="A66" s="332"/>
      <c r="C66" s="220"/>
      <c r="D66" s="2166"/>
      <c r="E66" s="2174"/>
      <c r="F66" s="2176"/>
      <c r="G66" s="2174"/>
      <c r="H66" s="2179"/>
      <c r="I66" s="2181"/>
      <c r="J66" s="2184"/>
      <c r="K66" s="2168"/>
      <c r="L66" s="1942"/>
      <c r="M66" s="1942"/>
      <c r="N66" s="1942"/>
      <c r="O66" s="1942"/>
      <c r="P66" s="1942"/>
      <c r="Q66" s="1942"/>
      <c r="R66" s="1942"/>
      <c r="S66" s="340"/>
      <c r="T66" s="340"/>
      <c r="U66" s="340"/>
      <c r="V66" s="340"/>
      <c r="W66" s="1943"/>
      <c r="Y66" s="1278"/>
      <c r="Z66" s="1278"/>
      <c r="AA66" s="1278"/>
      <c r="AB66" s="1278"/>
      <c r="AC66" s="1278"/>
      <c r="AD66" s="1278"/>
      <c r="AE66" s="1278"/>
      <c r="AF66" s="1278"/>
      <c r="AG66" s="1278"/>
      <c r="AH66" s="1278"/>
      <c r="AI66" s="1278"/>
      <c r="AJ66" s="1278"/>
      <c r="AK66" s="1278"/>
      <c r="AL66" s="1278"/>
      <c r="AM66" s="1278"/>
      <c r="AN66" s="1278"/>
      <c r="AO66" s="1278"/>
      <c r="AP66" s="1278"/>
      <c r="AQ66" s="1278"/>
      <c r="AR66" s="1478">
        <v>0</v>
      </c>
    </row>
    <row s="1861" customFormat="1" customHeight="1" ht="17.25">
      <c r="A67" s="332"/>
      <c r="C67" s="331"/>
      <c r="D67" s="2166"/>
      <c r="E67" s="2174"/>
      <c r="F67" s="2177"/>
      <c r="G67" s="2174"/>
      <c r="H67" s="1310"/>
      <c r="I67" s="1944"/>
      <c r="J67" s="1944"/>
      <c r="K67" s="1944"/>
      <c r="L67" s="1944"/>
      <c r="M67" s="1944"/>
      <c r="N67" s="1944"/>
      <c r="O67" s="1944"/>
      <c r="P67" s="1944"/>
      <c r="Q67" s="1944"/>
      <c r="R67" s="1944"/>
      <c r="S67" s="1312"/>
      <c r="T67" s="1312"/>
      <c r="U67" s="1312"/>
      <c r="V67" s="1312"/>
      <c r="W67" s="1945"/>
      <c r="X67" s="1277"/>
      <c r="Y67" s="1277"/>
      <c r="Z67" s="1277"/>
      <c r="AA67" s="1277"/>
      <c r="AB67" s="1277"/>
      <c r="AC67" s="1277"/>
      <c r="AD67" s="1277"/>
      <c r="AE67" s="1277"/>
      <c r="AF67" s="1277"/>
      <c r="AG67" s="1277"/>
      <c r="AH67" s="1277"/>
      <c r="AI67" s="1277"/>
      <c r="AJ67" s="1277"/>
      <c r="AK67" s="1277"/>
      <c r="AL67" s="1277"/>
      <c r="AM67" s="1277"/>
      <c r="AN67" s="1277"/>
      <c r="AO67" s="1277"/>
      <c r="AP67" s="1277"/>
      <c r="AQ67" s="1277"/>
      <c r="AR67" s="1478">
        <v>0</v>
      </c>
    </row>
    <row customHeight="1" ht="11.25">
      <c r="AR68" s="115">
        <v>0</v>
      </c>
    </row>
    <row customHeight="1" ht="11.25">
      <c r="E69" s="2204" t="s">
        <v>230</v>
      </c>
      <c r="F69" s="2204"/>
      <c r="G69" s="2204"/>
      <c r="H69" s="2204"/>
      <c r="I69" s="2204"/>
      <c r="J69" s="2204"/>
      <c r="K69" s="2204"/>
      <c r="L69" s="2204"/>
      <c r="M69" s="2204"/>
      <c r="N69" s="2204"/>
      <c r="O69" s="2204"/>
      <c r="P69" s="2204"/>
      <c r="Q69" s="2204"/>
      <c r="R69" s="2204"/>
      <c r="S69" s="2204"/>
      <c r="T69" s="2204"/>
      <c r="U69" s="2204"/>
      <c r="V69" s="2204"/>
      <c r="W69" s="2204"/>
      <c r="AR69" s="115">
        <v>0</v>
      </c>
    </row>
    <row customHeight="1" ht="36.75">
      <c r="E70" s="2202" t="s">
        <v>231</v>
      </c>
      <c r="F70" s="2202"/>
      <c r="G70" s="2203"/>
      <c r="H70" s="2203"/>
      <c r="I70" s="2203"/>
      <c r="J70" s="2203"/>
      <c r="K70" s="2203"/>
      <c r="L70" s="2203"/>
      <c r="M70" s="2203"/>
      <c r="N70" s="2203"/>
      <c r="O70" s="2203"/>
      <c r="P70" s="2203"/>
      <c r="Q70" s="2203"/>
      <c r="R70" s="2203"/>
      <c r="S70" s="2203"/>
      <c r="T70" s="2203"/>
      <c r="U70" s="2203"/>
      <c r="V70" s="2203"/>
      <c r="W70" s="2203"/>
      <c r="AR70" s="115">
        <v>0</v>
      </c>
    </row>
    <row customHeight="1" ht="28.5">
      <c r="E71" s="2202" t="s">
        <v>232</v>
      </c>
      <c r="F71" s="2202"/>
      <c r="G71" s="2203"/>
      <c r="H71" s="2203"/>
      <c r="I71" s="2203"/>
      <c r="J71" s="2203"/>
      <c r="K71" s="2203"/>
      <c r="L71" s="2203"/>
      <c r="M71" s="2203"/>
      <c r="N71" s="2203"/>
      <c r="O71" s="2203"/>
      <c r="P71" s="2203"/>
      <c r="Q71" s="2203"/>
      <c r="R71" s="2203"/>
      <c r="S71" s="2203"/>
      <c r="T71" s="2203"/>
      <c r="U71" s="2203"/>
      <c r="V71" s="2203"/>
      <c r="W71" s="2203"/>
      <c r="AR71" s="115">
        <v>0</v>
      </c>
    </row>
    <row customHeight="1" ht="27">
      <c r="E72" s="2202" t="s">
        <v>233</v>
      </c>
      <c r="F72" s="2202"/>
      <c r="G72" s="2203"/>
      <c r="H72" s="2203"/>
      <c r="I72" s="2203"/>
      <c r="J72" s="2203"/>
      <c r="K72" s="2203"/>
      <c r="L72" s="2203"/>
      <c r="M72" s="2203"/>
      <c r="N72" s="2203"/>
      <c r="O72" s="2203"/>
      <c r="P72" s="2203"/>
      <c r="Q72" s="2203"/>
      <c r="R72" s="2203"/>
      <c r="S72" s="2203"/>
      <c r="T72" s="2203"/>
      <c r="U72" s="2203"/>
      <c r="V72" s="2203"/>
      <c r="W72" s="2203"/>
      <c r="AR72" s="115">
        <v>0</v>
      </c>
    </row>
    <row customHeight="1" ht="17.25">
      <c r="E73" s="2202" t="s">
        <v>234</v>
      </c>
      <c r="F73" s="2202"/>
      <c r="G73" s="2203"/>
      <c r="H73" s="2203"/>
      <c r="I73" s="2203"/>
      <c r="J73" s="2203"/>
      <c r="K73" s="2203"/>
      <c r="L73" s="2203"/>
      <c r="M73" s="2203"/>
      <c r="N73" s="2203"/>
      <c r="O73" s="2203"/>
      <c r="P73" s="2203"/>
      <c r="Q73" s="2203"/>
      <c r="R73" s="2203"/>
      <c r="S73" s="2203"/>
      <c r="T73" s="2203"/>
      <c r="U73" s="2203"/>
      <c r="V73" s="2203"/>
      <c r="W73" s="2203"/>
      <c r="AR73" s="115">
        <v>0</v>
      </c>
    </row>
    <row customHeight="1" ht="15">
      <c r="E74" s="351"/>
      <c r="F74" s="1296"/>
      <c r="G74" s="168"/>
      <c r="H74" s="168"/>
      <c r="I74" s="168"/>
      <c r="J74" s="168"/>
      <c r="K74" s="168"/>
      <c r="L74" s="168"/>
      <c r="M74" s="168"/>
      <c r="N74" s="168"/>
      <c r="O74" s="168"/>
      <c r="P74" s="168"/>
      <c r="Q74" s="168"/>
      <c r="R74" s="168"/>
      <c r="S74" s="168"/>
      <c r="T74" s="168"/>
      <c r="U74" s="168"/>
      <c r="V74" s="168"/>
      <c r="W74" s="168"/>
      <c r="AR74" s="115">
        <v>0</v>
      </c>
    </row>
    <row customHeight="1" ht="15">
      <c r="E75" s="2204" t="s">
        <v>235</v>
      </c>
      <c r="F75" s="2204"/>
      <c r="G75" s="2204"/>
      <c r="H75" s="2204"/>
      <c r="I75" s="2204"/>
      <c r="J75" s="2204"/>
      <c r="K75" s="2204"/>
      <c r="L75" s="2204"/>
      <c r="M75" s="2204"/>
      <c r="N75" s="2204"/>
      <c r="O75" s="2204"/>
      <c r="P75" s="2204"/>
      <c r="Q75" s="2204"/>
      <c r="R75" s="2204"/>
      <c r="S75" s="2204"/>
      <c r="T75" s="2204"/>
      <c r="U75" s="2204"/>
      <c r="V75" s="2204"/>
      <c r="W75" s="2204"/>
      <c r="AR75" s="115">
        <v>0</v>
      </c>
    </row>
    <row customHeight="1" ht="17.25">
      <c r="E76" s="2202" t="s">
        <v>236</v>
      </c>
      <c r="F76" s="2202"/>
      <c r="G76" s="2203"/>
      <c r="H76" s="2203"/>
      <c r="I76" s="2203"/>
      <c r="J76" s="2203"/>
      <c r="K76" s="2203"/>
      <c r="L76" s="2203"/>
      <c r="M76" s="2203"/>
      <c r="N76" s="2203"/>
      <c r="O76" s="2203"/>
      <c r="P76" s="2203"/>
      <c r="Q76" s="2203"/>
      <c r="R76" s="2203"/>
      <c r="S76" s="2203"/>
      <c r="T76" s="2203"/>
      <c r="U76" s="2203"/>
      <c r="V76" s="2203"/>
      <c r="W76" s="2203"/>
      <c r="AR76" s="115">
        <v>0</v>
      </c>
    </row>
    <row customHeight="1" ht="17.25">
      <c r="E77" s="2202" t="s">
        <v>237</v>
      </c>
      <c r="F77" s="2202"/>
      <c r="G77" s="2203"/>
      <c r="H77" s="2203"/>
      <c r="I77" s="2203"/>
      <c r="J77" s="2203"/>
      <c r="K77" s="2203"/>
      <c r="L77" s="2203"/>
      <c r="M77" s="2203"/>
      <c r="N77" s="2203"/>
      <c r="O77" s="2203"/>
      <c r="P77" s="2203"/>
      <c r="Q77" s="2203"/>
      <c r="R77" s="2203"/>
      <c r="S77" s="2203"/>
      <c r="T77" s="2203"/>
      <c r="U77" s="2203"/>
      <c r="V77" s="2203"/>
      <c r="W77" s="2203"/>
      <c r="AR77" s="115">
        <v>0</v>
      </c>
    </row>
    <row s="1861" customFormat="1" customHeight="1" ht="11.25">
      <c r="A78" s="288"/>
      <c r="B78" s="288"/>
      <c r="Y78" s="1270"/>
      <c r="Z78" s="1270"/>
      <c r="AA78" s="1270"/>
      <c r="AB78" s="1270"/>
      <c r="AC78" s="1270"/>
      <c r="AD78" s="1270"/>
      <c r="AE78" s="1270"/>
      <c r="AF78" s="1270"/>
      <c r="AG78" s="1270"/>
      <c r="AH78" s="1270"/>
      <c r="AI78" s="1270"/>
      <c r="AJ78" s="1270"/>
      <c r="AK78" s="1270"/>
      <c r="AL78" s="1270"/>
      <c r="AM78" s="1270"/>
      <c r="AN78" s="1270"/>
      <c r="AO78" s="1270"/>
      <c r="AP78" s="1270"/>
      <c r="AQ78" s="1270"/>
      <c r="AR78" s="1361">
        <v>0</v>
      </c>
    </row>
    <row s="1861" customFormat="1" customHeight="1" ht="17.25">
      <c r="A79" s="332"/>
      <c r="C79" s="220"/>
      <c r="D79" s="2165">
        <v>1</v>
      </c>
      <c r="E79" s="2173" t="s">
        <v>238</v>
      </c>
      <c r="F79" s="2175" t="s">
        <v>19</v>
      </c>
      <c r="G79" s="2173"/>
      <c r="H79" s="2178"/>
      <c r="I79" s="2180"/>
      <c r="J79" s="2182"/>
      <c r="K79" s="2167"/>
      <c r="L79" s="2167"/>
      <c r="M79" s="2167"/>
      <c r="N79" s="2169"/>
      <c r="O79" s="2167"/>
      <c r="P79" s="2167"/>
      <c r="Q79" s="2167"/>
      <c r="R79" s="2172"/>
      <c r="S79" s="2167"/>
      <c r="T79" s="1481"/>
      <c r="U79" s="1481"/>
      <c r="V79" s="1483"/>
      <c r="W79" s="1307"/>
      <c r="Y79" s="1278"/>
      <c r="Z79" s="1278"/>
      <c r="AA79" s="1278"/>
      <c r="AB79" s="1278"/>
      <c r="AC79" s="1278" t="s">
        <v>239</v>
      </c>
      <c r="AD79" s="1278" t="s">
        <v>240</v>
      </c>
      <c r="AE79" s="1278" t="s">
        <v>241</v>
      </c>
      <c r="AF79" s="1278" t="s">
        <v>242</v>
      </c>
      <c r="AG79" s="1278"/>
      <c r="AH79" s="1278" t="str">
        <f>IF($E$79=0,"",$E$79)</f>
        <v>Тариф на питьевую воду (питьевое водоснабжение)</v>
      </c>
      <c r="AI79" s="1278" t="str">
        <f>IF($G$79=0,"",$G$79)</f>
        <v/>
      </c>
      <c r="AJ79" s="1278" t="str">
        <f>IF($J$79=0,"",$J$79)</f>
        <v/>
      </c>
      <c r="AK79" s="1278" t="str">
        <f>IF($K$79="нет","без дифференциации",IF($N$79=0,"",$N$79))</f>
        <v/>
      </c>
      <c r="AL79" s="1278" t="str">
        <f>IF($O$79="нет","без дифференциации",IF($R$79=0,"",$R$79))</f>
        <v/>
      </c>
      <c r="AM79" s="1278" t="str">
        <f>IF($S$79="нет","без дифференциации",IF($V$79=0,"",$V$79))</f>
        <v/>
      </c>
      <c r="AN79" s="1278">
        <f>$I$79</f>
        <v>0</v>
      </c>
      <c r="AO79" s="1278" t="str">
        <f>$I$79&amp;"."&amp;$M$79</f>
        <v>.</v>
      </c>
      <c r="AP79" s="1278" t="str">
        <f>$I$79&amp;"."&amp;$M$79&amp;"."&amp;$Q$79</f>
        <v>..</v>
      </c>
      <c r="AQ79" s="1278" t="str">
        <f>$I$79&amp;"."&amp;$M$79&amp;"."&amp;$Q$79&amp;"."&amp;$U$79</f>
        <v>...</v>
      </c>
      <c r="AR79" s="1361">
        <v>0</v>
      </c>
    </row>
    <row s="1861" customFormat="1" customHeight="1" ht="17.25">
      <c r="A80" s="332"/>
      <c r="C80" s="331"/>
      <c r="D80" s="2165"/>
      <c r="E80" s="2173"/>
      <c r="F80" s="2176"/>
      <c r="G80" s="2173"/>
      <c r="H80" s="2179"/>
      <c r="I80" s="2181"/>
      <c r="J80" s="2183"/>
      <c r="K80" s="2168"/>
      <c r="L80" s="2168"/>
      <c r="M80" s="2168"/>
      <c r="N80" s="2170"/>
      <c r="O80" s="2168"/>
      <c r="P80" s="2168"/>
      <c r="Q80" s="2168"/>
      <c r="R80" s="2171"/>
      <c r="S80" s="2168"/>
      <c r="T80" s="1308"/>
      <c r="U80" s="1308"/>
      <c r="V80" s="1308"/>
      <c r="W80" s="1309"/>
      <c r="Y80" s="1270"/>
      <c r="Z80" s="1270"/>
      <c r="AA80" s="1270"/>
      <c r="AB80" s="1270"/>
      <c r="AC80" s="1270"/>
      <c r="AD80" s="1270"/>
      <c r="AE80" s="1270"/>
      <c r="AF80" s="1270"/>
      <c r="AG80" s="1270"/>
      <c r="AH80" s="1270"/>
      <c r="AI80" s="1270"/>
      <c r="AJ80" s="1270"/>
      <c r="AK80" s="1270"/>
      <c r="AL80" s="1270"/>
      <c r="AM80" s="1270"/>
      <c r="AN80" s="1270"/>
      <c r="AO80" s="1270"/>
      <c r="AP80" s="1270"/>
      <c r="AQ80" s="1270"/>
      <c r="AR80" s="1361">
        <v>0</v>
      </c>
    </row>
    <row s="1861" customFormat="1" customHeight="1" ht="17.25">
      <c r="A81" s="332"/>
      <c r="C81" s="220"/>
      <c r="D81" s="2165"/>
      <c r="E81" s="2173"/>
      <c r="F81" s="2176"/>
      <c r="G81" s="2173"/>
      <c r="H81" s="2179"/>
      <c r="I81" s="2181"/>
      <c r="J81" s="2184"/>
      <c r="K81" s="2168"/>
      <c r="L81" s="2168"/>
      <c r="M81" s="2168"/>
      <c r="N81" s="2171"/>
      <c r="O81" s="2168"/>
      <c r="P81" s="1482"/>
      <c r="Q81" s="1308"/>
      <c r="R81" s="1308"/>
      <c r="S81" s="340"/>
      <c r="T81" s="340"/>
      <c r="U81" s="340"/>
      <c r="V81" s="340"/>
      <c r="W81" s="1309"/>
      <c r="Y81" s="1278"/>
      <c r="Z81" s="1278"/>
      <c r="AA81" s="1278"/>
      <c r="AB81" s="1278"/>
      <c r="AC81" s="1278"/>
      <c r="AD81" s="1278"/>
      <c r="AE81" s="1278"/>
      <c r="AF81" s="1278"/>
      <c r="AG81" s="1278"/>
      <c r="AH81" s="1278"/>
      <c r="AI81" s="1278"/>
      <c r="AJ81" s="1278"/>
      <c r="AK81" s="1278"/>
      <c r="AL81" s="1278"/>
      <c r="AM81" s="1278"/>
      <c r="AN81" s="1278"/>
      <c r="AO81" s="1278"/>
      <c r="AP81" s="1278"/>
      <c r="AQ81" s="1278"/>
      <c r="AR81" s="1452">
        <v>0</v>
      </c>
    </row>
    <row s="1861" customFormat="1" customHeight="1" ht="17.25">
      <c r="A82" s="332"/>
      <c r="C82" s="331"/>
      <c r="D82" s="2165"/>
      <c r="E82" s="2173"/>
      <c r="F82" s="2176"/>
      <c r="G82" s="2173"/>
      <c r="H82" s="2179"/>
      <c r="I82" s="2181"/>
      <c r="J82" s="2184"/>
      <c r="K82" s="2168"/>
      <c r="L82" s="1308"/>
      <c r="M82" s="1308"/>
      <c r="N82" s="1308"/>
      <c r="O82" s="1308"/>
      <c r="P82" s="1308"/>
      <c r="Q82" s="1308"/>
      <c r="R82" s="1308"/>
      <c r="S82" s="340"/>
      <c r="T82" s="340"/>
      <c r="U82" s="340"/>
      <c r="V82" s="340"/>
      <c r="W82" s="1309"/>
      <c r="Y82" s="1270"/>
      <c r="Z82" s="1270"/>
      <c r="AA82" s="1270"/>
      <c r="AB82" s="1270"/>
      <c r="AC82" s="1270"/>
      <c r="AD82" s="1270"/>
      <c r="AE82" s="1270"/>
      <c r="AF82" s="1270"/>
      <c r="AG82" s="1270"/>
      <c r="AH82" s="1270"/>
      <c r="AI82" s="1270"/>
      <c r="AJ82" s="1270"/>
      <c r="AK82" s="1270"/>
      <c r="AL82" s="1270"/>
      <c r="AM82" s="1270"/>
      <c r="AN82" s="1270"/>
      <c r="AO82" s="1270"/>
      <c r="AP82" s="1270"/>
      <c r="AQ82" s="1270"/>
      <c r="AR82" s="1452">
        <v>0</v>
      </c>
    </row>
    <row s="1861" customFormat="1" customHeight="1" ht="17.25">
      <c r="A83" s="332"/>
      <c r="C83" s="331"/>
      <c r="D83" s="2166"/>
      <c r="E83" s="2174"/>
      <c r="F83" s="2177"/>
      <c r="G83" s="2174"/>
      <c r="H83" s="1310"/>
      <c r="I83" s="1311"/>
      <c r="J83" s="1311"/>
      <c r="K83" s="1311"/>
      <c r="L83" s="1311"/>
      <c r="M83" s="1311"/>
      <c r="N83" s="1311"/>
      <c r="O83" s="1311"/>
      <c r="P83" s="1311"/>
      <c r="Q83" s="1311"/>
      <c r="R83" s="1311"/>
      <c r="S83" s="1312"/>
      <c r="T83" s="1312"/>
      <c r="U83" s="1312"/>
      <c r="V83" s="1312"/>
      <c r="W83" s="1313"/>
      <c r="Y83" s="1270"/>
      <c r="Z83" s="1270"/>
      <c r="AA83" s="1270"/>
      <c r="AB83" s="1270"/>
      <c r="AC83" s="1270"/>
      <c r="AD83" s="1270"/>
      <c r="AE83" s="1270"/>
      <c r="AF83" s="1270"/>
      <c r="AG83" s="1270"/>
      <c r="AH83" s="1270"/>
      <c r="AI83" s="1270"/>
      <c r="AJ83" s="1270"/>
      <c r="AK83" s="1270"/>
      <c r="AL83" s="1270"/>
      <c r="AM83" s="1270"/>
      <c r="AN83" s="1270"/>
      <c r="AO83" s="1270"/>
      <c r="AP83" s="1270"/>
      <c r="AQ83" s="1270"/>
      <c r="AR83" s="1361">
        <v>0</v>
      </c>
    </row>
    <row s="1861" customFormat="1" customHeight="1" ht="17.25">
      <c r="A84" s="332"/>
      <c r="C84" s="220"/>
      <c r="D84" s="2165">
        <v>2</v>
      </c>
      <c r="E84" s="2173" t="s">
        <v>243</v>
      </c>
      <c r="F84" s="2175" t="s">
        <v>19</v>
      </c>
      <c r="G84" s="2173"/>
      <c r="H84" s="2178"/>
      <c r="I84" s="2180"/>
      <c r="J84" s="2182"/>
      <c r="K84" s="2167"/>
      <c r="L84" s="2167"/>
      <c r="M84" s="2167"/>
      <c r="N84" s="2169"/>
      <c r="O84" s="2167"/>
      <c r="P84" s="2167"/>
      <c r="Q84" s="2167"/>
      <c r="R84" s="2172"/>
      <c r="S84" s="2167"/>
      <c r="T84" s="1454"/>
      <c r="U84" s="1454"/>
      <c r="V84" s="1456"/>
      <c r="W84" s="1307"/>
      <c r="X84" s="1278"/>
      <c r="Y84" s="1278"/>
      <c r="Z84" s="1278"/>
      <c r="AA84" s="1278"/>
      <c r="AB84" s="1278"/>
      <c r="AC84" s="1278" t="s">
        <v>244</v>
      </c>
      <c r="AD84" s="1278" t="s">
        <v>245</v>
      </c>
      <c r="AE84" s="1278" t="s">
        <v>246</v>
      </c>
      <c r="AF84" s="1278" t="s">
        <v>247</v>
      </c>
      <c r="AG84" s="1278"/>
      <c r="AH84" s="1278" t="str">
        <f>IF($E$84=0,"",$E$84)</f>
        <v>Тариф на техническую воду</v>
      </c>
      <c r="AI84" s="1278" t="str">
        <f>IF($G$84=0,"",$G$84)</f>
        <v/>
      </c>
      <c r="AJ84" s="1278" t="str">
        <f>IF($J$84=0,"",$J$84)</f>
        <v/>
      </c>
      <c r="AK84" s="1278" t="str">
        <f>IF($K$84="нет","без дифференциации",IF($N$84=0,"",$N$84))</f>
        <v/>
      </c>
      <c r="AL84" s="1278" t="str">
        <f>IF($O$84="нет","без дифференциации",IF($R$84=0,"",$R$84))</f>
        <v/>
      </c>
      <c r="AM84" s="1278" t="str">
        <f>IF($S$84="нет","без дифференциации",IF($V$84=0,"",$V$84))</f>
        <v/>
      </c>
      <c r="AN84" s="1782">
        <f>$I$84</f>
        <v>0</v>
      </c>
      <c r="AO84" s="1278" t="str">
        <f>$I$84&amp;"."&amp;$M$84</f>
        <v>.</v>
      </c>
      <c r="AP84" s="1270" t="str">
        <f>$I$84&amp;"."&amp;$M$84&amp;"."&amp;$Q$84</f>
        <v>..</v>
      </c>
      <c r="AQ84" s="1270" t="str">
        <f>$I$84&amp;"."&amp;$M$84&amp;"."&amp;$Q$84&amp;"."&amp;$U$84</f>
        <v>...</v>
      </c>
      <c r="AR84" s="1361">
        <v>0</v>
      </c>
    </row>
    <row s="1861" customFormat="1" customHeight="1" ht="17.25">
      <c r="A85" s="332"/>
      <c r="C85" s="331"/>
      <c r="D85" s="2165"/>
      <c r="E85" s="2173"/>
      <c r="F85" s="2176"/>
      <c r="G85" s="2173"/>
      <c r="H85" s="2179"/>
      <c r="I85" s="2181"/>
      <c r="J85" s="2183"/>
      <c r="K85" s="2168"/>
      <c r="L85" s="2168"/>
      <c r="M85" s="2168"/>
      <c r="N85" s="2170"/>
      <c r="O85" s="2168"/>
      <c r="P85" s="2168"/>
      <c r="Q85" s="2168"/>
      <c r="R85" s="2171"/>
      <c r="S85" s="2168"/>
      <c r="T85" s="1308"/>
      <c r="U85" s="1308"/>
      <c r="V85" s="1308"/>
      <c r="W85" s="1309"/>
      <c r="X85" s="1270"/>
      <c r="Y85" s="1270"/>
      <c r="Z85" s="1270"/>
      <c r="AA85" s="1270"/>
      <c r="AB85" s="1270"/>
      <c r="AC85" s="1270"/>
      <c r="AD85" s="1270"/>
      <c r="AE85" s="1270"/>
      <c r="AF85" s="1270"/>
      <c r="AG85" s="1270"/>
      <c r="AH85" s="1270"/>
      <c r="AI85" s="1270"/>
      <c r="AJ85" s="1270"/>
      <c r="AK85" s="1270"/>
      <c r="AL85" s="1270"/>
      <c r="AM85" s="1270"/>
      <c r="AN85" s="1270"/>
      <c r="AO85" s="1270"/>
      <c r="AP85" s="1270"/>
      <c r="AQ85" s="1270"/>
      <c r="AR85" s="1361">
        <v>0</v>
      </c>
    </row>
    <row s="1861" customFormat="1" customHeight="1" ht="17.25">
      <c r="A86" s="332"/>
      <c r="C86" s="331"/>
      <c r="D86" s="2166"/>
      <c r="E86" s="2174"/>
      <c r="F86" s="2176"/>
      <c r="G86" s="2174"/>
      <c r="H86" s="2179"/>
      <c r="I86" s="2181"/>
      <c r="J86" s="2184"/>
      <c r="K86" s="2168"/>
      <c r="L86" s="2168"/>
      <c r="M86" s="2168"/>
      <c r="N86" s="2171"/>
      <c r="O86" s="2168"/>
      <c r="P86" s="1455"/>
      <c r="Q86" s="1308"/>
      <c r="R86" s="1308"/>
      <c r="S86" s="340"/>
      <c r="T86" s="340"/>
      <c r="U86" s="340"/>
      <c r="V86" s="340"/>
      <c r="W86" s="1309"/>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361">
        <v>0</v>
      </c>
    </row>
    <row s="1861" customFormat="1" customHeight="1" ht="17.25">
      <c r="A87" s="332"/>
      <c r="C87" s="331"/>
      <c r="D87" s="2166"/>
      <c r="E87" s="2174"/>
      <c r="F87" s="2176"/>
      <c r="G87" s="2174"/>
      <c r="H87" s="2179"/>
      <c r="I87" s="2181"/>
      <c r="J87" s="2184"/>
      <c r="K87" s="2168"/>
      <c r="L87" s="1308"/>
      <c r="M87" s="1308"/>
      <c r="N87" s="1308"/>
      <c r="O87" s="1308"/>
      <c r="P87" s="1308"/>
      <c r="Q87" s="1308"/>
      <c r="R87" s="1308"/>
      <c r="S87" s="340"/>
      <c r="T87" s="340"/>
      <c r="U87" s="340"/>
      <c r="V87" s="340"/>
      <c r="W87" s="1309"/>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361">
        <v>0</v>
      </c>
    </row>
    <row s="1861" customFormat="1" customHeight="1" ht="17.25">
      <c r="A88" s="332"/>
      <c r="C88" s="331"/>
      <c r="D88" s="2166"/>
      <c r="E88" s="2174"/>
      <c r="F88" s="2177"/>
      <c r="G88" s="2174"/>
      <c r="H88" s="1310"/>
      <c r="I88" s="1311"/>
      <c r="J88" s="1311"/>
      <c r="K88" s="1311"/>
      <c r="L88" s="1311"/>
      <c r="M88" s="1311"/>
      <c r="N88" s="1311"/>
      <c r="O88" s="1311"/>
      <c r="P88" s="1311"/>
      <c r="Q88" s="1311"/>
      <c r="R88" s="1311"/>
      <c r="S88" s="1312"/>
      <c r="T88" s="1312"/>
      <c r="U88" s="1312"/>
      <c r="V88" s="1312"/>
      <c r="W88" s="1313"/>
      <c r="X88" s="1270"/>
      <c r="Y88" s="1270"/>
      <c r="Z88" s="1270"/>
      <c r="AA88" s="1270"/>
      <c r="AB88" s="1270"/>
      <c r="AC88" s="1270"/>
      <c r="AD88" s="1270"/>
      <c r="AE88" s="1270"/>
      <c r="AF88" s="1270"/>
      <c r="AG88" s="1270"/>
      <c r="AH88" s="1270"/>
      <c r="AI88" s="1270"/>
      <c r="AJ88" s="1270"/>
      <c r="AK88" s="1270"/>
      <c r="AL88" s="1270"/>
      <c r="AM88" s="1270"/>
      <c r="AN88" s="1270"/>
      <c r="AO88" s="1270"/>
      <c r="AP88" s="1270"/>
      <c r="AQ88" s="1270"/>
      <c r="AR88" s="1361">
        <v>0</v>
      </c>
    </row>
    <row s="1861" customFormat="1" customHeight="1" ht="17.25">
      <c r="A89" s="332"/>
      <c r="C89" s="220"/>
      <c r="D89" s="2165">
        <v>3</v>
      </c>
      <c r="E89" s="2173" t="s">
        <v>248</v>
      </c>
      <c r="F89" s="2175" t="s">
        <v>19</v>
      </c>
      <c r="G89" s="2173"/>
      <c r="H89" s="2178"/>
      <c r="I89" s="2180"/>
      <c r="J89" s="2182"/>
      <c r="K89" s="2167"/>
      <c r="L89" s="2167"/>
      <c r="M89" s="2167"/>
      <c r="N89" s="2169"/>
      <c r="O89" s="2167"/>
      <c r="P89" s="2167"/>
      <c r="Q89" s="2167"/>
      <c r="R89" s="2172"/>
      <c r="S89" s="2167"/>
      <c r="T89" s="1454"/>
      <c r="U89" s="1454"/>
      <c r="V89" s="1456"/>
      <c r="W89" s="1307"/>
      <c r="X89" s="1278"/>
      <c r="Y89" s="1278"/>
      <c r="Z89" s="1278"/>
      <c r="AA89" s="1278"/>
      <c r="AB89" s="1278"/>
      <c r="AC89" s="1278" t="s">
        <v>249</v>
      </c>
      <c r="AD89" s="1278" t="s">
        <v>250</v>
      </c>
      <c r="AE89" s="1278" t="s">
        <v>251</v>
      </c>
      <c r="AF89" s="1278" t="s">
        <v>252</v>
      </c>
      <c r="AG89" s="1278"/>
      <c r="AH89" s="1278" t="str">
        <f>IF($E$89=0,"",$E$89)</f>
        <v>Тариф на транспортировку воды</v>
      </c>
      <c r="AI89" s="1278" t="str">
        <f>IF($G$89=0,"",$G$89)</f>
        <v/>
      </c>
      <c r="AJ89" s="1278" t="str">
        <f>IF($J$89=0,"",$J$89)</f>
        <v/>
      </c>
      <c r="AK89" s="1278" t="str">
        <f>IF($K$89="нет","без дифференциации",IF($N$89=0,"",$N$89))</f>
        <v/>
      </c>
      <c r="AL89" s="1278" t="str">
        <f>IF($O$89="нет","без дифференциации",IF($R$89=0,"",$R$89))</f>
        <v/>
      </c>
      <c r="AM89" s="1278" t="str">
        <f>IF($S$89="нет","без дифференциации",IF($V$89=0,"",$V$89))</f>
        <v/>
      </c>
      <c r="AN89" s="1782">
        <f>$I$89</f>
        <v>0</v>
      </c>
      <c r="AO89" s="1278" t="str">
        <f>$I$89&amp;"."&amp;$M$89</f>
        <v>.</v>
      </c>
      <c r="AP89" s="1270" t="str">
        <f>$I$89&amp;"."&amp;$M$89&amp;"."&amp;$Q$89</f>
        <v>..</v>
      </c>
      <c r="AQ89" s="1270" t="str">
        <f>$I$89&amp;"."&amp;$M$89&amp;"."&amp;$Q$89&amp;"."&amp;$U$89</f>
        <v>...</v>
      </c>
      <c r="AR89" s="1361">
        <v>0</v>
      </c>
    </row>
    <row s="1861" customFormat="1" customHeight="1" ht="17.25">
      <c r="A90" s="332"/>
      <c r="C90" s="331"/>
      <c r="D90" s="2165"/>
      <c r="E90" s="2173"/>
      <c r="F90" s="2176"/>
      <c r="G90" s="2173"/>
      <c r="H90" s="2179"/>
      <c r="I90" s="2181"/>
      <c r="J90" s="2183"/>
      <c r="K90" s="2168"/>
      <c r="L90" s="2168"/>
      <c r="M90" s="2168"/>
      <c r="N90" s="2170"/>
      <c r="O90" s="2168"/>
      <c r="P90" s="2168"/>
      <c r="Q90" s="2168"/>
      <c r="R90" s="2171"/>
      <c r="S90" s="2168"/>
      <c r="T90" s="1308"/>
      <c r="U90" s="1308"/>
      <c r="V90" s="1308"/>
      <c r="W90" s="1309"/>
      <c r="X90" s="1270"/>
      <c r="Y90" s="1270"/>
      <c r="Z90" s="1270"/>
      <c r="AA90" s="1270"/>
      <c r="AB90" s="1270"/>
      <c r="AC90" s="1270"/>
      <c r="AD90" s="1270"/>
      <c r="AE90" s="1270"/>
      <c r="AF90" s="1270"/>
      <c r="AG90" s="1270"/>
      <c r="AH90" s="1270"/>
      <c r="AI90" s="1270"/>
      <c r="AJ90" s="1270"/>
      <c r="AK90" s="1270"/>
      <c r="AL90" s="1270"/>
      <c r="AM90" s="1270"/>
      <c r="AN90" s="1270"/>
      <c r="AO90" s="1270"/>
      <c r="AP90" s="1270"/>
      <c r="AQ90" s="1270"/>
      <c r="AR90" s="1361">
        <v>0</v>
      </c>
    </row>
    <row s="1861" customFormat="1" customHeight="1" ht="17.25">
      <c r="A91" s="332"/>
      <c r="C91" s="331"/>
      <c r="D91" s="2166"/>
      <c r="E91" s="2174"/>
      <c r="F91" s="2176"/>
      <c r="G91" s="2174"/>
      <c r="H91" s="2179"/>
      <c r="I91" s="2181"/>
      <c r="J91" s="2184"/>
      <c r="K91" s="2168"/>
      <c r="L91" s="2168"/>
      <c r="M91" s="2168"/>
      <c r="N91" s="2171"/>
      <c r="O91" s="2168"/>
      <c r="P91" s="1455"/>
      <c r="Q91" s="1308"/>
      <c r="R91" s="1308"/>
      <c r="S91" s="340"/>
      <c r="T91" s="340"/>
      <c r="U91" s="340"/>
      <c r="V91" s="340"/>
      <c r="W91" s="1309"/>
      <c r="X91" s="1270"/>
      <c r="Y91" s="1270"/>
      <c r="Z91" s="1270"/>
      <c r="AA91" s="1270"/>
      <c r="AB91" s="1270"/>
      <c r="AC91" s="1270"/>
      <c r="AD91" s="1270"/>
      <c r="AE91" s="1270"/>
      <c r="AF91" s="1270"/>
      <c r="AG91" s="1270"/>
      <c r="AH91" s="1270"/>
      <c r="AI91" s="1270"/>
      <c r="AJ91" s="1270"/>
      <c r="AK91" s="1270"/>
      <c r="AL91" s="1270"/>
      <c r="AM91" s="1270"/>
      <c r="AN91" s="1270"/>
      <c r="AO91" s="1270"/>
      <c r="AP91" s="1270"/>
      <c r="AQ91" s="1270"/>
      <c r="AR91" s="1361">
        <v>0</v>
      </c>
    </row>
    <row s="1861" customFormat="1" customHeight="1" ht="17.25">
      <c r="A92" s="332"/>
      <c r="C92" s="331"/>
      <c r="D92" s="2166"/>
      <c r="E92" s="2174"/>
      <c r="F92" s="2176"/>
      <c r="G92" s="2174"/>
      <c r="H92" s="2179"/>
      <c r="I92" s="2181"/>
      <c r="J92" s="2184"/>
      <c r="K92" s="2168"/>
      <c r="L92" s="1308"/>
      <c r="M92" s="1308"/>
      <c r="N92" s="1308"/>
      <c r="O92" s="1308"/>
      <c r="P92" s="1308"/>
      <c r="Q92" s="1308"/>
      <c r="R92" s="1308"/>
      <c r="S92" s="340"/>
      <c r="T92" s="340"/>
      <c r="U92" s="340"/>
      <c r="V92" s="340"/>
      <c r="W92" s="1309"/>
      <c r="X92" s="1270"/>
      <c r="Y92" s="1270"/>
      <c r="Z92" s="1270"/>
      <c r="AA92" s="1270"/>
      <c r="AB92" s="1270"/>
      <c r="AC92" s="1270"/>
      <c r="AD92" s="1270"/>
      <c r="AE92" s="1270"/>
      <c r="AF92" s="1270"/>
      <c r="AG92" s="1270"/>
      <c r="AH92" s="1270"/>
      <c r="AI92" s="1270"/>
      <c r="AJ92" s="1270"/>
      <c r="AK92" s="1270"/>
      <c r="AL92" s="1270"/>
      <c r="AM92" s="1270"/>
      <c r="AN92" s="1270"/>
      <c r="AO92" s="1270"/>
      <c r="AP92" s="1270"/>
      <c r="AQ92" s="1270"/>
      <c r="AR92" s="1361">
        <v>0</v>
      </c>
    </row>
    <row s="1861" customFormat="1" customHeight="1" ht="17.25">
      <c r="A93" s="332"/>
      <c r="C93" s="331"/>
      <c r="D93" s="2166"/>
      <c r="E93" s="2174"/>
      <c r="F93" s="2177"/>
      <c r="G93" s="2174"/>
      <c r="H93" s="1310"/>
      <c r="I93" s="1311"/>
      <c r="J93" s="1311"/>
      <c r="K93" s="1311"/>
      <c r="L93" s="1311"/>
      <c r="M93" s="1311"/>
      <c r="N93" s="1311"/>
      <c r="O93" s="1311"/>
      <c r="P93" s="1311"/>
      <c r="Q93" s="1311"/>
      <c r="R93" s="1311"/>
      <c r="S93" s="1312"/>
      <c r="T93" s="1312"/>
      <c r="U93" s="1312"/>
      <c r="V93" s="1312"/>
      <c r="W93" s="1313"/>
      <c r="X93" s="1270"/>
      <c r="Y93" s="1270"/>
      <c r="Z93" s="1270"/>
      <c r="AA93" s="1270"/>
      <c r="AB93" s="1270"/>
      <c r="AC93" s="1270"/>
      <c r="AD93" s="1270"/>
      <c r="AE93" s="1270"/>
      <c r="AF93" s="1270"/>
      <c r="AG93" s="1270"/>
      <c r="AH93" s="1270"/>
      <c r="AI93" s="1270"/>
      <c r="AJ93" s="1270"/>
      <c r="AK93" s="1270"/>
      <c r="AL93" s="1270"/>
      <c r="AM93" s="1270"/>
      <c r="AN93" s="1270"/>
      <c r="AO93" s="1270"/>
      <c r="AP93" s="1270"/>
      <c r="AQ93" s="1270"/>
      <c r="AR93" s="1361">
        <v>0</v>
      </c>
    </row>
    <row s="1861" customFormat="1" customHeight="1" ht="17.25">
      <c r="A94" s="332"/>
      <c r="C94" s="220"/>
      <c r="D94" s="2165">
        <v>4</v>
      </c>
      <c r="E94" s="2173" t="s">
        <v>253</v>
      </c>
      <c r="F94" s="2175" t="s">
        <v>19</v>
      </c>
      <c r="G94" s="2173"/>
      <c r="H94" s="2178"/>
      <c r="I94" s="2180"/>
      <c r="J94" s="2182"/>
      <c r="K94" s="2167"/>
      <c r="L94" s="2167"/>
      <c r="M94" s="2167"/>
      <c r="N94" s="2169"/>
      <c r="O94" s="2167"/>
      <c r="P94" s="2167"/>
      <c r="Q94" s="2167"/>
      <c r="R94" s="2172"/>
      <c r="S94" s="2167"/>
      <c r="T94" s="1454"/>
      <c r="U94" s="1454"/>
      <c r="V94" s="1456"/>
      <c r="W94" s="1307"/>
      <c r="X94" s="1278"/>
      <c r="Y94" s="1278"/>
      <c r="Z94" s="1278"/>
      <c r="AA94" s="1278"/>
      <c r="AB94" s="1278"/>
      <c r="AC94" s="1278" t="s">
        <v>254</v>
      </c>
      <c r="AD94" s="1278" t="s">
        <v>255</v>
      </c>
      <c r="AE94" s="1278" t="s">
        <v>256</v>
      </c>
      <c r="AF94" s="1278" t="s">
        <v>257</v>
      </c>
      <c r="AG94" s="1278"/>
      <c r="AH94" s="1278" t="str">
        <f>IF($E$94=0,"",$E$94)</f>
        <v>Тариф на подвоз воды</v>
      </c>
      <c r="AI94" s="1278" t="str">
        <f>IF($G$94=0,"",$G$94)</f>
        <v/>
      </c>
      <c r="AJ94" s="1278" t="str">
        <f>IF($J$94=0,"",$J$94)</f>
        <v/>
      </c>
      <c r="AK94" s="1278" t="str">
        <f>IF($K$94="нет","без дифференциации",IF($N$94=0,"",$N$94))</f>
        <v/>
      </c>
      <c r="AL94" s="1278" t="str">
        <f>IF($O$94="нет","без дифференциации",IF($R$94=0,"",$R$94))</f>
        <v/>
      </c>
      <c r="AM94" s="1278" t="str">
        <f>IF($S$94="нет","без дифференциации",IF($V$94=0,"",$V$94))</f>
        <v/>
      </c>
      <c r="AN94" s="1782">
        <f>$I$94</f>
        <v>0</v>
      </c>
      <c r="AO94" s="1278" t="str">
        <f>$I$94&amp;"."&amp;$M$94</f>
        <v>.</v>
      </c>
      <c r="AP94" s="1270" t="str">
        <f>$I$94&amp;"."&amp;$M$94&amp;"."&amp;$Q$94</f>
        <v>..</v>
      </c>
      <c r="AQ94" s="1270" t="str">
        <f>$I$94&amp;"."&amp;$M$94&amp;"."&amp;$Q$94&amp;"."&amp;$U$94</f>
        <v>...</v>
      </c>
      <c r="AR94" s="1361">
        <v>0</v>
      </c>
    </row>
    <row s="1861" customFormat="1" customHeight="1" ht="17.25">
      <c r="A95" s="332"/>
      <c r="C95" s="331"/>
      <c r="D95" s="2165"/>
      <c r="E95" s="2173"/>
      <c r="F95" s="2176"/>
      <c r="G95" s="2173"/>
      <c r="H95" s="2179"/>
      <c r="I95" s="2181"/>
      <c r="J95" s="2183"/>
      <c r="K95" s="2168"/>
      <c r="L95" s="2168"/>
      <c r="M95" s="2168"/>
      <c r="N95" s="2170"/>
      <c r="O95" s="2168"/>
      <c r="P95" s="2168"/>
      <c r="Q95" s="2168"/>
      <c r="R95" s="2171"/>
      <c r="S95" s="2168"/>
      <c r="T95" s="1308"/>
      <c r="U95" s="1308"/>
      <c r="V95" s="1308"/>
      <c r="W95" s="1309"/>
      <c r="X95" s="1270"/>
      <c r="Y95" s="1270"/>
      <c r="Z95" s="1270"/>
      <c r="AA95" s="1270"/>
      <c r="AB95" s="1270"/>
      <c r="AC95" s="1270"/>
      <c r="AD95" s="1270"/>
      <c r="AE95" s="1270"/>
      <c r="AF95" s="1270"/>
      <c r="AG95" s="1270"/>
      <c r="AH95" s="1270"/>
      <c r="AI95" s="1270"/>
      <c r="AJ95" s="1270"/>
      <c r="AK95" s="1270"/>
      <c r="AL95" s="1270"/>
      <c r="AM95" s="1270"/>
      <c r="AN95" s="1270"/>
      <c r="AO95" s="1270"/>
      <c r="AP95" s="1270"/>
      <c r="AQ95" s="1270"/>
      <c r="AR95" s="1361">
        <v>0</v>
      </c>
    </row>
    <row s="1861" customFormat="1" customHeight="1" ht="17.25">
      <c r="A96" s="332"/>
      <c r="C96" s="331"/>
      <c r="D96" s="2166"/>
      <c r="E96" s="2174"/>
      <c r="F96" s="2176"/>
      <c r="G96" s="2174"/>
      <c r="H96" s="2179"/>
      <c r="I96" s="2181"/>
      <c r="J96" s="2184"/>
      <c r="K96" s="2168"/>
      <c r="L96" s="2168"/>
      <c r="M96" s="2168"/>
      <c r="N96" s="2171"/>
      <c r="O96" s="2168"/>
      <c r="P96" s="1455"/>
      <c r="Q96" s="1308"/>
      <c r="R96" s="1308"/>
      <c r="S96" s="340"/>
      <c r="T96" s="340"/>
      <c r="U96" s="340"/>
      <c r="V96" s="340"/>
      <c r="W96" s="1309"/>
      <c r="X96" s="1270"/>
      <c r="Y96" s="1270"/>
      <c r="Z96" s="1270"/>
      <c r="AA96" s="1270"/>
      <c r="AB96" s="1270"/>
      <c r="AC96" s="1270"/>
      <c r="AD96" s="1270"/>
      <c r="AE96" s="1270"/>
      <c r="AF96" s="1270"/>
      <c r="AG96" s="1270"/>
      <c r="AH96" s="1270"/>
      <c r="AI96" s="1270"/>
      <c r="AJ96" s="1270"/>
      <c r="AK96" s="1270"/>
      <c r="AL96" s="1270"/>
      <c r="AM96" s="1270"/>
      <c r="AN96" s="1270"/>
      <c r="AO96" s="1270"/>
      <c r="AP96" s="1270"/>
      <c r="AQ96" s="1270"/>
      <c r="AR96" s="1361">
        <v>0</v>
      </c>
    </row>
    <row s="1861" customFormat="1" customHeight="1" ht="17.25">
      <c r="A97" s="332"/>
      <c r="C97" s="331"/>
      <c r="D97" s="2166"/>
      <c r="E97" s="2174"/>
      <c r="F97" s="2176"/>
      <c r="G97" s="2174"/>
      <c r="H97" s="2179"/>
      <c r="I97" s="2181"/>
      <c r="J97" s="2184"/>
      <c r="K97" s="2168"/>
      <c r="L97" s="1308"/>
      <c r="M97" s="1308"/>
      <c r="N97" s="1308"/>
      <c r="O97" s="1308"/>
      <c r="P97" s="1308"/>
      <c r="Q97" s="1308"/>
      <c r="R97" s="1308"/>
      <c r="S97" s="340"/>
      <c r="T97" s="340"/>
      <c r="U97" s="340"/>
      <c r="V97" s="340"/>
      <c r="W97" s="1309"/>
      <c r="X97" s="1270"/>
      <c r="Y97" s="1270"/>
      <c r="Z97" s="1270"/>
      <c r="AA97" s="1270"/>
      <c r="AB97" s="1270"/>
      <c r="AC97" s="1270"/>
      <c r="AD97" s="1270"/>
      <c r="AE97" s="1270"/>
      <c r="AF97" s="1270"/>
      <c r="AG97" s="1270"/>
      <c r="AH97" s="1270"/>
      <c r="AI97" s="1270"/>
      <c r="AJ97" s="1270"/>
      <c r="AK97" s="1270"/>
      <c r="AL97" s="1270"/>
      <c r="AM97" s="1270"/>
      <c r="AN97" s="1270"/>
      <c r="AO97" s="1270"/>
      <c r="AP97" s="1270"/>
      <c r="AQ97" s="1270"/>
      <c r="AR97" s="1361">
        <v>0</v>
      </c>
    </row>
    <row s="1861" customFormat="1" customHeight="1" ht="17.25">
      <c r="A98" s="332"/>
      <c r="C98" s="331"/>
      <c r="D98" s="2166"/>
      <c r="E98" s="2174"/>
      <c r="F98" s="2177"/>
      <c r="G98" s="2174"/>
      <c r="H98" s="1310"/>
      <c r="I98" s="1311"/>
      <c r="J98" s="1311"/>
      <c r="K98" s="1311"/>
      <c r="L98" s="1311"/>
      <c r="M98" s="1311"/>
      <c r="N98" s="1311"/>
      <c r="O98" s="1311"/>
      <c r="P98" s="1311"/>
      <c r="Q98" s="1311"/>
      <c r="R98" s="1311"/>
      <c r="S98" s="1312"/>
      <c r="T98" s="1312"/>
      <c r="U98" s="1312"/>
      <c r="V98" s="1312"/>
      <c r="W98" s="1313"/>
      <c r="X98" s="1270"/>
      <c r="Y98" s="1270"/>
      <c r="Z98" s="1270"/>
      <c r="AA98" s="1270"/>
      <c r="AB98" s="1270"/>
      <c r="AC98" s="1270"/>
      <c r="AD98" s="1270"/>
      <c r="AE98" s="1270"/>
      <c r="AF98" s="1270"/>
      <c r="AG98" s="1270"/>
      <c r="AH98" s="1270"/>
      <c r="AI98" s="1270"/>
      <c r="AJ98" s="1270"/>
      <c r="AK98" s="1270"/>
      <c r="AL98" s="1270"/>
      <c r="AM98" s="1270"/>
      <c r="AN98" s="1270"/>
      <c r="AO98" s="1270"/>
      <c r="AP98" s="1270"/>
      <c r="AQ98" s="1270"/>
      <c r="AR98" s="1361">
        <v>0</v>
      </c>
    </row>
    <row s="1861" customFormat="1" customHeight="1" ht="17.25">
      <c r="A99" s="332"/>
      <c r="C99" s="220"/>
      <c r="D99" s="2165">
        <v>5</v>
      </c>
      <c r="E99" s="2173" t="s">
        <v>258</v>
      </c>
      <c r="F99" s="2175" t="s">
        <v>19</v>
      </c>
      <c r="G99" s="2173"/>
      <c r="H99" s="2178"/>
      <c r="I99" s="2180"/>
      <c r="J99" s="2182"/>
      <c r="K99" s="2167"/>
      <c r="L99" s="2167"/>
      <c r="M99" s="2167"/>
      <c r="N99" s="2169"/>
      <c r="O99" s="2167"/>
      <c r="P99" s="2167"/>
      <c r="Q99" s="2167"/>
      <c r="R99" s="2172"/>
      <c r="S99" s="2167"/>
      <c r="T99" s="1951"/>
      <c r="U99" s="1951"/>
      <c r="V99" s="1953"/>
      <c r="W99" s="1307"/>
      <c r="X99" s="1278"/>
      <c r="Y99" s="1278"/>
      <c r="Z99" s="1278"/>
      <c r="AA99" s="1278"/>
      <c r="AB99" s="1278"/>
      <c r="AC99" s="1278" t="s">
        <v>259</v>
      </c>
      <c r="AD99" s="1278" t="s">
        <v>260</v>
      </c>
      <c r="AE99" s="1278" t="s">
        <v>261</v>
      </c>
      <c r="AF99" s="1278" t="s">
        <v>262</v>
      </c>
      <c r="AG99" s="1278"/>
      <c r="AH99" s="1278" t="str">
        <f>IF($E$99=0,"",$E$99)</f>
        <v>Тариф на подключение (технологическое присоединение) к централизованной системе холодного водоснабжения</v>
      </c>
      <c r="AI99" s="1278" t="str">
        <f>IF($G$99=0,"",$G$99)</f>
        <v/>
      </c>
      <c r="AJ99" s="1278" t="str">
        <f>IF($J$99=0,"",$J$99)</f>
        <v/>
      </c>
      <c r="AK99" s="1278" t="str">
        <f>IF($K$99="нет","без дифференциации",IF($N$99=0,"",$N$99))</f>
        <v/>
      </c>
      <c r="AL99" s="1278" t="str">
        <f>IF($O$99="нет","без дифференциации",IF($R$99=0,"",$R$99))</f>
        <v/>
      </c>
      <c r="AM99" s="1278" t="str">
        <f>IF($S$99="нет","без дифференциации",IF($V$99=0,"",$V$99))</f>
        <v/>
      </c>
      <c r="AN99" s="1782">
        <f>$I$99</f>
        <v>0</v>
      </c>
      <c r="AO99" s="1278" t="str">
        <f>$I$99&amp;"."&amp;$M$99</f>
        <v>.</v>
      </c>
      <c r="AP99" s="1277" t="str">
        <f>$I$99&amp;"."&amp;$M$99&amp;"."&amp;$Q$99</f>
        <v>..</v>
      </c>
      <c r="AQ99" s="1277" t="str">
        <f>$I$99&amp;"."&amp;$M$99&amp;"."&amp;$Q$99&amp;"."&amp;$U$99</f>
        <v>...</v>
      </c>
      <c r="AR99" s="1478">
        <v>0</v>
      </c>
    </row>
    <row s="1861" customFormat="1" customHeight="1" ht="17.25">
      <c r="A100" s="332"/>
      <c r="C100" s="331"/>
      <c r="D100" s="2165"/>
      <c r="E100" s="2173"/>
      <c r="F100" s="2176"/>
      <c r="G100" s="2173"/>
      <c r="H100" s="2179"/>
      <c r="I100" s="2181"/>
      <c r="J100" s="2183"/>
      <c r="K100" s="2168"/>
      <c r="L100" s="2168"/>
      <c r="M100" s="2168"/>
      <c r="N100" s="2170"/>
      <c r="O100" s="2168"/>
      <c r="P100" s="2168"/>
      <c r="Q100" s="2168"/>
      <c r="R100" s="2171"/>
      <c r="S100" s="2168"/>
      <c r="T100" s="1956"/>
      <c r="U100" s="1956"/>
      <c r="V100" s="1956"/>
      <c r="W100" s="1957"/>
      <c r="X100" s="1277"/>
      <c r="Y100" s="1277"/>
      <c r="Z100" s="1277"/>
      <c r="AA100" s="1277"/>
      <c r="AB100" s="1277"/>
      <c r="AC100" s="1277"/>
      <c r="AD100" s="1277"/>
      <c r="AE100" s="1277"/>
      <c r="AF100" s="1277"/>
      <c r="AG100" s="1277"/>
      <c r="AH100" s="1277"/>
      <c r="AI100" s="1277"/>
      <c r="AJ100" s="1277"/>
      <c r="AK100" s="1277"/>
      <c r="AL100" s="1277"/>
      <c r="AM100" s="1277"/>
      <c r="AN100" s="1277"/>
      <c r="AO100" s="1277"/>
      <c r="AP100" s="1277"/>
      <c r="AQ100" s="1277"/>
      <c r="AR100" s="1478">
        <v>0</v>
      </c>
    </row>
    <row s="1861" customFormat="1" customHeight="1" ht="17.25">
      <c r="A101" s="332"/>
      <c r="C101" s="331"/>
      <c r="D101" s="2166"/>
      <c r="E101" s="2174"/>
      <c r="F101" s="2176"/>
      <c r="G101" s="2174"/>
      <c r="H101" s="2179"/>
      <c r="I101" s="2181"/>
      <c r="J101" s="2184"/>
      <c r="K101" s="2168"/>
      <c r="L101" s="2168"/>
      <c r="M101" s="2168"/>
      <c r="N101" s="2171"/>
      <c r="O101" s="2168"/>
      <c r="P101" s="1952"/>
      <c r="Q101" s="1956"/>
      <c r="R101" s="1956"/>
      <c r="S101" s="340"/>
      <c r="T101" s="340"/>
      <c r="U101" s="340"/>
      <c r="V101" s="340"/>
      <c r="W101" s="1957"/>
      <c r="X101" s="1277"/>
      <c r="Y101" s="1277"/>
      <c r="Z101" s="1277"/>
      <c r="AA101" s="1277"/>
      <c r="AB101" s="1277"/>
      <c r="AC101" s="1277"/>
      <c r="AD101" s="1277"/>
      <c r="AE101" s="1277"/>
      <c r="AF101" s="1277"/>
      <c r="AG101" s="1277"/>
      <c r="AH101" s="1277"/>
      <c r="AI101" s="1277"/>
      <c r="AJ101" s="1277"/>
      <c r="AK101" s="1277"/>
      <c r="AL101" s="1277"/>
      <c r="AM101" s="1277"/>
      <c r="AN101" s="1277"/>
      <c r="AO101" s="1277"/>
      <c r="AP101" s="1277"/>
      <c r="AQ101" s="1277"/>
      <c r="AR101" s="1478">
        <v>0</v>
      </c>
    </row>
    <row s="1861" customFormat="1" customHeight="1" ht="17.25">
      <c r="A102" s="332"/>
      <c r="C102" s="331"/>
      <c r="D102" s="2166"/>
      <c r="E102" s="2174"/>
      <c r="F102" s="2176"/>
      <c r="G102" s="2174"/>
      <c r="H102" s="2179"/>
      <c r="I102" s="2181"/>
      <c r="J102" s="2184"/>
      <c r="K102" s="2168"/>
      <c r="L102" s="1956"/>
      <c r="M102" s="1956"/>
      <c r="N102" s="1956"/>
      <c r="O102" s="1956"/>
      <c r="P102" s="1956"/>
      <c r="Q102" s="1956"/>
      <c r="R102" s="1956"/>
      <c r="S102" s="340"/>
      <c r="T102" s="340"/>
      <c r="U102" s="340"/>
      <c r="V102" s="340"/>
      <c r="W102" s="1957"/>
      <c r="X102" s="1277"/>
      <c r="Y102" s="1277"/>
      <c r="Z102" s="1277"/>
      <c r="AA102" s="1277"/>
      <c r="AB102" s="1277"/>
      <c r="AC102" s="1277"/>
      <c r="AD102" s="1277"/>
      <c r="AE102" s="1277"/>
      <c r="AF102" s="1277"/>
      <c r="AG102" s="1277"/>
      <c r="AH102" s="1277"/>
      <c r="AI102" s="1277"/>
      <c r="AJ102" s="1277"/>
      <c r="AK102" s="1277"/>
      <c r="AL102" s="1277"/>
      <c r="AM102" s="1277"/>
      <c r="AN102" s="1277"/>
      <c r="AO102" s="1277"/>
      <c r="AP102" s="1277"/>
      <c r="AQ102" s="1277"/>
      <c r="AR102" s="1478">
        <v>0</v>
      </c>
    </row>
    <row s="1861" customFormat="1" customHeight="1" ht="17.25">
      <c r="A103" s="332"/>
      <c r="C103" s="331"/>
      <c r="D103" s="2166"/>
      <c r="E103" s="2174"/>
      <c r="F103" s="2177"/>
      <c r="G103" s="2174"/>
      <c r="H103" s="1310"/>
      <c r="I103" s="1954"/>
      <c r="J103" s="1954"/>
      <c r="K103" s="1954"/>
      <c r="L103" s="1954"/>
      <c r="M103" s="1954"/>
      <c r="N103" s="1954"/>
      <c r="O103" s="1954"/>
      <c r="P103" s="1954"/>
      <c r="Q103" s="1954"/>
      <c r="R103" s="1954"/>
      <c r="S103" s="1312"/>
      <c r="T103" s="1312"/>
      <c r="U103" s="1312"/>
      <c r="V103" s="1312"/>
      <c r="W103" s="1955"/>
      <c r="X103" s="1277"/>
      <c r="Y103" s="1277"/>
      <c r="Z103" s="1277"/>
      <c r="AA103" s="1277"/>
      <c r="AB103" s="1277"/>
      <c r="AC103" s="1277"/>
      <c r="AD103" s="1277"/>
      <c r="AE103" s="1277"/>
      <c r="AF103" s="1277"/>
      <c r="AG103" s="1277"/>
      <c r="AH103" s="1277"/>
      <c r="AI103" s="1277"/>
      <c r="AJ103" s="1277"/>
      <c r="AK103" s="1277"/>
      <c r="AL103" s="1277"/>
      <c r="AM103" s="1277"/>
      <c r="AN103" s="1277"/>
      <c r="AO103" s="1277"/>
      <c r="AP103" s="1277"/>
      <c r="AQ103" s="1277"/>
      <c r="AR103" s="1478">
        <v>0</v>
      </c>
    </row>
    <row s="1861" customFormat="1" customHeight="1" ht="11.25">
      <c r="A104" s="288"/>
      <c r="B104" s="288"/>
      <c r="Y104" s="1270"/>
      <c r="Z104" s="1270"/>
      <c r="AA104" s="1270"/>
      <c r="AB104" s="1270"/>
      <c r="AC104" s="1270"/>
      <c r="AD104" s="1270"/>
      <c r="AE104" s="1270"/>
      <c r="AF104" s="1270"/>
      <c r="AG104" s="1270"/>
      <c r="AH104" s="1270"/>
      <c r="AI104" s="1270"/>
      <c r="AJ104" s="1270"/>
      <c r="AK104" s="1270"/>
      <c r="AL104" s="1270"/>
      <c r="AM104" s="1270"/>
      <c r="AN104" s="1270"/>
      <c r="AO104" s="1270"/>
      <c r="AP104" s="1270"/>
      <c r="AQ104" s="1270"/>
      <c r="AR104" s="1478">
        <v>0</v>
      </c>
    </row>
    <row s="1861" customFormat="1" customHeight="1" ht="17.25">
      <c r="A105" s="332"/>
      <c r="C105" s="220"/>
      <c r="D105" s="2165">
        <v>1</v>
      </c>
      <c r="E105" s="2173" t="s">
        <v>263</v>
      </c>
      <c r="F105" s="2175" t="s">
        <v>19</v>
      </c>
      <c r="G105" s="2173"/>
      <c r="H105" s="2178"/>
      <c r="I105" s="2180"/>
      <c r="J105" s="2182"/>
      <c r="K105" s="2167"/>
      <c r="L105" s="2167"/>
      <c r="M105" s="2167"/>
      <c r="N105" s="2169"/>
      <c r="O105" s="2167"/>
      <c r="P105" s="2167"/>
      <c r="Q105" s="2167"/>
      <c r="R105" s="2172"/>
      <c r="S105" s="2167"/>
      <c r="T105" s="1481"/>
      <c r="U105" s="1481"/>
      <c r="V105" s="1483"/>
      <c r="W105" s="1307"/>
      <c r="Y105" s="1278"/>
      <c r="Z105" s="1278"/>
      <c r="AA105" s="1278"/>
      <c r="AB105" s="1278"/>
      <c r="AC105" s="1278" t="s">
        <v>264</v>
      </c>
      <c r="AD105" s="1278" t="s">
        <v>265</v>
      </c>
      <c r="AE105" s="1278" t="s">
        <v>266</v>
      </c>
      <c r="AF105" s="1278" t="s">
        <v>267</v>
      </c>
      <c r="AG105" s="1278"/>
      <c r="AH105" s="1278" t="str">
        <f>IF($E$105=0,"",$E$105)</f>
        <v>Тариф на горячую воду (горячее водоснабжение)</v>
      </c>
      <c r="AI105" s="1278" t="str">
        <f>IF($G$105=0,"",$G$105)</f>
        <v/>
      </c>
      <c r="AJ105" s="1278" t="str">
        <f>IF($J$105=0,"",$J$105)</f>
        <v/>
      </c>
      <c r="AK105" s="1278" t="str">
        <f>IF($K$105="нет","без дифференциации",IF($N$105=0,"",$N$105))</f>
        <v/>
      </c>
      <c r="AL105" s="1278" t="str">
        <f>IF($O$105="нет","без дифференциации",IF($R$105=0,"",$R$105))</f>
        <v/>
      </c>
      <c r="AM105" s="1278" t="str">
        <f>IF($S$105="нет","без дифференциации",IF($V$105=0,"",$V$105))</f>
        <v/>
      </c>
      <c r="AN105" s="1278">
        <f>$I$105</f>
        <v>0</v>
      </c>
      <c r="AO105" s="1278" t="str">
        <f>$I$105&amp;"."&amp;$M$105</f>
        <v>.</v>
      </c>
      <c r="AP105" s="1278" t="str">
        <f>$I$105&amp;"."&amp;$M$105&amp;"."&amp;$Q$105</f>
        <v>..</v>
      </c>
      <c r="AQ105" s="1278" t="str">
        <f>$I$105&amp;"."&amp;$M$105&amp;"."&amp;$Q$105&amp;"."&amp;$U$105</f>
        <v>...</v>
      </c>
      <c r="AR105" s="1478">
        <v>0</v>
      </c>
    </row>
    <row s="1861" customFormat="1" customHeight="1" ht="17.25">
      <c r="A106" s="332"/>
      <c r="C106" s="331"/>
      <c r="D106" s="2165"/>
      <c r="E106" s="2173"/>
      <c r="F106" s="2176"/>
      <c r="G106" s="2173"/>
      <c r="H106" s="2179"/>
      <c r="I106" s="2181"/>
      <c r="J106" s="2183"/>
      <c r="K106" s="2168"/>
      <c r="L106" s="2168"/>
      <c r="M106" s="2168"/>
      <c r="N106" s="2170"/>
      <c r="O106" s="2168"/>
      <c r="P106" s="2168"/>
      <c r="Q106" s="2168"/>
      <c r="R106" s="2171"/>
      <c r="S106" s="2168"/>
      <c r="T106" s="1308"/>
      <c r="U106" s="1308"/>
      <c r="V106" s="1308"/>
      <c r="W106" s="1309"/>
      <c r="Y106" s="1270"/>
      <c r="Z106" s="1270"/>
      <c r="AA106" s="1270"/>
      <c r="AB106" s="1270"/>
      <c r="AC106" s="1270"/>
      <c r="AD106" s="1270"/>
      <c r="AE106" s="1270"/>
      <c r="AF106" s="1270"/>
      <c r="AG106" s="1270"/>
      <c r="AH106" s="1270"/>
      <c r="AI106" s="1270"/>
      <c r="AJ106" s="1270"/>
      <c r="AK106" s="1270"/>
      <c r="AL106" s="1270"/>
      <c r="AM106" s="1270"/>
      <c r="AN106" s="1270"/>
      <c r="AO106" s="1270"/>
      <c r="AP106" s="1270"/>
      <c r="AQ106" s="1270"/>
      <c r="AR106" s="1478">
        <v>0</v>
      </c>
    </row>
    <row s="1861" customFormat="1" customHeight="1" ht="17.25">
      <c r="A107" s="332"/>
      <c r="C107" s="220"/>
      <c r="D107" s="2165"/>
      <c r="E107" s="2173"/>
      <c r="F107" s="2176"/>
      <c r="G107" s="2173"/>
      <c r="H107" s="2179"/>
      <c r="I107" s="2181"/>
      <c r="J107" s="2184"/>
      <c r="K107" s="2168"/>
      <c r="L107" s="2168"/>
      <c r="M107" s="2168"/>
      <c r="N107" s="2171"/>
      <c r="O107" s="2168"/>
      <c r="P107" s="1482"/>
      <c r="Q107" s="1308"/>
      <c r="R107" s="1308"/>
      <c r="S107" s="340"/>
      <c r="T107" s="340"/>
      <c r="U107" s="340"/>
      <c r="V107" s="340"/>
      <c r="W107" s="1309"/>
      <c r="Y107" s="1278"/>
      <c r="Z107" s="1278"/>
      <c r="AA107" s="1278"/>
      <c r="AB107" s="1278"/>
      <c r="AC107" s="1278"/>
      <c r="AD107" s="1278"/>
      <c r="AE107" s="1278"/>
      <c r="AF107" s="1278"/>
      <c r="AG107" s="1278"/>
      <c r="AH107" s="1278"/>
      <c r="AI107" s="1278"/>
      <c r="AJ107" s="1278"/>
      <c r="AK107" s="1278"/>
      <c r="AL107" s="1278"/>
      <c r="AM107" s="1278"/>
      <c r="AN107" s="1278"/>
      <c r="AO107" s="1278"/>
      <c r="AP107" s="1278"/>
      <c r="AQ107" s="1278"/>
      <c r="AR107" s="1478">
        <v>0</v>
      </c>
    </row>
    <row s="1861" customFormat="1" customHeight="1" ht="17.25">
      <c r="A108" s="332"/>
      <c r="C108" s="331"/>
      <c r="D108" s="2165"/>
      <c r="E108" s="2173"/>
      <c r="F108" s="2176"/>
      <c r="G108" s="2173"/>
      <c r="H108" s="2179"/>
      <c r="I108" s="2181"/>
      <c r="J108" s="2184"/>
      <c r="K108" s="2168"/>
      <c r="L108" s="1308"/>
      <c r="M108" s="1308"/>
      <c r="N108" s="1308"/>
      <c r="O108" s="1308"/>
      <c r="P108" s="1308"/>
      <c r="Q108" s="1308"/>
      <c r="R108" s="1308"/>
      <c r="S108" s="340"/>
      <c r="T108" s="340"/>
      <c r="U108" s="340"/>
      <c r="V108" s="340"/>
      <c r="W108" s="1309"/>
      <c r="Y108" s="1270"/>
      <c r="Z108" s="1270"/>
      <c r="AA108" s="1270"/>
      <c r="AB108" s="1270"/>
      <c r="AC108" s="1270"/>
      <c r="AD108" s="1270"/>
      <c r="AE108" s="1270"/>
      <c r="AF108" s="1270"/>
      <c r="AG108" s="1270"/>
      <c r="AH108" s="1270"/>
      <c r="AI108" s="1270"/>
      <c r="AJ108" s="1270"/>
      <c r="AK108" s="1270"/>
      <c r="AL108" s="1270"/>
      <c r="AM108" s="1270"/>
      <c r="AN108" s="1270"/>
      <c r="AO108" s="1270"/>
      <c r="AP108" s="1270"/>
      <c r="AQ108" s="1270"/>
      <c r="AR108" s="1478">
        <v>0</v>
      </c>
    </row>
    <row s="1861" customFormat="1" customHeight="1" ht="17.25">
      <c r="A109" s="332"/>
      <c r="C109" s="331"/>
      <c r="D109" s="2166"/>
      <c r="E109" s="2174"/>
      <c r="F109" s="2177"/>
      <c r="G109" s="2174"/>
      <c r="H109" s="1310"/>
      <c r="I109" s="1311"/>
      <c r="J109" s="1311"/>
      <c r="K109" s="1311"/>
      <c r="L109" s="1311"/>
      <c r="M109" s="1311"/>
      <c r="N109" s="1311"/>
      <c r="O109" s="1311"/>
      <c r="P109" s="1311"/>
      <c r="Q109" s="1311"/>
      <c r="R109" s="1311"/>
      <c r="S109" s="1312"/>
      <c r="T109" s="1312"/>
      <c r="U109" s="1312"/>
      <c r="V109" s="1312"/>
      <c r="W109" s="1313"/>
      <c r="Y109" s="1270"/>
      <c r="Z109" s="1270"/>
      <c r="AA109" s="1270"/>
      <c r="AB109" s="1270"/>
      <c r="AC109" s="1270"/>
      <c r="AD109" s="1270"/>
      <c r="AE109" s="1270"/>
      <c r="AF109" s="1270"/>
      <c r="AG109" s="1270"/>
      <c r="AH109" s="1270"/>
      <c r="AI109" s="1270"/>
      <c r="AJ109" s="1270"/>
      <c r="AK109" s="1270"/>
      <c r="AL109" s="1270"/>
      <c r="AM109" s="1270"/>
      <c r="AN109" s="1270"/>
      <c r="AO109" s="1270"/>
      <c r="AP109" s="1270"/>
      <c r="AQ109" s="1270"/>
      <c r="AR109" s="1478">
        <v>0</v>
      </c>
    </row>
    <row s="1861" customFormat="1" customHeight="1" ht="17.25">
      <c r="A110" s="332"/>
      <c r="C110" s="220"/>
      <c r="D110" s="2165">
        <v>2</v>
      </c>
      <c r="E110" s="2173" t="s">
        <v>268</v>
      </c>
      <c r="F110" s="2175" t="s">
        <v>19</v>
      </c>
      <c r="G110" s="2173"/>
      <c r="H110" s="2178"/>
      <c r="I110" s="2180"/>
      <c r="J110" s="2182"/>
      <c r="K110" s="2167"/>
      <c r="L110" s="2167"/>
      <c r="M110" s="2167"/>
      <c r="N110" s="2169"/>
      <c r="O110" s="2167"/>
      <c r="P110" s="2167"/>
      <c r="Q110" s="2167"/>
      <c r="R110" s="2172"/>
      <c r="S110" s="2167"/>
      <c r="T110" s="1481"/>
      <c r="U110" s="1481"/>
      <c r="V110" s="1483"/>
      <c r="W110" s="1307"/>
      <c r="X110" s="1278"/>
      <c r="Y110" s="1278"/>
      <c r="Z110" s="1278"/>
      <c r="AA110" s="1278"/>
      <c r="AB110" s="1278"/>
      <c r="AC110" s="1278" t="s">
        <v>269</v>
      </c>
      <c r="AD110" s="1278" t="s">
        <v>270</v>
      </c>
      <c r="AE110" s="1278" t="s">
        <v>271</v>
      </c>
      <c r="AF110" s="1278" t="s">
        <v>272</v>
      </c>
      <c r="AG110" s="1278"/>
      <c r="AH110" s="1278" t="str">
        <f>IF($E$110=0,"",$E$110)</f>
        <v>Тариф на транспортировку горячей воды</v>
      </c>
      <c r="AI110" s="1278" t="str">
        <f>IF($G$110=0,"",$G$110)</f>
        <v/>
      </c>
      <c r="AJ110" s="1278" t="str">
        <f>IF($J$110=0,"",$J$110)</f>
        <v/>
      </c>
      <c r="AK110" s="1278" t="str">
        <f>IF($K$110="нет","без дифференциации",IF($N$110=0,"",$N$110))</f>
        <v/>
      </c>
      <c r="AL110" s="1278" t="str">
        <f>IF($O$110="нет","без дифференциации",IF($R$110=0,"",$R$110))</f>
        <v/>
      </c>
      <c r="AM110" s="1278" t="str">
        <f>IF($S$110="нет","без дифференциации",IF($V$110=0,"",$V$110))</f>
        <v/>
      </c>
      <c r="AN110" s="1782">
        <f>$I$110</f>
        <v>0</v>
      </c>
      <c r="AO110" s="1278" t="str">
        <f>$I$110&amp;"."&amp;$M$110</f>
        <v>.</v>
      </c>
      <c r="AP110" s="1270" t="str">
        <f>$I$110&amp;"."&amp;$M$110&amp;"."&amp;$Q$110</f>
        <v>..</v>
      </c>
      <c r="AQ110" s="1270" t="str">
        <f>$I$110&amp;"."&amp;$M$110&amp;"."&amp;$Q$110&amp;"."&amp;$U$110</f>
        <v>...</v>
      </c>
      <c r="AR110" s="1478">
        <v>0</v>
      </c>
    </row>
    <row s="1861" customFormat="1" customHeight="1" ht="17.25">
      <c r="A111" s="332"/>
      <c r="C111" s="331"/>
      <c r="D111" s="2165"/>
      <c r="E111" s="2173"/>
      <c r="F111" s="2176"/>
      <c r="G111" s="2173"/>
      <c r="H111" s="2179"/>
      <c r="I111" s="2181"/>
      <c r="J111" s="2183"/>
      <c r="K111" s="2168"/>
      <c r="L111" s="2168"/>
      <c r="M111" s="2168"/>
      <c r="N111" s="2170"/>
      <c r="O111" s="2168"/>
      <c r="P111" s="2168"/>
      <c r="Q111" s="2168"/>
      <c r="R111" s="2171"/>
      <c r="S111" s="2168"/>
      <c r="T111" s="1308"/>
      <c r="U111" s="1308"/>
      <c r="V111" s="1308"/>
      <c r="W111" s="1309"/>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478">
        <v>0</v>
      </c>
    </row>
    <row s="1861" customFormat="1" customHeight="1" ht="17.25">
      <c r="A112" s="332"/>
      <c r="C112" s="331"/>
      <c r="D112" s="2166"/>
      <c r="E112" s="2174"/>
      <c r="F112" s="2176"/>
      <c r="G112" s="2174"/>
      <c r="H112" s="2179"/>
      <c r="I112" s="2181"/>
      <c r="J112" s="2184"/>
      <c r="K112" s="2168"/>
      <c r="L112" s="2168"/>
      <c r="M112" s="2168"/>
      <c r="N112" s="2171"/>
      <c r="O112" s="2168"/>
      <c r="P112" s="1482"/>
      <c r="Q112" s="1308"/>
      <c r="R112" s="1308"/>
      <c r="S112" s="340"/>
      <c r="T112" s="340"/>
      <c r="U112" s="340"/>
      <c r="V112" s="340"/>
      <c r="W112" s="1309"/>
      <c r="X112" s="1270"/>
      <c r="Y112" s="1270"/>
      <c r="Z112" s="1270"/>
      <c r="AA112" s="1270"/>
      <c r="AB112" s="1270"/>
      <c r="AC112" s="1270"/>
      <c r="AD112" s="1270"/>
      <c r="AE112" s="1270"/>
      <c r="AF112" s="1270"/>
      <c r="AG112" s="1270"/>
      <c r="AH112" s="1270"/>
      <c r="AI112" s="1270"/>
      <c r="AJ112" s="1270"/>
      <c r="AK112" s="1270"/>
      <c r="AL112" s="1270"/>
      <c r="AM112" s="1270"/>
      <c r="AN112" s="1270"/>
      <c r="AO112" s="1270"/>
      <c r="AP112" s="1270"/>
      <c r="AQ112" s="1270"/>
      <c r="AR112" s="1478">
        <v>0</v>
      </c>
    </row>
    <row s="1861" customFormat="1" customHeight="1" ht="17.25">
      <c r="A113" s="332"/>
      <c r="C113" s="331"/>
      <c r="D113" s="2166"/>
      <c r="E113" s="2174"/>
      <c r="F113" s="2176"/>
      <c r="G113" s="2174"/>
      <c r="H113" s="2179"/>
      <c r="I113" s="2181"/>
      <c r="J113" s="2184"/>
      <c r="K113" s="2168"/>
      <c r="L113" s="1308"/>
      <c r="M113" s="1308"/>
      <c r="N113" s="1308"/>
      <c r="O113" s="1308"/>
      <c r="P113" s="1308"/>
      <c r="Q113" s="1308"/>
      <c r="R113" s="1308"/>
      <c r="S113" s="340"/>
      <c r="T113" s="340"/>
      <c r="U113" s="340"/>
      <c r="V113" s="340"/>
      <c r="W113" s="1309"/>
      <c r="X113" s="1270"/>
      <c r="Y113" s="1270"/>
      <c r="Z113" s="1270"/>
      <c r="AA113" s="1270"/>
      <c r="AB113" s="1270"/>
      <c r="AC113" s="1270"/>
      <c r="AD113" s="1270"/>
      <c r="AE113" s="1270"/>
      <c r="AF113" s="1270"/>
      <c r="AG113" s="1270"/>
      <c r="AH113" s="1270"/>
      <c r="AI113" s="1270"/>
      <c r="AJ113" s="1270"/>
      <c r="AK113" s="1270"/>
      <c r="AL113" s="1270"/>
      <c r="AM113" s="1270"/>
      <c r="AN113" s="1270"/>
      <c r="AO113" s="1270"/>
      <c r="AP113" s="1270"/>
      <c r="AQ113" s="1270"/>
      <c r="AR113" s="1478">
        <v>0</v>
      </c>
    </row>
    <row s="1861" customFormat="1" customHeight="1" ht="17.25">
      <c r="A114" s="332"/>
      <c r="C114" s="331"/>
      <c r="D114" s="2166"/>
      <c r="E114" s="2174"/>
      <c r="F114" s="2177"/>
      <c r="G114" s="2174"/>
      <c r="H114" s="1310"/>
      <c r="I114" s="1311"/>
      <c r="J114" s="1311"/>
      <c r="K114" s="1311"/>
      <c r="L114" s="1311"/>
      <c r="M114" s="1311"/>
      <c r="N114" s="1311"/>
      <c r="O114" s="1311"/>
      <c r="P114" s="1311"/>
      <c r="Q114" s="1311"/>
      <c r="R114" s="1311"/>
      <c r="S114" s="1312"/>
      <c r="T114" s="1312"/>
      <c r="U114" s="1312"/>
      <c r="V114" s="1312"/>
      <c r="W114" s="1313"/>
      <c r="X114" s="1270"/>
      <c r="Y114" s="1270"/>
      <c r="Z114" s="1270"/>
      <c r="AA114" s="1270"/>
      <c r="AB114" s="1270"/>
      <c r="AC114" s="1270"/>
      <c r="AD114" s="1270"/>
      <c r="AE114" s="1270"/>
      <c r="AF114" s="1270"/>
      <c r="AG114" s="1270"/>
      <c r="AH114" s="1270"/>
      <c r="AI114" s="1270"/>
      <c r="AJ114" s="1270"/>
      <c r="AK114" s="1270"/>
      <c r="AL114" s="1270"/>
      <c r="AM114" s="1270"/>
      <c r="AN114" s="1270"/>
      <c r="AO114" s="1270"/>
      <c r="AP114" s="1270"/>
      <c r="AQ114" s="1270"/>
      <c r="AR114" s="1478">
        <v>0</v>
      </c>
    </row>
    <row s="1861" customFormat="1" customHeight="1" ht="17.25">
      <c r="A115" s="332"/>
      <c r="C115" s="220"/>
      <c r="D115" s="2165">
        <v>3</v>
      </c>
      <c r="E115" s="2173" t="s">
        <v>273</v>
      </c>
      <c r="F115" s="2175" t="s">
        <v>19</v>
      </c>
      <c r="G115" s="2173"/>
      <c r="H115" s="2178"/>
      <c r="I115" s="2180"/>
      <c r="J115" s="2182"/>
      <c r="K115" s="2167"/>
      <c r="L115" s="2167"/>
      <c r="M115" s="2167"/>
      <c r="N115" s="2169"/>
      <c r="O115" s="2167"/>
      <c r="P115" s="2167"/>
      <c r="Q115" s="2167"/>
      <c r="R115" s="2172"/>
      <c r="S115" s="2167"/>
      <c r="T115" s="1951"/>
      <c r="U115" s="1951"/>
      <c r="V115" s="1953"/>
      <c r="W115" s="1307"/>
      <c r="X115" s="1278"/>
      <c r="Y115" s="1278"/>
      <c r="Z115" s="1278"/>
      <c r="AA115" s="1278"/>
      <c r="AB115" s="1278"/>
      <c r="AC115" s="1278" t="s">
        <v>274</v>
      </c>
      <c r="AD115" s="1278" t="s">
        <v>275</v>
      </c>
      <c r="AE115" s="1278" t="s">
        <v>276</v>
      </c>
      <c r="AF115" s="1278" t="s">
        <v>277</v>
      </c>
      <c r="AG115" s="1278"/>
      <c r="AH115" s="1278" t="str">
        <f>IF($E$115=0,"",$E$115)</f>
        <v>Тариф на подключение (технологическое присоединение) к централизованной системе горячего водоснабжения</v>
      </c>
      <c r="AI115" s="1278" t="str">
        <f>IF($G$115=0,"",$G$115)</f>
        <v/>
      </c>
      <c r="AJ115" s="1278" t="str">
        <f>IF($J$115=0,"",$J$115)</f>
        <v/>
      </c>
      <c r="AK115" s="1278" t="str">
        <f>IF($K$115="нет","без дифференциации",IF($N$115=0,"",$N$115))</f>
        <v/>
      </c>
      <c r="AL115" s="1278" t="str">
        <f>IF($O$115="нет","без дифференциации",IF($R$115=0,"",$R$115))</f>
        <v/>
      </c>
      <c r="AM115" s="1278" t="str">
        <f>IF($S$115="нет","без дифференциации",IF($V$115=0,"",$V$115))</f>
        <v/>
      </c>
      <c r="AN115" s="1782">
        <f>$I$115</f>
        <v>0</v>
      </c>
      <c r="AO115" s="1278" t="str">
        <f>$I$115&amp;"."&amp;$M$115</f>
        <v>.</v>
      </c>
      <c r="AP115" s="1277" t="str">
        <f>$I$115&amp;"."&amp;$M$115&amp;"."&amp;$Q$115</f>
        <v>..</v>
      </c>
      <c r="AQ115" s="1277" t="str">
        <f>$I$115&amp;"."&amp;$M$115&amp;"."&amp;$Q$115&amp;"."&amp;$U$115</f>
        <v>...</v>
      </c>
      <c r="AR115" s="1478">
        <v>0</v>
      </c>
    </row>
    <row s="1861" customFormat="1" customHeight="1" ht="17.25">
      <c r="A116" s="332"/>
      <c r="C116" s="331"/>
      <c r="D116" s="2165"/>
      <c r="E116" s="2173"/>
      <c r="F116" s="2176"/>
      <c r="G116" s="2173"/>
      <c r="H116" s="2179"/>
      <c r="I116" s="2181"/>
      <c r="J116" s="2183"/>
      <c r="K116" s="2168"/>
      <c r="L116" s="2168"/>
      <c r="M116" s="2168"/>
      <c r="N116" s="2170"/>
      <c r="O116" s="2168"/>
      <c r="P116" s="2168"/>
      <c r="Q116" s="2168"/>
      <c r="R116" s="2171"/>
      <c r="S116" s="2168"/>
      <c r="T116" s="1956"/>
      <c r="U116" s="1956"/>
      <c r="V116" s="1956"/>
      <c r="W116" s="1957"/>
      <c r="X116" s="1277"/>
      <c r="Y116" s="1277"/>
      <c r="Z116" s="1277"/>
      <c r="AA116" s="1277"/>
      <c r="AB116" s="1277"/>
      <c r="AC116" s="1277"/>
      <c r="AD116" s="1277"/>
      <c r="AE116" s="1277"/>
      <c r="AF116" s="1277"/>
      <c r="AG116" s="1277"/>
      <c r="AH116" s="1277"/>
      <c r="AI116" s="1277"/>
      <c r="AJ116" s="1277"/>
      <c r="AK116" s="1277"/>
      <c r="AL116" s="1277"/>
      <c r="AM116" s="1277"/>
      <c r="AN116" s="1277"/>
      <c r="AO116" s="1277"/>
      <c r="AP116" s="1277"/>
      <c r="AQ116" s="1277"/>
      <c r="AR116" s="1478">
        <v>0</v>
      </c>
    </row>
    <row s="1861" customFormat="1" customHeight="1" ht="17.25">
      <c r="A117" s="332"/>
      <c r="C117" s="331"/>
      <c r="D117" s="2166"/>
      <c r="E117" s="2174"/>
      <c r="F117" s="2176"/>
      <c r="G117" s="2174"/>
      <c r="H117" s="2179"/>
      <c r="I117" s="2181"/>
      <c r="J117" s="2184"/>
      <c r="K117" s="2168"/>
      <c r="L117" s="2168"/>
      <c r="M117" s="2168"/>
      <c r="N117" s="2171"/>
      <c r="O117" s="2168"/>
      <c r="P117" s="1952"/>
      <c r="Q117" s="1956"/>
      <c r="R117" s="1956"/>
      <c r="S117" s="340"/>
      <c r="T117" s="340"/>
      <c r="U117" s="340"/>
      <c r="V117" s="340"/>
      <c r="W117" s="1957"/>
      <c r="X117" s="1277"/>
      <c r="Y117" s="1277"/>
      <c r="Z117" s="1277"/>
      <c r="AA117" s="1277"/>
      <c r="AB117" s="1277"/>
      <c r="AC117" s="1277"/>
      <c r="AD117" s="1277"/>
      <c r="AE117" s="1277"/>
      <c r="AF117" s="1277"/>
      <c r="AG117" s="1277"/>
      <c r="AH117" s="1277"/>
      <c r="AI117" s="1277"/>
      <c r="AJ117" s="1277"/>
      <c r="AK117" s="1277"/>
      <c r="AL117" s="1277"/>
      <c r="AM117" s="1277"/>
      <c r="AN117" s="1277"/>
      <c r="AO117" s="1277"/>
      <c r="AP117" s="1277"/>
      <c r="AQ117" s="1277"/>
      <c r="AR117" s="1478">
        <v>0</v>
      </c>
    </row>
    <row s="1861" customFormat="1" customHeight="1" ht="17.25">
      <c r="A118" s="332"/>
      <c r="C118" s="331"/>
      <c r="D118" s="2166"/>
      <c r="E118" s="2174"/>
      <c r="F118" s="2176"/>
      <c r="G118" s="2174"/>
      <c r="H118" s="2179"/>
      <c r="I118" s="2181"/>
      <c r="J118" s="2184"/>
      <c r="K118" s="2168"/>
      <c r="L118" s="1956"/>
      <c r="M118" s="1956"/>
      <c r="N118" s="1956"/>
      <c r="O118" s="1956"/>
      <c r="P118" s="1956"/>
      <c r="Q118" s="1956"/>
      <c r="R118" s="1956"/>
      <c r="S118" s="340"/>
      <c r="T118" s="340"/>
      <c r="U118" s="340"/>
      <c r="V118" s="340"/>
      <c r="W118" s="1957"/>
      <c r="X118" s="1277"/>
      <c r="Y118" s="1277"/>
      <c r="Z118" s="1277"/>
      <c r="AA118" s="1277"/>
      <c r="AB118" s="1277"/>
      <c r="AC118" s="1277"/>
      <c r="AD118" s="1277"/>
      <c r="AE118" s="1277"/>
      <c r="AF118" s="1277"/>
      <c r="AG118" s="1277"/>
      <c r="AH118" s="1277"/>
      <c r="AI118" s="1277"/>
      <c r="AJ118" s="1277"/>
      <c r="AK118" s="1277"/>
      <c r="AL118" s="1277"/>
      <c r="AM118" s="1277"/>
      <c r="AN118" s="1277"/>
      <c r="AO118" s="1277"/>
      <c r="AP118" s="1277"/>
      <c r="AQ118" s="1277"/>
      <c r="AR118" s="1478">
        <v>0</v>
      </c>
    </row>
    <row s="1861" customFormat="1" customHeight="1" ht="17.25">
      <c r="A119" s="332"/>
      <c r="C119" s="331"/>
      <c r="D119" s="2166"/>
      <c r="E119" s="2174"/>
      <c r="F119" s="2177"/>
      <c r="G119" s="2174"/>
      <c r="H119" s="1310"/>
      <c r="I119" s="1954"/>
      <c r="J119" s="1954"/>
      <c r="K119" s="1954"/>
      <c r="L119" s="1954"/>
      <c r="M119" s="1954"/>
      <c r="N119" s="1954"/>
      <c r="O119" s="1954"/>
      <c r="P119" s="1954"/>
      <c r="Q119" s="1954"/>
      <c r="R119" s="1954"/>
      <c r="S119" s="1312"/>
      <c r="T119" s="1312"/>
      <c r="U119" s="1312"/>
      <c r="V119" s="1312"/>
      <c r="W119" s="1955"/>
      <c r="X119" s="1277"/>
      <c r="Y119" s="1277"/>
      <c r="Z119" s="1277"/>
      <c r="AA119" s="1277"/>
      <c r="AB119" s="1277"/>
      <c r="AC119" s="1277"/>
      <c r="AD119" s="1277"/>
      <c r="AE119" s="1277"/>
      <c r="AF119" s="1277"/>
      <c r="AG119" s="1277"/>
      <c r="AH119" s="1277"/>
      <c r="AI119" s="1277"/>
      <c r="AJ119" s="1277"/>
      <c r="AK119" s="1277"/>
      <c r="AL119" s="1277"/>
      <c r="AM119" s="1277"/>
      <c r="AN119" s="1277"/>
      <c r="AO119" s="1277"/>
      <c r="AP119" s="1277"/>
      <c r="AQ119" s="1277"/>
      <c r="AR119" s="1478">
        <v>0</v>
      </c>
    </row>
    <row s="1861" customFormat="1" customHeight="1" ht="11.25">
      <c r="A120" s="288"/>
      <c r="B120" s="288"/>
      <c r="Y120" s="1270"/>
      <c r="Z120" s="1270"/>
      <c r="AA120" s="1270"/>
      <c r="AB120" s="1270"/>
      <c r="AC120" s="1270"/>
      <c r="AD120" s="1270"/>
      <c r="AE120" s="1270"/>
      <c r="AF120" s="1270"/>
      <c r="AG120" s="1270"/>
      <c r="AH120" s="1270"/>
      <c r="AI120" s="1270"/>
      <c r="AJ120" s="1270"/>
      <c r="AK120" s="1270"/>
      <c r="AL120" s="1270"/>
      <c r="AM120" s="1270"/>
      <c r="AN120" s="1270"/>
      <c r="AO120" s="1270"/>
      <c r="AP120" s="1270"/>
      <c r="AQ120" s="1270"/>
      <c r="AR120" s="1478">
        <v>0</v>
      </c>
    </row>
    <row s="1861" customFormat="1" customHeight="1" ht="17.25">
      <c r="A121" s="332"/>
      <c r="C121" s="220"/>
      <c r="D121" s="2165">
        <v>1</v>
      </c>
      <c r="E121" s="2173" t="s">
        <v>278</v>
      </c>
      <c r="F121" s="2175" t="s">
        <v>19</v>
      </c>
      <c r="G121" s="2173"/>
      <c r="H121" s="2178"/>
      <c r="I121" s="2180"/>
      <c r="J121" s="2182"/>
      <c r="K121" s="2167"/>
      <c r="L121" s="2167"/>
      <c r="M121" s="2167"/>
      <c r="N121" s="2169"/>
      <c r="O121" s="2167"/>
      <c r="P121" s="2167"/>
      <c r="Q121" s="2167"/>
      <c r="R121" s="2172"/>
      <c r="S121" s="2167"/>
      <c r="T121" s="1481"/>
      <c r="U121" s="1481"/>
      <c r="V121" s="1483"/>
      <c r="W121" s="1307"/>
      <c r="Y121" s="1278"/>
      <c r="Z121" s="1278"/>
      <c r="AA121" s="1278"/>
      <c r="AB121" s="1278"/>
      <c r="AC121" s="1278" t="s">
        <v>279</v>
      </c>
      <c r="AD121" s="1278" t="s">
        <v>280</v>
      </c>
      <c r="AE121" s="1278" t="s">
        <v>281</v>
      </c>
      <c r="AF121" s="1278" t="s">
        <v>282</v>
      </c>
      <c r="AG121" s="1278"/>
      <c r="AH121" s="1278" t="str">
        <f>IF($E$121=0,"",$E$121)</f>
        <v>Тариф на водоотведение</v>
      </c>
      <c r="AI121" s="1278" t="str">
        <f>IF($G$121=0,"",$G$121)</f>
        <v/>
      </c>
      <c r="AJ121" s="1278" t="str">
        <f>IF($J$121=0,"",$J$121)</f>
        <v/>
      </c>
      <c r="AK121" s="1278" t="str">
        <f>IF($K$121="нет","без дифференциации",IF($N$121=0,"",$N$121))</f>
        <v/>
      </c>
      <c r="AL121" s="1278" t="str">
        <f>IF($O$121="нет","без дифференциации",IF($R$121=0,"",$R$121))</f>
        <v/>
      </c>
      <c r="AM121" s="1278" t="str">
        <f>IF($S$121="нет","без дифференциации",IF($V$121=0,"",$V$121))</f>
        <v/>
      </c>
      <c r="AN121" s="1278">
        <f>$I$121</f>
        <v>0</v>
      </c>
      <c r="AO121" s="1278" t="str">
        <f>$I$121&amp;"."&amp;$M$121</f>
        <v>.</v>
      </c>
      <c r="AP121" s="1278" t="str">
        <f>$I$121&amp;"."&amp;$M$121&amp;"."&amp;$Q$121</f>
        <v>..</v>
      </c>
      <c r="AQ121" s="1278" t="str">
        <f>$I$121&amp;"."&amp;$M$121&amp;"."&amp;$Q$121&amp;"."&amp;$U$121</f>
        <v>...</v>
      </c>
      <c r="AR121" s="1478">
        <v>0</v>
      </c>
    </row>
    <row s="1861" customFormat="1" customHeight="1" ht="17.25">
      <c r="A122" s="332"/>
      <c r="C122" s="331"/>
      <c r="D122" s="2165"/>
      <c r="E122" s="2173"/>
      <c r="F122" s="2176"/>
      <c r="G122" s="2173"/>
      <c r="H122" s="2179"/>
      <c r="I122" s="2181"/>
      <c r="J122" s="2183"/>
      <c r="K122" s="2168"/>
      <c r="L122" s="2168"/>
      <c r="M122" s="2168"/>
      <c r="N122" s="2170"/>
      <c r="O122" s="2168"/>
      <c r="P122" s="2168"/>
      <c r="Q122" s="2168"/>
      <c r="R122" s="2171"/>
      <c r="S122" s="2168"/>
      <c r="T122" s="1308"/>
      <c r="U122" s="1308"/>
      <c r="V122" s="1308"/>
      <c r="W122" s="1309"/>
      <c r="Y122" s="1270"/>
      <c r="Z122" s="1270"/>
      <c r="AA122" s="1270"/>
      <c r="AB122" s="1270"/>
      <c r="AC122" s="1270"/>
      <c r="AD122" s="1270"/>
      <c r="AE122" s="1270"/>
      <c r="AF122" s="1270"/>
      <c r="AG122" s="1270"/>
      <c r="AH122" s="1270"/>
      <c r="AI122" s="1270"/>
      <c r="AJ122" s="1270"/>
      <c r="AK122" s="1270"/>
      <c r="AL122" s="1270"/>
      <c r="AM122" s="1270"/>
      <c r="AN122" s="1270"/>
      <c r="AO122" s="1270"/>
      <c r="AP122" s="1270"/>
      <c r="AQ122" s="1270"/>
      <c r="AR122" s="1478">
        <v>0</v>
      </c>
    </row>
    <row s="1861" customFormat="1" customHeight="1" ht="17.25">
      <c r="A123" s="332"/>
      <c r="C123" s="220"/>
      <c r="D123" s="2165"/>
      <c r="E123" s="2173"/>
      <c r="F123" s="2176"/>
      <c r="G123" s="2173"/>
      <c r="H123" s="2179"/>
      <c r="I123" s="2181"/>
      <c r="J123" s="2184"/>
      <c r="K123" s="2168"/>
      <c r="L123" s="2168"/>
      <c r="M123" s="2168"/>
      <c r="N123" s="2171"/>
      <c r="O123" s="2168"/>
      <c r="P123" s="1482"/>
      <c r="Q123" s="1308"/>
      <c r="R123" s="1308"/>
      <c r="S123" s="340"/>
      <c r="T123" s="340"/>
      <c r="U123" s="340"/>
      <c r="V123" s="340"/>
      <c r="W123" s="1309"/>
      <c r="Y123" s="1278"/>
      <c r="Z123" s="1278"/>
      <c r="AA123" s="1278"/>
      <c r="AB123" s="1278"/>
      <c r="AC123" s="1278"/>
      <c r="AD123" s="1278"/>
      <c r="AE123" s="1278"/>
      <c r="AF123" s="1278"/>
      <c r="AG123" s="1278"/>
      <c r="AH123" s="1278"/>
      <c r="AI123" s="1278"/>
      <c r="AJ123" s="1278"/>
      <c r="AK123" s="1278"/>
      <c r="AL123" s="1278"/>
      <c r="AM123" s="1278"/>
      <c r="AN123" s="1278"/>
      <c r="AO123" s="1278"/>
      <c r="AP123" s="1278"/>
      <c r="AQ123" s="1278"/>
      <c r="AR123" s="1478">
        <v>0</v>
      </c>
    </row>
    <row s="1861" customFormat="1" customHeight="1" ht="17.25">
      <c r="A124" s="332"/>
      <c r="C124" s="331"/>
      <c r="D124" s="2165"/>
      <c r="E124" s="2173"/>
      <c r="F124" s="2176"/>
      <c r="G124" s="2173"/>
      <c r="H124" s="2179"/>
      <c r="I124" s="2181"/>
      <c r="J124" s="2184"/>
      <c r="K124" s="2168"/>
      <c r="L124" s="1308"/>
      <c r="M124" s="1308"/>
      <c r="N124" s="1308"/>
      <c r="O124" s="1308"/>
      <c r="P124" s="1308"/>
      <c r="Q124" s="1308"/>
      <c r="R124" s="1308"/>
      <c r="S124" s="340"/>
      <c r="T124" s="340"/>
      <c r="U124" s="340"/>
      <c r="V124" s="340"/>
      <c r="W124" s="1309"/>
      <c r="Y124" s="1270"/>
      <c r="Z124" s="1270"/>
      <c r="AA124" s="1270"/>
      <c r="AB124" s="1270"/>
      <c r="AC124" s="1270"/>
      <c r="AD124" s="1270"/>
      <c r="AE124" s="1270"/>
      <c r="AF124" s="1270"/>
      <c r="AG124" s="1270"/>
      <c r="AH124" s="1270"/>
      <c r="AI124" s="1270"/>
      <c r="AJ124" s="1270"/>
      <c r="AK124" s="1270"/>
      <c r="AL124" s="1270"/>
      <c r="AM124" s="1270"/>
      <c r="AN124" s="1270"/>
      <c r="AO124" s="1270"/>
      <c r="AP124" s="1270"/>
      <c r="AQ124" s="1270"/>
      <c r="AR124" s="1478">
        <v>0</v>
      </c>
    </row>
    <row s="1861" customFormat="1" customHeight="1" ht="17.25">
      <c r="A125" s="332"/>
      <c r="C125" s="331"/>
      <c r="D125" s="2166"/>
      <c r="E125" s="2174"/>
      <c r="F125" s="2177"/>
      <c r="G125" s="2174"/>
      <c r="H125" s="1310"/>
      <c r="I125" s="1311"/>
      <c r="J125" s="1311"/>
      <c r="K125" s="1311"/>
      <c r="L125" s="1311"/>
      <c r="M125" s="1311"/>
      <c r="N125" s="1311"/>
      <c r="O125" s="1311"/>
      <c r="P125" s="1311"/>
      <c r="Q125" s="1311"/>
      <c r="R125" s="1311"/>
      <c r="S125" s="1312"/>
      <c r="T125" s="1312"/>
      <c r="U125" s="1312"/>
      <c r="V125" s="1312"/>
      <c r="W125" s="1313"/>
      <c r="Y125" s="1270"/>
      <c r="Z125" s="1270"/>
      <c r="AA125" s="1270"/>
      <c r="AB125" s="1270"/>
      <c r="AC125" s="1270"/>
      <c r="AD125" s="1270"/>
      <c r="AE125" s="1270"/>
      <c r="AF125" s="1270"/>
      <c r="AG125" s="1270"/>
      <c r="AH125" s="1270"/>
      <c r="AI125" s="1270"/>
      <c r="AJ125" s="1270"/>
      <c r="AK125" s="1270"/>
      <c r="AL125" s="1270"/>
      <c r="AM125" s="1270"/>
      <c r="AN125" s="1270"/>
      <c r="AO125" s="1270"/>
      <c r="AP125" s="1270"/>
      <c r="AQ125" s="1270"/>
      <c r="AR125" s="1478">
        <v>0</v>
      </c>
    </row>
    <row s="1861" customFormat="1" customHeight="1" ht="17.25">
      <c r="A126" s="332"/>
      <c r="C126" s="220"/>
      <c r="D126" s="2165">
        <v>2</v>
      </c>
      <c r="E126" s="2173" t="s">
        <v>283</v>
      </c>
      <c r="F126" s="2175" t="s">
        <v>19</v>
      </c>
      <c r="G126" s="2173"/>
      <c r="H126" s="2178"/>
      <c r="I126" s="2180"/>
      <c r="J126" s="2182"/>
      <c r="K126" s="2167"/>
      <c r="L126" s="2167"/>
      <c r="M126" s="2167"/>
      <c r="N126" s="2169"/>
      <c r="O126" s="2167"/>
      <c r="P126" s="2167"/>
      <c r="Q126" s="2167"/>
      <c r="R126" s="2172"/>
      <c r="S126" s="2167"/>
      <c r="T126" s="1481"/>
      <c r="U126" s="1481"/>
      <c r="V126" s="1483"/>
      <c r="W126" s="1307"/>
      <c r="X126" s="1278"/>
      <c r="Y126" s="1278"/>
      <c r="Z126" s="1278"/>
      <c r="AA126" s="1278"/>
      <c r="AB126" s="1278"/>
      <c r="AC126" s="1278" t="s">
        <v>284</v>
      </c>
      <c r="AD126" s="1278" t="s">
        <v>285</v>
      </c>
      <c r="AE126" s="1278" t="s">
        <v>286</v>
      </c>
      <c r="AF126" s="1278" t="s">
        <v>287</v>
      </c>
      <c r="AG126" s="1278"/>
      <c r="AH126" s="1278" t="str">
        <f>IF($E$126=0,"",$E$126)</f>
        <v>Тариф на транспортировку сточных вод</v>
      </c>
      <c r="AI126" s="1278" t="str">
        <f>IF($G$126=0,"",$G$126)</f>
        <v/>
      </c>
      <c r="AJ126" s="1278" t="str">
        <f>IF($J$126=0,"",$J$126)</f>
        <v/>
      </c>
      <c r="AK126" s="1278" t="str">
        <f>IF($K$126="нет","без дифференциации",IF($N$126=0,"",$N$126))</f>
        <v/>
      </c>
      <c r="AL126" s="1278" t="str">
        <f>IF($O$126="нет","без дифференциации",IF($R$126=0,"",$R$126))</f>
        <v/>
      </c>
      <c r="AM126" s="1278" t="str">
        <f>IF($S$126="нет","без дифференциации",IF($V$126=0,"",$V$126))</f>
        <v/>
      </c>
      <c r="AN126" s="1782">
        <f>$I$126</f>
        <v>0</v>
      </c>
      <c r="AO126" s="1278" t="str">
        <f>$I$126&amp;"."&amp;$M$126</f>
        <v>.</v>
      </c>
      <c r="AP126" s="1270" t="str">
        <f>$I$126&amp;"."&amp;$M$126&amp;"."&amp;$Q$126</f>
        <v>..</v>
      </c>
      <c r="AQ126" s="1270" t="str">
        <f>$I$126&amp;"."&amp;$M$126&amp;"."&amp;$Q$126&amp;"."&amp;$U$126</f>
        <v>...</v>
      </c>
      <c r="AR126" s="1478">
        <v>0</v>
      </c>
    </row>
    <row s="1861" customFormat="1" customHeight="1" ht="17.25">
      <c r="A127" s="332"/>
      <c r="C127" s="331"/>
      <c r="D127" s="2165"/>
      <c r="E127" s="2173"/>
      <c r="F127" s="2176"/>
      <c r="G127" s="2173"/>
      <c r="H127" s="2179"/>
      <c r="I127" s="2181"/>
      <c r="J127" s="2183"/>
      <c r="K127" s="2168"/>
      <c r="L127" s="2168"/>
      <c r="M127" s="2168"/>
      <c r="N127" s="2170"/>
      <c r="O127" s="2168"/>
      <c r="P127" s="2168"/>
      <c r="Q127" s="2168"/>
      <c r="R127" s="2171"/>
      <c r="S127" s="2168"/>
      <c r="T127" s="1308"/>
      <c r="U127" s="1308"/>
      <c r="V127" s="1308"/>
      <c r="W127" s="1309"/>
      <c r="X127" s="1270"/>
      <c r="Y127" s="1270"/>
      <c r="Z127" s="1270"/>
      <c r="AA127" s="1270"/>
      <c r="AB127" s="1270"/>
      <c r="AC127" s="1270"/>
      <c r="AD127" s="1270"/>
      <c r="AE127" s="1270"/>
      <c r="AF127" s="1270"/>
      <c r="AG127" s="1270"/>
      <c r="AH127" s="1270"/>
      <c r="AI127" s="1270"/>
      <c r="AJ127" s="1270"/>
      <c r="AK127" s="1270"/>
      <c r="AL127" s="1270"/>
      <c r="AM127" s="1270"/>
      <c r="AN127" s="1270"/>
      <c r="AO127" s="1270"/>
      <c r="AP127" s="1270"/>
      <c r="AQ127" s="1270"/>
      <c r="AR127" s="1478">
        <v>0</v>
      </c>
    </row>
    <row s="1861" customFormat="1" customHeight="1" ht="17.25">
      <c r="A128" s="332"/>
      <c r="C128" s="331"/>
      <c r="D128" s="2166"/>
      <c r="E128" s="2174"/>
      <c r="F128" s="2176"/>
      <c r="G128" s="2174"/>
      <c r="H128" s="2179"/>
      <c r="I128" s="2181"/>
      <c r="J128" s="2184"/>
      <c r="K128" s="2168"/>
      <c r="L128" s="2168"/>
      <c r="M128" s="2168"/>
      <c r="N128" s="2171"/>
      <c r="O128" s="2168"/>
      <c r="P128" s="1482"/>
      <c r="Q128" s="1308"/>
      <c r="R128" s="1308"/>
      <c r="S128" s="340"/>
      <c r="T128" s="340"/>
      <c r="U128" s="340"/>
      <c r="V128" s="340"/>
      <c r="W128" s="1309"/>
      <c r="X128" s="1270"/>
      <c r="Y128" s="1270"/>
      <c r="Z128" s="1270"/>
      <c r="AA128" s="1270"/>
      <c r="AB128" s="1270"/>
      <c r="AC128" s="1270"/>
      <c r="AD128" s="1270"/>
      <c r="AE128" s="1270"/>
      <c r="AF128" s="1270"/>
      <c r="AG128" s="1270"/>
      <c r="AH128" s="1270"/>
      <c r="AI128" s="1270"/>
      <c r="AJ128" s="1270"/>
      <c r="AK128" s="1270"/>
      <c r="AL128" s="1270"/>
      <c r="AM128" s="1270"/>
      <c r="AN128" s="1270"/>
      <c r="AO128" s="1270"/>
      <c r="AP128" s="1270"/>
      <c r="AQ128" s="1270"/>
      <c r="AR128" s="1478">
        <v>0</v>
      </c>
    </row>
    <row s="1861" customFormat="1" customHeight="1" ht="17.25">
      <c r="A129" s="332"/>
      <c r="C129" s="331"/>
      <c r="D129" s="2166"/>
      <c r="E129" s="2174"/>
      <c r="F129" s="2176"/>
      <c r="G129" s="2174"/>
      <c r="H129" s="2179"/>
      <c r="I129" s="2181"/>
      <c r="J129" s="2184"/>
      <c r="K129" s="2168"/>
      <c r="L129" s="1308"/>
      <c r="M129" s="1308"/>
      <c r="N129" s="1308"/>
      <c r="O129" s="1308"/>
      <c r="P129" s="1308"/>
      <c r="Q129" s="1308"/>
      <c r="R129" s="1308"/>
      <c r="S129" s="340"/>
      <c r="T129" s="340"/>
      <c r="U129" s="340"/>
      <c r="V129" s="340"/>
      <c r="W129" s="1309"/>
      <c r="X129" s="1270"/>
      <c r="Y129" s="1270"/>
      <c r="Z129" s="1270"/>
      <c r="AA129" s="1270"/>
      <c r="AB129" s="1270"/>
      <c r="AC129" s="1270"/>
      <c r="AD129" s="1270"/>
      <c r="AE129" s="1270"/>
      <c r="AF129" s="1270"/>
      <c r="AG129" s="1270"/>
      <c r="AH129" s="1270"/>
      <c r="AI129" s="1270"/>
      <c r="AJ129" s="1270"/>
      <c r="AK129" s="1270"/>
      <c r="AL129" s="1270"/>
      <c r="AM129" s="1270"/>
      <c r="AN129" s="1270"/>
      <c r="AO129" s="1270"/>
      <c r="AP129" s="1270"/>
      <c r="AQ129" s="1270"/>
      <c r="AR129" s="1478">
        <v>0</v>
      </c>
    </row>
    <row s="1861" customFormat="1" customHeight="1" ht="17.25">
      <c r="A130" s="332"/>
      <c r="C130" s="331"/>
      <c r="D130" s="2166"/>
      <c r="E130" s="2174"/>
      <c r="F130" s="2177"/>
      <c r="G130" s="2174"/>
      <c r="H130" s="1310"/>
      <c r="I130" s="1311"/>
      <c r="J130" s="1311"/>
      <c r="K130" s="1311"/>
      <c r="L130" s="1311"/>
      <c r="M130" s="1311"/>
      <c r="N130" s="1311"/>
      <c r="O130" s="1311"/>
      <c r="P130" s="1311"/>
      <c r="Q130" s="1311"/>
      <c r="R130" s="1311"/>
      <c r="S130" s="1312"/>
      <c r="T130" s="1312"/>
      <c r="U130" s="1312"/>
      <c r="V130" s="1312"/>
      <c r="W130" s="1313"/>
      <c r="X130" s="1270"/>
      <c r="Y130" s="1270"/>
      <c r="Z130" s="1270"/>
      <c r="AA130" s="1270"/>
      <c r="AB130" s="1270"/>
      <c r="AC130" s="1270"/>
      <c r="AD130" s="1270"/>
      <c r="AE130" s="1270"/>
      <c r="AF130" s="1270"/>
      <c r="AG130" s="1270"/>
      <c r="AH130" s="1270"/>
      <c r="AI130" s="1270"/>
      <c r="AJ130" s="1270"/>
      <c r="AK130" s="1270"/>
      <c r="AL130" s="1270"/>
      <c r="AM130" s="1270"/>
      <c r="AN130" s="1270"/>
      <c r="AO130" s="1270"/>
      <c r="AP130" s="1270"/>
      <c r="AQ130" s="1270"/>
      <c r="AR130" s="1478">
        <v>0</v>
      </c>
    </row>
    <row s="1861" customFormat="1" customHeight="1" ht="17.25">
      <c r="A131" s="332"/>
      <c r="C131" s="220"/>
      <c r="D131" s="2165">
        <v>3</v>
      </c>
      <c r="E131" s="2173" t="s">
        <v>288</v>
      </c>
      <c r="F131" s="2175" t="s">
        <v>19</v>
      </c>
      <c r="G131" s="2173"/>
      <c r="H131" s="2178"/>
      <c r="I131" s="2180"/>
      <c r="J131" s="2182"/>
      <c r="K131" s="2167"/>
      <c r="L131" s="2167"/>
      <c r="M131" s="2167"/>
      <c r="N131" s="2169"/>
      <c r="O131" s="2167"/>
      <c r="P131" s="2167"/>
      <c r="Q131" s="2167"/>
      <c r="R131" s="2172"/>
      <c r="S131" s="2167"/>
      <c r="T131" s="1951"/>
      <c r="U131" s="1951"/>
      <c r="V131" s="1953"/>
      <c r="W131" s="1307"/>
      <c r="X131" s="1278"/>
      <c r="Y131" s="1278"/>
      <c r="Z131" s="1278"/>
      <c r="AA131" s="1278"/>
      <c r="AB131" s="1278"/>
      <c r="AC131" s="1278" t="s">
        <v>289</v>
      </c>
      <c r="AD131" s="1278" t="s">
        <v>290</v>
      </c>
      <c r="AE131" s="1278" t="s">
        <v>291</v>
      </c>
      <c r="AF131" s="1278" t="s">
        <v>292</v>
      </c>
      <c r="AG131" s="1278"/>
      <c r="AH131" s="1278" t="str">
        <f>IF($E$131=0,"",$E$131)</f>
        <v>Тариф на подключение (технологическое присоединение) к централизованной системе водоотведения</v>
      </c>
      <c r="AI131" s="1278" t="str">
        <f>IF($G$131=0,"",$G$131)</f>
        <v/>
      </c>
      <c r="AJ131" s="1278" t="str">
        <f>IF($J$131=0,"",$J$131)</f>
        <v/>
      </c>
      <c r="AK131" s="1278" t="str">
        <f>IF($K$131="нет","без дифференциации",IF($N$131=0,"",$N$131))</f>
        <v/>
      </c>
      <c r="AL131" s="1278" t="str">
        <f>IF($O$131="нет","без дифференциации",IF($R$131=0,"",$R$131))</f>
        <v/>
      </c>
      <c r="AM131" s="1278" t="str">
        <f>IF($S$131="нет","без дифференциации",IF($V$131=0,"",$V$131))</f>
        <v/>
      </c>
      <c r="AN131" s="1782">
        <f>$I$131</f>
        <v>0</v>
      </c>
      <c r="AO131" s="1278" t="str">
        <f>$I$131&amp;"."&amp;$M$131</f>
        <v>.</v>
      </c>
      <c r="AP131" s="1277" t="str">
        <f>$I$131&amp;"."&amp;$M$131&amp;"."&amp;$Q$131</f>
        <v>..</v>
      </c>
      <c r="AQ131" s="1277" t="str">
        <f>$I$131&amp;"."&amp;$M$131&amp;"."&amp;$Q$131&amp;"."&amp;$U$131</f>
        <v>...</v>
      </c>
      <c r="AR131" s="1478">
        <v>0</v>
      </c>
    </row>
    <row s="1861" customFormat="1" customHeight="1" ht="17.25">
      <c r="A132" s="332"/>
      <c r="C132" s="331"/>
      <c r="D132" s="2165"/>
      <c r="E132" s="2173"/>
      <c r="F132" s="2176"/>
      <c r="G132" s="2173"/>
      <c r="H132" s="2179"/>
      <c r="I132" s="2181"/>
      <c r="J132" s="2183"/>
      <c r="K132" s="2168"/>
      <c r="L132" s="2168"/>
      <c r="M132" s="2168"/>
      <c r="N132" s="2170"/>
      <c r="O132" s="2168"/>
      <c r="P132" s="2168"/>
      <c r="Q132" s="2168"/>
      <c r="R132" s="2171"/>
      <c r="S132" s="2168"/>
      <c r="T132" s="1956"/>
      <c r="U132" s="1956"/>
      <c r="V132" s="1956"/>
      <c r="W132" s="1957"/>
      <c r="X132" s="1277"/>
      <c r="Y132" s="1277"/>
      <c r="Z132" s="1277"/>
      <c r="AA132" s="1277"/>
      <c r="AB132" s="1277"/>
      <c r="AC132" s="1277"/>
      <c r="AD132" s="1277"/>
      <c r="AE132" s="1277"/>
      <c r="AF132" s="1277"/>
      <c r="AG132" s="1277"/>
      <c r="AH132" s="1277"/>
      <c r="AI132" s="1277"/>
      <c r="AJ132" s="1277"/>
      <c r="AK132" s="1277"/>
      <c r="AL132" s="1277"/>
      <c r="AM132" s="1277"/>
      <c r="AN132" s="1277"/>
      <c r="AO132" s="1277"/>
      <c r="AP132" s="1277"/>
      <c r="AQ132" s="1277"/>
      <c r="AR132" s="1478">
        <v>0</v>
      </c>
    </row>
    <row s="1861" customFormat="1" customHeight="1" ht="17.25">
      <c r="A133" s="332"/>
      <c r="C133" s="331"/>
      <c r="D133" s="2166"/>
      <c r="E133" s="2174"/>
      <c r="F133" s="2176"/>
      <c r="G133" s="2174"/>
      <c r="H133" s="2179"/>
      <c r="I133" s="2181"/>
      <c r="J133" s="2184"/>
      <c r="K133" s="2168"/>
      <c r="L133" s="2168"/>
      <c r="M133" s="2168"/>
      <c r="N133" s="2171"/>
      <c r="O133" s="2168"/>
      <c r="P133" s="1952"/>
      <c r="Q133" s="1956"/>
      <c r="R133" s="1956"/>
      <c r="S133" s="340"/>
      <c r="T133" s="340"/>
      <c r="U133" s="340"/>
      <c r="V133" s="340"/>
      <c r="W133" s="1957"/>
      <c r="X133" s="1277"/>
      <c r="Y133" s="1277"/>
      <c r="Z133" s="1277"/>
      <c r="AA133" s="1277"/>
      <c r="AB133" s="1277"/>
      <c r="AC133" s="1277"/>
      <c r="AD133" s="1277"/>
      <c r="AE133" s="1277"/>
      <c r="AF133" s="1277"/>
      <c r="AG133" s="1277"/>
      <c r="AH133" s="1277"/>
      <c r="AI133" s="1277"/>
      <c r="AJ133" s="1277"/>
      <c r="AK133" s="1277"/>
      <c r="AL133" s="1277"/>
      <c r="AM133" s="1277"/>
      <c r="AN133" s="1277"/>
      <c r="AO133" s="1277"/>
      <c r="AP133" s="1277"/>
      <c r="AQ133" s="1277"/>
      <c r="AR133" s="1478">
        <v>0</v>
      </c>
    </row>
    <row s="1861" customFormat="1" customHeight="1" ht="17.25">
      <c r="A134" s="332"/>
      <c r="C134" s="331"/>
      <c r="D134" s="2166"/>
      <c r="E134" s="2174"/>
      <c r="F134" s="2176"/>
      <c r="G134" s="2174"/>
      <c r="H134" s="2179"/>
      <c r="I134" s="2181"/>
      <c r="J134" s="2184"/>
      <c r="K134" s="2168"/>
      <c r="L134" s="1956"/>
      <c r="M134" s="1956"/>
      <c r="N134" s="1956"/>
      <c r="O134" s="1956"/>
      <c r="P134" s="1956"/>
      <c r="Q134" s="1956"/>
      <c r="R134" s="1956"/>
      <c r="S134" s="340"/>
      <c r="T134" s="340"/>
      <c r="U134" s="340"/>
      <c r="V134" s="340"/>
      <c r="W134" s="1957"/>
      <c r="X134" s="1277"/>
      <c r="Y134" s="1277"/>
      <c r="Z134" s="1277"/>
      <c r="AA134" s="1277"/>
      <c r="AB134" s="1277"/>
      <c r="AC134" s="1277"/>
      <c r="AD134" s="1277"/>
      <c r="AE134" s="1277"/>
      <c r="AF134" s="1277"/>
      <c r="AG134" s="1277"/>
      <c r="AH134" s="1277"/>
      <c r="AI134" s="1277"/>
      <c r="AJ134" s="1277"/>
      <c r="AK134" s="1277"/>
      <c r="AL134" s="1277"/>
      <c r="AM134" s="1277"/>
      <c r="AN134" s="1277"/>
      <c r="AO134" s="1277"/>
      <c r="AP134" s="1277"/>
      <c r="AQ134" s="1277"/>
      <c r="AR134" s="1478">
        <v>0</v>
      </c>
    </row>
    <row s="1861" customFormat="1" customHeight="1" ht="17.25">
      <c r="A135" s="332"/>
      <c r="C135" s="331"/>
      <c r="D135" s="2166"/>
      <c r="E135" s="2174"/>
      <c r="F135" s="2177"/>
      <c r="G135" s="2174"/>
      <c r="H135" s="1310"/>
      <c r="I135" s="1954"/>
      <c r="J135" s="1954"/>
      <c r="K135" s="1954"/>
      <c r="L135" s="1954"/>
      <c r="M135" s="1954"/>
      <c r="N135" s="1954"/>
      <c r="O135" s="1954"/>
      <c r="P135" s="1954"/>
      <c r="Q135" s="1954"/>
      <c r="R135" s="1954"/>
      <c r="S135" s="1312"/>
      <c r="T135" s="1312"/>
      <c r="U135" s="1312"/>
      <c r="V135" s="1312"/>
      <c r="W135" s="1955"/>
      <c r="X135" s="1277"/>
      <c r="Y135" s="1277"/>
      <c r="Z135" s="1277"/>
      <c r="AA135" s="1277"/>
      <c r="AB135" s="1277"/>
      <c r="AC135" s="1277"/>
      <c r="AD135" s="1277"/>
      <c r="AE135" s="1277"/>
      <c r="AF135" s="1277"/>
      <c r="AG135" s="1277"/>
      <c r="AH135" s="1277"/>
      <c r="AI135" s="1277"/>
      <c r="AJ135" s="1277"/>
      <c r="AK135" s="1277"/>
      <c r="AL135" s="1277"/>
      <c r="AM135" s="1277"/>
      <c r="AN135" s="1277"/>
      <c r="AO135" s="1277"/>
      <c r="AP135" s="1277"/>
      <c r="AQ135" s="1277"/>
      <c r="AR135" s="1478">
        <v>0</v>
      </c>
    </row>
    <row customHeight="1" ht="11.549999999999999">
      <c r="AR136" s="115">
        <v>11</v>
      </c>
    </row>
    <row customHeight="1" ht="11.549999999999999">
      <c r="AR137" s="115">
        <v>11</v>
      </c>
    </row>
    <row customHeight="1" ht="11.549999999999999">
      <c r="AR138" s="115">
        <v>11</v>
      </c>
    </row>
    <row customHeight="1" ht="11.549999999999999">
      <c r="E139" s="1361"/>
      <c r="AR139" s="115">
        <v>11</v>
      </c>
    </row>
    <row customHeight="1" ht="11.549999999999999">
      <c r="E140" s="1361"/>
      <c r="AR140" s="115">
        <v>11</v>
      </c>
    </row>
    <row customHeight="1" ht="11.549999999999999">
      <c r="E141" s="1361"/>
      <c r="AR141" s="115">
        <v>11</v>
      </c>
    </row>
    <row customHeight="1" ht="11.549999999999999">
      <c r="E142" s="1361"/>
      <c r="AR142" s="115">
        <v>11</v>
      </c>
    </row>
    <row customHeight="1" ht="11.549999999999999">
      <c r="E143" s="1361"/>
      <c r="AR143" s="115">
        <v>11</v>
      </c>
    </row>
    <row customHeight="1" ht="11.549999999999999">
      <c r="E144" s="1361"/>
      <c r="AR144" s="115">
        <v>11</v>
      </c>
    </row>
    <row customHeight="1" ht="11.549999999999999">
      <c r="E145" s="1361"/>
      <c r="AR145" s="115">
        <v>11</v>
      </c>
    </row>
    <row customHeight="1" ht="11.25" hidden="1">
      <c r="A146" s="164" t="s">
        <v>83</v>
      </c>
      <c r="B146" s="164">
        <v>0</v>
      </c>
      <c r="C146" s="115">
        <v>3</v>
      </c>
      <c r="D146" s="115">
        <v>6</v>
      </c>
      <c r="E146" s="115">
        <v>42</v>
      </c>
      <c r="F146" s="1294">
        <v>14</v>
      </c>
      <c r="G146" s="115">
        <v>42</v>
      </c>
      <c r="H146" s="115">
        <v>3</v>
      </c>
      <c r="I146" s="115">
        <v>5</v>
      </c>
      <c r="J146" s="115">
        <v>47</v>
      </c>
      <c r="K146" s="115">
        <v>3</v>
      </c>
      <c r="L146" s="115">
        <v>3</v>
      </c>
      <c r="M146" s="115">
        <v>5</v>
      </c>
      <c r="N146" s="115">
        <v>28</v>
      </c>
      <c r="O146" s="115">
        <v>3</v>
      </c>
      <c r="P146" s="115">
        <v>3</v>
      </c>
      <c r="Q146" s="115">
        <v>5</v>
      </c>
      <c r="R146" s="115">
        <v>34</v>
      </c>
      <c r="S146" s="293">
        <v>0</v>
      </c>
      <c r="T146" s="293">
        <v>0</v>
      </c>
      <c r="U146" s="293">
        <v>0</v>
      </c>
      <c r="V146" s="293">
        <v>0</v>
      </c>
      <c r="W146" s="115">
        <v>30</v>
      </c>
      <c r="X146" s="115">
        <v>3</v>
      </c>
      <c r="Y146" s="1270">
        <v>0</v>
      </c>
      <c r="Z146" s="1270">
        <v>0</v>
      </c>
      <c r="AA146" s="1270">
        <v>0</v>
      </c>
      <c r="AB146" s="1270">
        <v>0</v>
      </c>
      <c r="AC146" s="1270">
        <v>0</v>
      </c>
      <c r="AD146" s="1270">
        <v>0</v>
      </c>
      <c r="AE146" s="1270">
        <v>0</v>
      </c>
      <c r="AF146" s="1270">
        <v>0</v>
      </c>
      <c r="AG146" s="1270">
        <v>0</v>
      </c>
      <c r="AH146" s="1270">
        <v>0</v>
      </c>
      <c r="AI146" s="1270">
        <v>0</v>
      </c>
      <c r="AJ146" s="1270">
        <v>0</v>
      </c>
      <c r="AK146" s="1270">
        <v>0</v>
      </c>
      <c r="AL146" s="1270">
        <v>0</v>
      </c>
      <c r="AM146" s="1270">
        <v>0</v>
      </c>
      <c r="AN146" s="1270">
        <v>0</v>
      </c>
      <c r="AO146" s="1270">
        <v>0</v>
      </c>
      <c r="AP146" s="1270">
        <v>0</v>
      </c>
      <c r="AQ146" s="1270">
        <v>0</v>
      </c>
      <c r="AR146" s="11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208F4-D22E-2C28-538D-C17993C4B638}"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43" width="9.140625" hidden="1" customWidth="1"/>
    <col min="2" max="2" style="1646" width="9.140625" hidden="1" customWidth="1"/>
    <col min="3" max="3" style="694" width="4.00390625" customWidth="1"/>
    <col min="4" max="4" style="1646" width="6.00390625" customWidth="1"/>
    <col min="5" max="5" style="1646" width="47.00390625" customWidth="1"/>
    <col min="6" max="6" style="1646" width="9.00390625" customWidth="1"/>
    <col min="7" max="7" style="1646" width="25.7109375" hidden="1" customWidth="1"/>
    <col min="8" max="8" style="1646" width="34.00390625" hidden="1" customWidth="1"/>
    <col min="9" max="9" style="1646" width="25.7109375" customWidth="1"/>
    <col min="10" max="10" style="1646" width="33.00390625" customWidth="1"/>
    <col min="11" max="11" style="1646" width="25.7109375" customWidth="1"/>
    <col min="12" max="12" style="1646" width="34.00390625" customWidth="1"/>
    <col min="13" max="13" style="1646" width="25.7109375" customWidth="1"/>
    <col min="14" max="14" style="1646" width="34.00390625" customWidth="1"/>
    <col min="15" max="15" style="1646" width="25.7109375" customWidth="1"/>
    <col min="16" max="16" style="1646" width="34.00390625" customWidth="1"/>
    <col min="17" max="17" style="1377" width="50.00390625" customWidth="1"/>
    <col min="18" max="26" style="1646" width="10.00390625" customWidth="1"/>
    <col min="27" max="27" style="686" width="10.00390625" customWidth="1"/>
    <col min="28" max="28" style="1646" width="10.57421875" hidden="1"/>
  </cols>
  <sheetData>
    <row s="1377" customFormat="1" customHeight="1" ht="22.5" hidden="1">
      <c r="C1" s="683"/>
      <c r="G1" s="428">
        <v>4</v>
      </c>
      <c r="I1" s="428">
        <v>4</v>
      </c>
      <c r="K1" s="1377" t="s">
        <v>91</v>
      </c>
      <c r="L1" s="1377"/>
      <c r="M1" s="1377">
        <v>4</v>
      </c>
      <c r="N1" s="1377"/>
      <c r="O1" s="1377">
        <v>4</v>
      </c>
      <c r="P1" s="1377"/>
      <c r="AA1" s="431"/>
      <c r="AB1" s="428" t="s">
        <v>14</v>
      </c>
    </row>
    <row s="1646" customFormat="1" customHeight="1" ht="15" hidden="1">
      <c r="A2" s="373"/>
      <c r="C2" s="187"/>
      <c r="D2" s="357"/>
      <c r="E2" s="684"/>
      <c r="F2" s="533"/>
      <c r="G2" s="627"/>
      <c r="H2" s="627"/>
      <c r="I2" s="627"/>
      <c r="J2" s="627"/>
      <c r="K2" s="627"/>
      <c r="L2" s="627"/>
      <c r="M2" s="627"/>
      <c r="N2" s="627"/>
      <c r="O2" s="627"/>
      <c r="P2" s="627"/>
      <c r="AA2" s="685"/>
      <c r="AB2" s="520">
        <v>0</v>
      </c>
    </row>
    <row s="1377" customFormat="1" customHeight="1" ht="15" hidden="1">
      <c r="C3" s="683"/>
      <c r="K3" s="1377"/>
      <c r="L3" s="1377"/>
      <c r="M3" s="1377"/>
      <c r="N3" s="1377"/>
      <c r="O3" s="1377"/>
      <c r="P3" s="1377"/>
      <c r="AA3" s="431"/>
      <c r="AB3" s="428">
        <v>0</v>
      </c>
    </row>
    <row customHeight="1" ht="15.75">
      <c r="C4" s="187"/>
      <c r="D4" s="520"/>
      <c r="E4" s="520"/>
      <c r="F4" s="520"/>
      <c r="G4" s="520"/>
      <c r="H4" s="520"/>
      <c r="I4" s="520"/>
      <c r="J4" s="520"/>
      <c r="K4" s="1646"/>
      <c r="L4" s="1646"/>
      <c r="M4" s="1646"/>
      <c r="N4" s="1646"/>
      <c r="O4" s="1646"/>
      <c r="P4" s="1646"/>
      <c r="AB4" s="516">
        <v>15</v>
      </c>
    </row>
    <row customHeight="1" ht="66">
      <c r="C5" s="187"/>
      <c r="D5" s="2267" t="s">
        <v>1431</v>
      </c>
      <c r="E5" s="2267"/>
      <c r="F5" s="2267"/>
      <c r="G5" s="2267"/>
      <c r="H5" s="2267"/>
      <c r="I5" s="2267"/>
      <c r="J5" s="2267"/>
      <c r="K5" s="2278"/>
      <c r="L5" s="2278"/>
      <c r="M5" s="2278"/>
      <c r="N5" s="2278"/>
      <c r="O5" s="2278"/>
      <c r="P5" s="2278"/>
      <c r="AB5" s="516">
        <v>63</v>
      </c>
    </row>
    <row customHeight="1" ht="15.75">
      <c r="C6" s="187"/>
      <c r="D6" s="2206" t="str">
        <f>IF(org=0,"Не определено",org)</f>
        <v>ПАО "КГК"</v>
      </c>
      <c r="E6" s="2206"/>
      <c r="F6" s="2206"/>
      <c r="G6" s="2206"/>
      <c r="H6" s="2206"/>
      <c r="I6" s="2206"/>
      <c r="J6" s="2206"/>
      <c r="K6" s="2279"/>
      <c r="L6" s="2279"/>
      <c r="M6" s="2279"/>
      <c r="N6" s="2279"/>
      <c r="O6" s="2279"/>
      <c r="P6" s="2279"/>
      <c r="Q6" s="548"/>
      <c r="AB6" s="516">
        <v>15</v>
      </c>
    </row>
    <row customHeight="1" ht="15.75">
      <c r="C7" s="187"/>
      <c r="D7" s="763"/>
      <c r="E7" s="520"/>
      <c r="F7" s="520"/>
      <c r="G7" s="548">
        <v>22</v>
      </c>
      <c r="I7" s="548">
        <v>1</v>
      </c>
      <c r="J7" s="763"/>
      <c r="K7" s="1377" t="s">
        <v>22</v>
      </c>
      <c r="L7" s="1646"/>
      <c r="M7" s="1377" t="s">
        <v>22</v>
      </c>
      <c r="N7" s="1646"/>
      <c r="O7" s="1377" t="s">
        <v>22</v>
      </c>
      <c r="P7" s="1646"/>
      <c r="AB7" s="516">
        <v>15</v>
      </c>
    </row>
    <row s="1646" customFormat="1" customHeight="1" ht="1.05">
      <c r="A8" s="770"/>
      <c r="C8" s="187"/>
      <c r="D8" s="520"/>
      <c r="E8" s="520"/>
      <c r="F8" s="520"/>
      <c r="G8" s="548"/>
      <c r="H8" s="763"/>
      <c r="I8" s="548" t="s">
        <v>128</v>
      </c>
      <c r="J8" s="763"/>
      <c r="K8" s="1377" t="s">
        <v>132</v>
      </c>
      <c r="L8" s="763"/>
      <c r="M8" s="1377" t="s">
        <v>134</v>
      </c>
      <c r="N8" s="763"/>
      <c r="O8" s="1377" t="s">
        <v>135</v>
      </c>
      <c r="P8" s="763"/>
      <c r="Q8" s="428"/>
      <c r="AA8" s="686"/>
      <c r="AB8" s="769">
        <v>1</v>
      </c>
    </row>
    <row customHeight="1" ht="15.75">
      <c r="C9" s="187"/>
      <c r="D9" s="722"/>
      <c r="E9" s="2397" t="s">
        <v>116</v>
      </c>
      <c r="F9" s="2398"/>
      <c r="G9" s="2425" t="str">
        <f>IF(G8="","",INDEX(DIFFERENTIATION_UNMERGE_VD,MATCH(G8,DIFFERENTIATION_ID_DIFF,0)))</f>
        <v/>
      </c>
      <c r="H9" s="2426"/>
      <c r="I9" s="2425"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9" s="2426"/>
      <c r="K9" s="2425" t="str">
        <f>IF(K8="","",INDEX(DIFFERENTIATION_UNMERGE_VD,MATCH(K8,DIFFERENTIATION_ID_DIFF,0)))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L9" s="2426"/>
      <c r="M9" s="2425" t="str">
        <f>IF(M8="","",INDEX(DIFFERENTIATION_UNMERGE_VD,MATCH(M8,DIFFERENTIATION_ID_DIFF,0)))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N9" s="2426"/>
      <c r="O9" s="2425" t="str">
        <f>IF(O8="","",INDEX(DIFFERENTIATION_UNMERGE_VD,MATCH(O8,DIFFERENTIATION_ID_DIFF,0)))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P9" s="2426"/>
      <c r="Q9" s="2205" t="s">
        <v>315</v>
      </c>
      <c r="AB9" s="516">
        <v>15</v>
      </c>
    </row>
    <row s="1646" customFormat="1" customHeight="1" ht="15.75">
      <c r="A10" s="770"/>
      <c r="C10" s="187"/>
      <c r="D10" s="722"/>
      <c r="E10" s="2397" t="s">
        <v>576</v>
      </c>
      <c r="F10" s="2398"/>
      <c r="G10" s="2425" t="str">
        <f>IF(G8="","",INDEX(DIFFERENTIATION_UNMERGE_AREA,MATCH(G8,DIFFERENTIATION_ID_DIFF,0)))</f>
        <v/>
      </c>
      <c r="H10" s="2426"/>
      <c r="I10" s="2425" t="str">
        <f>IF(I8="","",INDEX(DIFFERENTIATION_UNMERGE_AREA,MATCH(I8,DIFFERENTIATION_ID_DIFF,0)))</f>
        <v>Территория 1</v>
      </c>
      <c r="J10" s="2426"/>
      <c r="K10" s="2425" t="str">
        <f>IF(K8="","",INDEX(DIFFERENTIATION_UNMERGE_AREA,MATCH(K8,DIFFERENTIATION_ID_DIFF,0)))</f>
        <v>Территория 1</v>
      </c>
      <c r="L10" s="2426"/>
      <c r="M10" s="2425" t="str">
        <f>IF(M8="","",INDEX(DIFFERENTIATION_UNMERGE_AREA,MATCH(M8,DIFFERENTIATION_ID_DIFF,0)))</f>
        <v>Территория 2</v>
      </c>
      <c r="N10" s="2426"/>
      <c r="O10" s="2425" t="str">
        <f>IF(O8="","",INDEX(DIFFERENTIATION_UNMERGE_AREA,MATCH(O8,DIFFERENTIATION_ID_DIFF,0)))</f>
        <v>Территория 3</v>
      </c>
      <c r="P10" s="2426"/>
      <c r="Q10" s="2229"/>
      <c r="AA10" s="686"/>
      <c r="AB10" s="769">
        <v>15</v>
      </c>
    </row>
    <row s="1646" customFormat="1" customHeight="1" ht="15.75">
      <c r="A11" s="770"/>
      <c r="C11" s="187"/>
      <c r="D11" s="722"/>
      <c r="E11" s="2397" t="s">
        <v>577</v>
      </c>
      <c r="F11" s="2398"/>
      <c r="G11" s="2425" t="str">
        <f>IF(G8="","",INDEX(DIFFERENTIATION_UNMERGE_SYSTEM,MATCH(G8,DIFFERENTIATION_ID_DIFF,0)))</f>
        <v/>
      </c>
      <c r="H11" s="2426"/>
      <c r="I11" s="2425" t="str">
        <f>IF(I8="","",INDEX(DIFFERENTIATION_UNMERGE_SYSTEM,MATCH(I8,DIFFERENTIATION_ID_DIFF,0)))</f>
        <v>СП "Тепловые сети"</v>
      </c>
      <c r="J11" s="2426"/>
      <c r="K11" s="2425" t="str">
        <f>IF(K8="","",INDEX(DIFFERENTIATION_UNMERGE_SYSTEM,MATCH(K8,DIFFERENTIATION_ID_DIFF,0)))</f>
        <v>ОП "Энергетические сети"</v>
      </c>
      <c r="L11" s="2426"/>
      <c r="M11" s="2425" t="str">
        <f>IF(M8="","",INDEX(DIFFERENTIATION_UNMERGE_SYSTEM,MATCH(M8,DIFFERENTIATION_ID_DIFF,0)))</f>
        <v>без дифференциации</v>
      </c>
      <c r="N11" s="2426"/>
      <c r="O11" s="2425" t="str">
        <f>IF(O8="","",INDEX(DIFFERENTIATION_UNMERGE_SYSTEM,MATCH(O8,DIFFERENTIATION_ID_DIFF,0)))</f>
        <v>без дифференциации</v>
      </c>
      <c r="P11" s="2426"/>
      <c r="Q11" s="2229"/>
      <c r="AA11" s="686"/>
      <c r="AB11" s="769">
        <v>15</v>
      </c>
    </row>
    <row s="1646" customFormat="1" customHeight="1" ht="15.75">
      <c r="A12" s="770"/>
      <c r="C12" s="187"/>
      <c r="D12" s="2399" t="s">
        <v>314</v>
      </c>
      <c r="E12" s="2400"/>
      <c r="F12" s="2400"/>
      <c r="G12" s="898"/>
      <c r="H12" s="898"/>
      <c r="I12" s="898"/>
      <c r="J12" s="898"/>
      <c r="K12" s="2397"/>
      <c r="L12" s="2397"/>
      <c r="M12" s="2397"/>
      <c r="N12" s="2397"/>
      <c r="O12" s="2397"/>
      <c r="P12" s="2397"/>
      <c r="Q12" s="2229"/>
      <c r="AA12" s="686"/>
      <c r="AB12" s="769">
        <v>15</v>
      </c>
    </row>
    <row customHeight="1" ht="35.699999999999996">
      <c r="C13" s="187"/>
      <c r="D13" s="816" t="s">
        <v>89</v>
      </c>
      <c r="E13" s="818" t="s">
        <v>316</v>
      </c>
      <c r="F13" s="818" t="s">
        <v>578</v>
      </c>
      <c r="G13" s="819" t="s">
        <v>317</v>
      </c>
      <c r="H13" s="818" t="s">
        <v>404</v>
      </c>
      <c r="I13" s="819" t="s">
        <v>317</v>
      </c>
      <c r="J13" s="818" t="s">
        <v>404</v>
      </c>
      <c r="K13" s="2292" t="s">
        <v>317</v>
      </c>
      <c r="L13" s="2342" t="s">
        <v>404</v>
      </c>
      <c r="M13" s="2292" t="s">
        <v>317</v>
      </c>
      <c r="N13" s="2342" t="s">
        <v>404</v>
      </c>
      <c r="O13" s="2292" t="s">
        <v>317</v>
      </c>
      <c r="P13" s="2342" t="s">
        <v>404</v>
      </c>
      <c r="Q13" s="2262"/>
      <c r="AB13" s="516">
        <v>34</v>
      </c>
    </row>
    <row customHeight="1" ht="15" hidden="1">
      <c r="C14" s="187"/>
      <c r="D14" s="604" t="s">
        <v>120</v>
      </c>
      <c r="E14" s="604" t="s">
        <v>104</v>
      </c>
      <c r="F14" s="604" t="s">
        <v>91</v>
      </c>
      <c r="G14" s="670" t="str">
        <f>G1&amp;".1"</f>
        <v>4.1</v>
      </c>
      <c r="H14" s="670"/>
      <c r="I14" s="670" t="str">
        <f>I1&amp;".1"</f>
        <v>4.1</v>
      </c>
      <c r="J14" s="670"/>
      <c r="K14" s="694" t="str">
        <f>K1&amp;".1"</f>
        <v>3.1</v>
      </c>
      <c r="L14" s="694"/>
      <c r="M14" s="694" t="str">
        <f>M1&amp;".1"</f>
        <v>4.1</v>
      </c>
      <c r="N14" s="694"/>
      <c r="O14" s="694" t="str">
        <f>O1&amp;".1"</f>
        <v>4.1</v>
      </c>
      <c r="P14" s="694"/>
      <c r="Q14" s="300"/>
      <c r="AB14" s="516">
        <v>0</v>
      </c>
    </row>
    <row customHeight="1" ht="22.5" hidden="1">
      <c r="A15" s="516"/>
      <c r="C15" s="537"/>
      <c r="D15" s="532">
        <v>1</v>
      </c>
      <c r="E15" s="688" t="s">
        <v>901</v>
      </c>
      <c r="F15" s="532" t="s">
        <v>902</v>
      </c>
      <c r="G15" s="689"/>
      <c r="H15" s="689"/>
      <c r="I15" s="689"/>
      <c r="J15" s="689"/>
      <c r="K15" s="689"/>
      <c r="L15" s="689"/>
      <c r="M15" s="689"/>
      <c r="N15" s="689"/>
      <c r="O15" s="689"/>
      <c r="P15" s="689"/>
      <c r="Q15" s="300" t="s">
        <v>903</v>
      </c>
      <c r="AB15" s="516">
        <v>0</v>
      </c>
    </row>
    <row customHeight="1" ht="22.5" hidden="1">
      <c r="A16" s="516"/>
      <c r="C16" s="537"/>
      <c r="D16" s="532">
        <v>2</v>
      </c>
      <c r="E16" s="290" t="s">
        <v>904</v>
      </c>
      <c r="F16" s="532" t="s">
        <v>905</v>
      </c>
      <c r="G16" s="689"/>
      <c r="H16" s="689"/>
      <c r="I16" s="689"/>
      <c r="J16" s="689"/>
      <c r="K16" s="689"/>
      <c r="L16" s="689"/>
      <c r="M16" s="689"/>
      <c r="N16" s="689"/>
      <c r="O16" s="689"/>
      <c r="P16" s="689"/>
      <c r="Q16" s="300" t="s">
        <v>906</v>
      </c>
      <c r="AB16" s="516">
        <v>0</v>
      </c>
    </row>
    <row customHeight="1" ht="123.75" hidden="1">
      <c r="A17" s="516"/>
      <c r="C17" s="537"/>
      <c r="D17" s="532">
        <v>3</v>
      </c>
      <c r="E17" s="290" t="s">
        <v>1432</v>
      </c>
      <c r="F17" s="532" t="s">
        <v>320</v>
      </c>
      <c r="G17" s="689"/>
      <c r="H17" s="689"/>
      <c r="I17" s="689"/>
      <c r="J17" s="689"/>
      <c r="K17" s="689"/>
      <c r="L17" s="689"/>
      <c r="M17" s="689"/>
      <c r="N17" s="689"/>
      <c r="O17" s="689"/>
      <c r="P17" s="689"/>
      <c r="Q17" s="300" t="s">
        <v>1433</v>
      </c>
      <c r="AB17" s="516">
        <v>0</v>
      </c>
    </row>
    <row customHeight="1" ht="48.29999999999999">
      <c r="A18" s="516"/>
      <c r="C18" s="537"/>
      <c r="D18" s="532">
        <v>3</v>
      </c>
      <c r="E18" s="290" t="s">
        <v>907</v>
      </c>
      <c r="F18" s="532" t="s">
        <v>320</v>
      </c>
      <c r="G18" s="820" t="s">
        <v>320</v>
      </c>
      <c r="H18" s="821" t="s">
        <v>320</v>
      </c>
      <c r="I18" s="532" t="s">
        <v>320</v>
      </c>
      <c r="J18" s="589" t="s">
        <v>320</v>
      </c>
      <c r="K18" s="2342" t="s">
        <v>320</v>
      </c>
      <c r="L18" s="2290" t="s">
        <v>320</v>
      </c>
      <c r="M18" s="2342" t="s">
        <v>320</v>
      </c>
      <c r="N18" s="2290" t="s">
        <v>320</v>
      </c>
      <c r="O18" s="2342" t="s">
        <v>320</v>
      </c>
      <c r="P18" s="2290" t="s">
        <v>320</v>
      </c>
      <c r="Q18" s="300" t="s">
        <v>1434</v>
      </c>
      <c r="AB18" s="516">
        <v>46</v>
      </c>
    </row>
    <row customHeight="1" ht="35.699999999999996">
      <c r="A19" s="516"/>
      <c r="C19" s="537"/>
      <c r="D19" s="550" t="s">
        <v>338</v>
      </c>
      <c r="E19" s="570" t="s">
        <v>909</v>
      </c>
      <c r="F19" s="532" t="s">
        <v>910</v>
      </c>
      <c r="G19" s="828"/>
      <c r="H19" s="117"/>
      <c r="I19" s="828"/>
      <c r="J19" s="829"/>
      <c r="K19" s="828"/>
      <c r="L19" s="2531"/>
      <c r="M19" s="828"/>
      <c r="N19" s="2531"/>
      <c r="O19" s="828"/>
      <c r="P19" s="2531"/>
      <c r="Q19" s="690"/>
      <c r="AB19" s="516">
        <v>34</v>
      </c>
    </row>
    <row customHeight="1" ht="35.699999999999996">
      <c r="A20" s="516"/>
      <c r="C20" s="537"/>
      <c r="D20" s="1898" t="s">
        <v>346</v>
      </c>
      <c r="E20" s="570" t="s">
        <v>911</v>
      </c>
      <c r="F20" s="532" t="s">
        <v>912</v>
      </c>
      <c r="G20" s="828"/>
      <c r="H20" s="117"/>
      <c r="I20" s="828"/>
      <c r="J20" s="117"/>
      <c r="K20" s="828"/>
      <c r="L20" s="2531"/>
      <c r="M20" s="828"/>
      <c r="N20" s="2531"/>
      <c r="O20" s="828"/>
      <c r="P20" s="2531"/>
      <c r="Q20" s="690"/>
      <c r="AB20" s="516">
        <v>34</v>
      </c>
    </row>
    <row customHeight="1" ht="48.29999999999999">
      <c r="A21" s="516"/>
      <c r="C21" s="537"/>
      <c r="D21" s="1898" t="s">
        <v>348</v>
      </c>
      <c r="E21" s="570" t="s">
        <v>913</v>
      </c>
      <c r="F21" s="532" t="s">
        <v>595</v>
      </c>
      <c r="G21" s="691"/>
      <c r="H21" s="117"/>
      <c r="I21" s="691"/>
      <c r="J21" s="117"/>
      <c r="K21" s="691"/>
      <c r="L21" s="2531"/>
      <c r="M21" s="691"/>
      <c r="N21" s="2531"/>
      <c r="O21" s="691"/>
      <c r="P21" s="2531"/>
      <c r="Q21" s="690"/>
      <c r="AB21" s="516">
        <v>46</v>
      </c>
    </row>
    <row customHeight="1" ht="67.5" hidden="1">
      <c r="A22" s="516"/>
      <c r="C22" s="537"/>
      <c r="D22" s="532">
        <v>5</v>
      </c>
      <c r="E22" s="290" t="s">
        <v>1435</v>
      </c>
      <c r="F22" s="532" t="s">
        <v>570</v>
      </c>
      <c r="G22" s="692"/>
      <c r="H22" s="693"/>
      <c r="I22" s="692"/>
      <c r="J22" s="693"/>
      <c r="K22" s="692"/>
      <c r="L22" s="1450"/>
      <c r="M22" s="692"/>
      <c r="N22" s="1450"/>
      <c r="O22" s="692"/>
      <c r="P22" s="1450"/>
      <c r="Q22" s="300" t="s">
        <v>1436</v>
      </c>
      <c r="AB22" s="516">
        <v>0</v>
      </c>
    </row>
    <row customHeight="1" ht="33.75" hidden="1">
      <c r="C23" s="462"/>
      <c r="D23" s="532">
        <v>6</v>
      </c>
      <c r="E23" s="290" t="s">
        <v>1437</v>
      </c>
      <c r="F23" s="532" t="s">
        <v>1438</v>
      </c>
      <c r="G23" s="692"/>
      <c r="H23" s="692"/>
      <c r="I23" s="692"/>
      <c r="J23" s="692"/>
      <c r="K23" s="692"/>
      <c r="L23" s="692"/>
      <c r="M23" s="692"/>
      <c r="N23" s="692"/>
      <c r="O23" s="692"/>
      <c r="P23" s="692"/>
      <c r="Q23" s="300" t="s">
        <v>1439</v>
      </c>
      <c r="AB23" s="516">
        <v>0</v>
      </c>
    </row>
    <row customHeight="1" ht="15.75">
      <c r="K24" s="1646"/>
      <c r="L24" s="1646"/>
      <c r="M24" s="1646"/>
      <c r="N24" s="1646"/>
      <c r="O24" s="1646"/>
      <c r="P24" s="1646"/>
      <c r="AB24" s="516">
        <v>15</v>
      </c>
    </row>
    <row customHeight="1" ht="15.75">
      <c r="K25" s="1646"/>
      <c r="L25" s="1646"/>
      <c r="M25" s="1646"/>
      <c r="N25" s="1646"/>
      <c r="O25" s="1646"/>
      <c r="P25" s="1646"/>
      <c r="AB25" s="516">
        <v>15</v>
      </c>
    </row>
    <row customHeight="1" ht="15.75">
      <c r="K26" s="1646"/>
      <c r="L26" s="1646"/>
      <c r="M26" s="1646"/>
      <c r="N26" s="1646"/>
      <c r="O26" s="1646"/>
      <c r="P26" s="1646"/>
      <c r="AB26" s="516">
        <v>15</v>
      </c>
    </row>
    <row customHeight="1" ht="15.75">
      <c r="K27" s="1646"/>
      <c r="L27" s="1646"/>
      <c r="M27" s="1646"/>
      <c r="N27" s="1646"/>
      <c r="O27" s="1646"/>
      <c r="P27" s="1646"/>
      <c r="AB27" s="516">
        <v>15</v>
      </c>
    </row>
    <row customHeight="1" ht="15.75">
      <c r="K28" s="1646"/>
      <c r="L28" s="1646"/>
      <c r="M28" s="1646"/>
      <c r="N28" s="1646"/>
      <c r="O28" s="1646"/>
      <c r="P28" s="1646"/>
      <c r="AB28" s="516">
        <v>15</v>
      </c>
    </row>
    <row customHeight="1" ht="15.75">
      <c r="J29" s="830"/>
      <c r="K29" s="1646"/>
      <c r="L29" s="1646"/>
      <c r="M29" s="1646"/>
      <c r="N29" s="1646"/>
      <c r="O29" s="1646"/>
      <c r="P29" s="1646"/>
      <c r="AB29" s="516">
        <v>15</v>
      </c>
    </row>
    <row customHeight="1" ht="22.5" hidden="1">
      <c r="A30" s="460" t="s">
        <v>83</v>
      </c>
      <c r="B30" s="516">
        <v>0</v>
      </c>
      <c r="C30" s="694">
        <v>4</v>
      </c>
      <c r="D30" s="516">
        <v>6</v>
      </c>
      <c r="E30" s="516">
        <v>47</v>
      </c>
      <c r="F30" s="516">
        <v>9</v>
      </c>
      <c r="G30" s="769">
        <v>0</v>
      </c>
      <c r="H30" s="769">
        <v>0</v>
      </c>
      <c r="I30" s="516">
        <v>25</v>
      </c>
      <c r="J30" s="516">
        <v>33</v>
      </c>
      <c r="K30" s="1646">
        <v>0</v>
      </c>
      <c r="L30" s="1646">
        <v>0</v>
      </c>
      <c r="M30" s="1646">
        <v>0</v>
      </c>
      <c r="N30" s="1646">
        <v>0</v>
      </c>
      <c r="O30" s="1646">
        <v>0</v>
      </c>
      <c r="P30" s="1646">
        <v>0</v>
      </c>
      <c r="Q30" s="428">
        <v>50</v>
      </c>
      <c r="R30" s="516">
        <v>10</v>
      </c>
      <c r="S30" s="516">
        <v>10</v>
      </c>
      <c r="T30" s="516">
        <v>10</v>
      </c>
      <c r="U30" s="516">
        <v>10</v>
      </c>
      <c r="V30" s="516">
        <v>10</v>
      </c>
      <c r="W30" s="516">
        <v>10</v>
      </c>
      <c r="X30" s="516">
        <v>10</v>
      </c>
      <c r="Y30" s="516">
        <v>10</v>
      </c>
      <c r="Z30" s="516">
        <v>10</v>
      </c>
      <c r="AA30" s="686">
        <v>10</v>
      </c>
      <c r="AB30" s="516">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5808C98-2728-E3EE-9008-79B724EE5C6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3" width="32.57421875" customWidth="1"/>
    <col min="2" max="2" style="1858" width="11.00390625" customWidth="1"/>
    <col min="3" max="3" style="1858" width="9.140625"/>
    <col min="4" max="4" style="1858" width="26.57421875" customWidth="1"/>
    <col min="5" max="5" style="1833" width="36.8515625" customWidth="1"/>
    <col min="6" max="6" style="1833" width="41.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8" style="1077" width="34.57421875" customWidth="1"/>
    <col min="59" max="59" style="1833"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8" customFormat="1" customHeight="1" ht="11.25">
      <c r="A1" s="1078" t="s">
        <v>1440</v>
      </c>
      <c r="B1" s="1078" t="s">
        <v>1441</v>
      </c>
      <c r="C1" s="1078" t="s">
        <v>1442</v>
      </c>
      <c r="D1" s="1078" t="s">
        <v>1443</v>
      </c>
      <c r="E1" s="1078" t="s">
        <v>1444</v>
      </c>
      <c r="F1" s="1078" t="s">
        <v>1445</v>
      </c>
      <c r="G1" s="1078" t="s">
        <v>1446</v>
      </c>
      <c r="H1" s="1078" t="s">
        <v>1447</v>
      </c>
      <c r="I1" s="1078" t="s">
        <v>1448</v>
      </c>
      <c r="J1" s="1078" t="s">
        <v>1449</v>
      </c>
      <c r="K1" s="1078" t="s">
        <v>1450</v>
      </c>
      <c r="L1" s="1078" t="s">
        <v>1451</v>
      </c>
      <c r="M1" s="1078"/>
      <c r="N1" s="1078" t="s">
        <v>1452</v>
      </c>
      <c r="O1" s="1078" t="s">
        <v>1453</v>
      </c>
      <c r="P1" s="1078" t="s">
        <v>1454</v>
      </c>
      <c r="Q1" s="1078" t="s">
        <v>1455</v>
      </c>
      <c r="R1" s="1078" t="s">
        <v>1456</v>
      </c>
      <c r="S1" s="1078" t="s">
        <v>1457</v>
      </c>
      <c r="T1" s="1078" t="s">
        <v>1458</v>
      </c>
      <c r="U1" s="1078" t="s">
        <v>1459</v>
      </c>
      <c r="V1" s="1078"/>
      <c r="W1" s="808" t="s">
        <v>1460</v>
      </c>
      <c r="X1" s="1078" t="s">
        <v>1461</v>
      </c>
      <c r="Y1" s="1078" t="s">
        <v>1462</v>
      </c>
      <c r="Z1" s="1078"/>
      <c r="AA1" s="1078" t="s">
        <v>1463</v>
      </c>
      <c r="AB1" s="1078"/>
      <c r="AC1" s="1078" t="s">
        <v>1464</v>
      </c>
      <c r="AD1" s="1078"/>
      <c r="AF1" s="1078" t="s">
        <v>1465</v>
      </c>
      <c r="AH1" s="1078" t="s">
        <v>1466</v>
      </c>
      <c r="AI1" s="1078" t="s">
        <v>1467</v>
      </c>
      <c r="AK1" s="1078" t="s">
        <v>1468</v>
      </c>
      <c r="AM1" s="1078" t="s">
        <v>1469</v>
      </c>
      <c r="AP1" s="1078" t="s">
        <v>1470</v>
      </c>
      <c r="AQ1" s="1078" t="s">
        <v>1471</v>
      </c>
      <c r="AS1" s="1078" t="s">
        <v>1472</v>
      </c>
      <c r="AU1" s="1078" t="s">
        <v>1473</v>
      </c>
      <c r="AW1" s="1078" t="s">
        <v>1474</v>
      </c>
      <c r="AX1" s="1078" t="s">
        <v>1475</v>
      </c>
      <c r="AZ1" s="1163" t="s">
        <v>1476</v>
      </c>
      <c r="BB1" s="1078" t="s">
        <v>1477</v>
      </c>
      <c r="BC1" s="1078"/>
      <c r="BE1" s="1078" t="s">
        <v>1478</v>
      </c>
      <c r="BF1" s="1078" t="s">
        <v>1479</v>
      </c>
      <c r="BH1" s="1080" t="s">
        <v>900</v>
      </c>
      <c r="BI1" s="1081"/>
      <c r="BJ1" s="1082" t="s">
        <v>1480</v>
      </c>
      <c r="BK1" s="1081"/>
      <c r="BL1" s="1083" t="s">
        <v>1000</v>
      </c>
      <c r="BM1" s="1081"/>
      <c r="BN1" s="1084" t="s">
        <v>1481</v>
      </c>
      <c r="BS1" s="1438"/>
    </row>
    <row customHeight="1" ht="11.25">
      <c r="A2" s="1085" t="s">
        <v>1482</v>
      </c>
      <c r="B2" s="1086">
        <v>2000</v>
      </c>
      <c r="C2" s="1086">
        <v>2022</v>
      </c>
      <c r="D2" s="1086" t="s">
        <v>63</v>
      </c>
      <c r="E2" s="1087" t="s">
        <v>1483</v>
      </c>
      <c r="F2" s="1087" t="s">
        <v>1484</v>
      </c>
      <c r="G2" s="1087" t="s">
        <v>1485</v>
      </c>
      <c r="H2" s="1088" t="s">
        <v>55</v>
      </c>
      <c r="I2" s="1087" t="s">
        <v>120</v>
      </c>
      <c r="J2" s="1087" t="s">
        <v>1486</v>
      </c>
      <c r="K2" s="1089" t="s">
        <v>1487</v>
      </c>
      <c r="L2" s="1090"/>
      <c r="M2" s="1089">
        <v>1</v>
      </c>
      <c r="N2" s="1173" t="s">
        <v>1488</v>
      </c>
      <c r="O2" s="1088" t="s">
        <v>1489</v>
      </c>
      <c r="P2" s="1091" t="s">
        <v>38</v>
      </c>
      <c r="Q2" s="1092" t="s">
        <v>1490</v>
      </c>
      <c r="R2" s="154" t="s">
        <v>1491</v>
      </c>
      <c r="S2" s="154" t="s">
        <v>1492</v>
      </c>
      <c r="T2" s="1093" t="s">
        <v>1493</v>
      </c>
      <c r="U2" s="1090" t="s">
        <v>1494</v>
      </c>
      <c r="V2" s="1094">
        <v>1</v>
      </c>
      <c r="W2" s="1095"/>
      <c r="X2" s="1095" t="s">
        <v>1495</v>
      </c>
      <c r="Y2" s="1086" t="s">
        <v>1496</v>
      </c>
      <c r="Z2" s="1096"/>
      <c r="AA2" s="1086" t="s">
        <v>1497</v>
      </c>
      <c r="AB2" s="1097" t="s">
        <v>1497</v>
      </c>
      <c r="AC2" s="1086" t="s">
        <v>1498</v>
      </c>
      <c r="AD2" s="1097" t="s">
        <v>1498</v>
      </c>
      <c r="AF2" s="1088" t="s">
        <v>1494</v>
      </c>
      <c r="AH2" s="1087" t="s">
        <v>1499</v>
      </c>
      <c r="AI2" s="1087" t="s">
        <v>1499</v>
      </c>
      <c r="AK2" s="1087" t="s">
        <v>1500</v>
      </c>
      <c r="AM2" s="1087" t="s">
        <v>1501</v>
      </c>
      <c r="AP2" s="1098" t="s">
        <v>1495</v>
      </c>
      <c r="AQ2" s="1099" t="s">
        <v>1495</v>
      </c>
      <c r="AS2" s="1086" t="s">
        <v>1502</v>
      </c>
      <c r="AU2" s="1131" t="s">
        <v>1503</v>
      </c>
      <c r="AW2" s="1131" t="s">
        <v>1504</v>
      </c>
      <c r="AX2" s="1131" t="s">
        <v>1504</v>
      </c>
      <c r="AZ2" s="1131" t="s">
        <v>53</v>
      </c>
      <c r="BB2" s="1131" t="s">
        <v>581</v>
      </c>
      <c r="BC2" s="1131" t="s">
        <v>582</v>
      </c>
      <c r="BE2" s="2096" t="s">
        <v>1154</v>
      </c>
      <c r="BF2" s="2096" t="s">
        <v>1154</v>
      </c>
    </row>
    <row customHeight="1" ht="11.25">
      <c r="A3" s="1085" t="s">
        <v>1505</v>
      </c>
      <c r="B3" s="1086">
        <v>2001</v>
      </c>
      <c r="C3" s="1086">
        <v>2023</v>
      </c>
      <c r="D3" s="1086" t="s">
        <v>19</v>
      </c>
      <c r="E3" s="1087" t="s">
        <v>1506</v>
      </c>
      <c r="F3" s="1087" t="s">
        <v>1507</v>
      </c>
      <c r="G3" s="1087" t="s">
        <v>1508</v>
      </c>
      <c r="H3" s="1088" t="s">
        <v>1509</v>
      </c>
      <c r="I3" s="1087" t="s">
        <v>104</v>
      </c>
      <c r="J3" s="1087" t="s">
        <v>568</v>
      </c>
      <c r="K3" s="1089" t="s">
        <v>1510</v>
      </c>
      <c r="L3" s="1090">
        <f>_xlfn.IFERROR(MATCH(K3,OFFER_METHOD,0),0)</f>
        <v>0</v>
      </c>
      <c r="M3" s="1089">
        <v>2</v>
      </c>
      <c r="N3" s="1173" t="s">
        <v>1511</v>
      </c>
      <c r="O3" s="1088" t="s">
        <v>1512</v>
      </c>
      <c r="P3" s="1091" t="s">
        <v>1513</v>
      </c>
      <c r="Q3" s="1092" t="s">
        <v>1514</v>
      </c>
      <c r="R3" s="154" t="s">
        <v>1515</v>
      </c>
      <c r="S3" s="154" t="s">
        <v>1516</v>
      </c>
      <c r="T3" s="1093" t="s">
        <v>1517</v>
      </c>
      <c r="U3" s="1090" t="s">
        <v>1518</v>
      </c>
      <c r="V3" s="1094">
        <v>2</v>
      </c>
      <c r="W3" s="1095"/>
      <c r="X3" s="1095" t="s">
        <v>1519</v>
      </c>
      <c r="Y3" s="1086" t="s">
        <v>1496</v>
      </c>
      <c r="Z3" s="1096"/>
      <c r="AA3" s="1086" t="s">
        <v>1520</v>
      </c>
      <c r="AB3" s="1097" t="s">
        <v>1520</v>
      </c>
      <c r="AC3" s="1086" t="s">
        <v>1521</v>
      </c>
      <c r="AD3" s="1097" t="s">
        <v>1521</v>
      </c>
      <c r="AF3" s="1088" t="s">
        <v>1518</v>
      </c>
      <c r="AH3" s="1087" t="s">
        <v>1522</v>
      </c>
      <c r="AI3" s="1087" t="s">
        <v>1523</v>
      </c>
      <c r="AK3" s="1087" t="s">
        <v>1524</v>
      </c>
      <c r="AM3" s="1087" t="s">
        <v>1525</v>
      </c>
      <c r="AP3" s="1098" t="s">
        <v>1526</v>
      </c>
      <c r="AQ3" s="1099" t="s">
        <v>1526</v>
      </c>
      <c r="AS3" s="1086" t="s">
        <v>1527</v>
      </c>
      <c r="AU3" s="1131" t="s">
        <v>1528</v>
      </c>
      <c r="AW3" s="1131" t="s">
        <v>1529</v>
      </c>
      <c r="AX3" s="1131" t="s">
        <v>1529</v>
      </c>
      <c r="AZ3" s="1131" t="s">
        <v>1530</v>
      </c>
      <c r="BB3" s="1131" t="s">
        <v>1531</v>
      </c>
      <c r="BC3" s="1131" t="s">
        <v>582</v>
      </c>
      <c r="BE3" s="2096" t="s">
        <v>1145</v>
      </c>
      <c r="BF3" s="2096" t="s">
        <v>1145</v>
      </c>
      <c r="BH3" s="1078" t="s">
        <v>1532</v>
      </c>
      <c r="BJ3" s="1078" t="s">
        <v>1533</v>
      </c>
      <c r="BL3" s="1078" t="s">
        <v>1534</v>
      </c>
      <c r="BN3" s="1078" t="s">
        <v>1535</v>
      </c>
      <c r="BR3" s="1078" t="s">
        <v>1536</v>
      </c>
      <c r="BS3" s="1439"/>
      <c r="BT3" s="1081"/>
      <c r="BU3" s="1078" t="s">
        <v>1537</v>
      </c>
      <c r="BV3" s="1081"/>
      <c r="BW3" s="1700"/>
      <c r="BX3" s="1702" t="s">
        <v>1538</v>
      </c>
      <c r="CA3" s="1078" t="s">
        <v>1539</v>
      </c>
    </row>
    <row customHeight="1" ht="11.25">
      <c r="A4" s="1085" t="s">
        <v>1540</v>
      </c>
      <c r="B4" s="1086">
        <v>2002</v>
      </c>
      <c r="C4" s="1086">
        <v>2024</v>
      </c>
      <c r="E4" s="1087" t="s">
        <v>1541</v>
      </c>
      <c r="F4" s="1087" t="s">
        <v>1542</v>
      </c>
      <c r="H4" s="1088" t="s">
        <v>1543</v>
      </c>
      <c r="I4" s="1087" t="s">
        <v>91</v>
      </c>
      <c r="J4" s="1087" t="s">
        <v>1544</v>
      </c>
      <c r="K4" s="1089" t="s">
        <v>1545</v>
      </c>
      <c r="L4" s="1090">
        <f>_xlfn.IFERROR(MATCH(K4,OFFER_METHOD,0),0)</f>
        <v>0</v>
      </c>
      <c r="M4" s="1089">
        <v>3</v>
      </c>
      <c r="N4" s="1173" t="s">
        <v>1546</v>
      </c>
      <c r="O4" s="1087" t="s">
        <v>1547</v>
      </c>
      <c r="Q4" s="1092" t="s">
        <v>1548</v>
      </c>
      <c r="R4" s="154" t="s">
        <v>1549</v>
      </c>
      <c r="S4" s="154" t="s">
        <v>1550</v>
      </c>
      <c r="T4" s="1093" t="s">
        <v>1551</v>
      </c>
      <c r="U4" s="1090" t="s">
        <v>1552</v>
      </c>
      <c r="V4" s="1094">
        <v>3</v>
      </c>
      <c r="W4" s="1095"/>
      <c r="X4" s="1095" t="s">
        <v>1553</v>
      </c>
      <c r="Y4" s="1086" t="s">
        <v>1496</v>
      </c>
      <c r="Z4" s="1102"/>
      <c r="AC4" s="1086" t="s">
        <v>1554</v>
      </c>
      <c r="AD4" s="1097" t="s">
        <v>1554</v>
      </c>
      <c r="AF4" s="1088" t="s">
        <v>1552</v>
      </c>
      <c r="AH4" s="1088" t="s">
        <v>1555</v>
      </c>
      <c r="AK4" s="1087" t="s">
        <v>1556</v>
      </c>
      <c r="AM4" s="1087" t="s">
        <v>1557</v>
      </c>
      <c r="AP4" s="1098" t="s">
        <v>1519</v>
      </c>
      <c r="AQ4" s="1099" t="s">
        <v>1519</v>
      </c>
      <c r="AS4" s="1086" t="s">
        <v>1558</v>
      </c>
      <c r="AU4" s="1131" t="s">
        <v>1559</v>
      </c>
      <c r="AW4" s="1131" t="s">
        <v>1560</v>
      </c>
      <c r="AX4" s="1131" t="s">
        <v>1560</v>
      </c>
      <c r="AZ4" s="1131" t="s">
        <v>1561</v>
      </c>
      <c r="BB4" s="1131" t="s">
        <v>1562</v>
      </c>
      <c r="BC4" s="1131" t="s">
        <v>1563</v>
      </c>
      <c r="BE4" s="1131">
        <v>2000</v>
      </c>
      <c r="BF4" s="1131" t="s">
        <v>1137</v>
      </c>
      <c r="BH4" s="1079" t="s">
        <v>1564</v>
      </c>
      <c r="BJ4" s="1079" t="s">
        <v>1564</v>
      </c>
      <c r="BL4" s="1079" t="s">
        <v>1564</v>
      </c>
      <c r="BN4" s="1079" t="s">
        <v>1564</v>
      </c>
      <c r="BQ4" s="1443" t="s">
        <v>1565</v>
      </c>
      <c r="BR4" s="1170" t="s">
        <v>1566</v>
      </c>
      <c r="BS4" s="285"/>
      <c r="BT4" s="1443" t="s">
        <v>1567</v>
      </c>
      <c r="BU4" s="1170" t="s">
        <v>1568</v>
      </c>
      <c r="BV4" s="1081"/>
      <c r="BW4" s="1707" t="s">
        <v>1569</v>
      </c>
      <c r="BX4" s="1701" t="s">
        <v>1570</v>
      </c>
      <c r="BZ4" s="1443" t="s">
        <v>1571</v>
      </c>
      <c r="CA4" s="1170" t="s">
        <v>1572</v>
      </c>
    </row>
    <row customHeight="1" ht="11.25">
      <c r="A5" s="1085" t="s">
        <v>1573</v>
      </c>
      <c r="B5" s="1086">
        <v>2003</v>
      </c>
      <c r="C5" s="2102">
        <v>2025</v>
      </c>
      <c r="D5" s="1708" t="s">
        <v>1574</v>
      </c>
      <c r="E5" s="2103" t="s">
        <v>1575</v>
      </c>
      <c r="F5" s="1087" t="s">
        <v>1576</v>
      </c>
      <c r="H5" s="1088" t="s">
        <v>1577</v>
      </c>
      <c r="I5" s="1087" t="s">
        <v>92</v>
      </c>
      <c r="K5" s="1089" t="s">
        <v>1578</v>
      </c>
      <c r="L5" s="1090">
        <f>_xlfn.IFERROR(MATCH(K5,OFFER_METHOD,0),0)</f>
        <v>0</v>
      </c>
      <c r="M5" s="1089">
        <v>4</v>
      </c>
      <c r="N5" s="1103" t="s">
        <v>1579</v>
      </c>
      <c r="O5" s="1087" t="s">
        <v>1580</v>
      </c>
      <c r="Q5" s="1092" t="s">
        <v>1581</v>
      </c>
      <c r="R5" s="154" t="s">
        <v>1582</v>
      </c>
      <c r="T5" s="1088" t="s">
        <v>1583</v>
      </c>
      <c r="U5" s="1090" t="s">
        <v>1584</v>
      </c>
      <c r="V5" s="1094">
        <v>4</v>
      </c>
      <c r="W5" s="1095"/>
      <c r="X5" s="1095" t="s">
        <v>182</v>
      </c>
      <c r="Y5" s="1086" t="s">
        <v>1585</v>
      </c>
      <c r="Z5" s="1102">
        <v>1</v>
      </c>
      <c r="AF5" s="1088" t="s">
        <v>1586</v>
      </c>
      <c r="AH5" s="1087" t="s">
        <v>1587</v>
      </c>
      <c r="AK5" s="1087" t="s">
        <v>1588</v>
      </c>
      <c r="AM5" s="1087" t="s">
        <v>1589</v>
      </c>
      <c r="AP5" s="1098" t="s">
        <v>182</v>
      </c>
      <c r="AQ5" s="1099" t="s">
        <v>182</v>
      </c>
      <c r="AU5" s="1131" t="s">
        <v>1590</v>
      </c>
      <c r="AW5" s="1131" t="s">
        <v>1591</v>
      </c>
      <c r="AX5" s="1131" t="s">
        <v>1591</v>
      </c>
      <c r="AZ5" s="1131" t="s">
        <v>1592</v>
      </c>
      <c r="BB5" s="1131" t="s">
        <v>1593</v>
      </c>
      <c r="BC5" s="1131" t="s">
        <v>585</v>
      </c>
      <c r="BE5" s="1131">
        <v>2001</v>
      </c>
      <c r="BF5" s="1131" t="s">
        <v>1594</v>
      </c>
      <c r="BH5" s="1079" t="s">
        <v>1129</v>
      </c>
      <c r="BJ5" s="1079" t="s">
        <v>1129</v>
      </c>
      <c r="BL5" s="1079" t="s">
        <v>1129</v>
      </c>
      <c r="BN5" s="1079" t="s">
        <v>1595</v>
      </c>
      <c r="BQ5" s="1292">
        <v>4213775</v>
      </c>
      <c r="BR5" s="1079" t="s">
        <v>1495</v>
      </c>
      <c r="BS5" s="1440"/>
      <c r="BT5" s="1292">
        <v>64236871</v>
      </c>
      <c r="BU5" s="1079" t="s">
        <v>243</v>
      </c>
      <c r="BV5" s="1081"/>
      <c r="BW5" s="1705">
        <v>4213767</v>
      </c>
      <c r="BX5" s="1703" t="s">
        <v>1596</v>
      </c>
      <c r="BZ5" s="1292">
        <v>64237509</v>
      </c>
      <c r="CA5" s="1306" t="s">
        <v>1597</v>
      </c>
    </row>
    <row customHeight="1" ht="11.25">
      <c r="A6" s="1085" t="s">
        <v>1598</v>
      </c>
      <c r="B6" s="1086">
        <v>2004</v>
      </c>
      <c r="C6" s="2102">
        <v>2026</v>
      </c>
      <c r="D6" s="2104"/>
      <c r="E6" s="2103" t="s">
        <v>1599</v>
      </c>
      <c r="F6" s="1104"/>
      <c r="H6" s="1088" t="s">
        <v>1600</v>
      </c>
      <c r="I6" s="1087" t="s">
        <v>121</v>
      </c>
      <c r="J6" s="1078" t="s">
        <v>1601</v>
      </c>
      <c r="L6" s="1090">
        <f>SUM(kind_of_control_method_filter)</f>
        <v>0</v>
      </c>
      <c r="N6" s="1103" t="s">
        <v>1602</v>
      </c>
      <c r="O6" s="1087" t="s">
        <v>1603</v>
      </c>
      <c r="R6" s="154" t="s">
        <v>1490</v>
      </c>
      <c r="T6" s="1088" t="s">
        <v>1604</v>
      </c>
      <c r="U6" s="1090" t="s">
        <v>1586</v>
      </c>
      <c r="V6" s="1094">
        <v>5</v>
      </c>
      <c r="W6" s="1095"/>
      <c r="X6" s="1086" t="s">
        <v>188</v>
      </c>
      <c r="Y6" s="1086" t="s">
        <v>1605</v>
      </c>
      <c r="Z6" s="1102"/>
      <c r="AA6" s="1105"/>
      <c r="AH6" s="1087" t="s">
        <v>1606</v>
      </c>
      <c r="AK6" s="1087" t="s">
        <v>1607</v>
      </c>
      <c r="AM6" s="1087" t="s">
        <v>1608</v>
      </c>
      <c r="AP6" s="1098" t="s">
        <v>188</v>
      </c>
      <c r="AQ6" s="1099" t="s">
        <v>188</v>
      </c>
      <c r="AU6" s="1131" t="s">
        <v>1609</v>
      </c>
      <c r="AW6" s="1131" t="s">
        <v>1610</v>
      </c>
      <c r="AX6" s="1131" t="s">
        <v>1610</v>
      </c>
      <c r="BB6" s="1131" t="s">
        <v>1611</v>
      </c>
      <c r="BC6" s="1131" t="s">
        <v>585</v>
      </c>
      <c r="BE6" s="1131">
        <v>2002</v>
      </c>
      <c r="BF6" s="1131" t="s">
        <v>1612</v>
      </c>
      <c r="BH6" s="1079" t="s">
        <v>1613</v>
      </c>
      <c r="BJ6" s="1079" t="s">
        <v>1614</v>
      </c>
      <c r="BL6" s="1079" t="s">
        <v>1614</v>
      </c>
      <c r="BN6" s="1079" t="s">
        <v>1615</v>
      </c>
      <c r="BQ6" s="1292">
        <v>4213784</v>
      </c>
      <c r="BR6" s="1306" t="s">
        <v>1526</v>
      </c>
      <c r="BS6" s="1441"/>
      <c r="BT6" s="1292">
        <v>64236872</v>
      </c>
      <c r="BU6" s="1079" t="s">
        <v>248</v>
      </c>
      <c r="BV6" s="1081"/>
      <c r="BW6" s="1705">
        <v>4213768</v>
      </c>
      <c r="BX6" s="1703" t="s">
        <v>268</v>
      </c>
      <c r="BZ6" s="1292">
        <v>64237510</v>
      </c>
      <c r="CA6" s="1079" t="s">
        <v>1616</v>
      </c>
    </row>
    <row customHeight="1" ht="11.25">
      <c r="A7" s="1085" t="s">
        <v>1617</v>
      </c>
      <c r="B7" s="1086">
        <v>2005</v>
      </c>
      <c r="E7" s="1087" t="s">
        <v>1618</v>
      </c>
      <c r="F7" s="1104"/>
      <c r="H7" s="1088" t="s">
        <v>1619</v>
      </c>
      <c r="I7" s="1087" t="s">
        <v>93</v>
      </c>
      <c r="J7" s="1087" t="s">
        <v>1620</v>
      </c>
      <c r="N7" s="1107" t="s">
        <v>1621</v>
      </c>
      <c r="O7" s="1087" t="s">
        <v>1622</v>
      </c>
      <c r="U7" s="1090" t="s">
        <v>19</v>
      </c>
      <c r="V7" s="381" t="s">
        <v>93</v>
      </c>
      <c r="W7" s="1095"/>
      <c r="X7" s="1086" t="s">
        <v>194</v>
      </c>
      <c r="Y7" s="1086" t="s">
        <v>1585</v>
      </c>
      <c r="Z7" s="1102"/>
      <c r="AA7" s="1105"/>
      <c r="AH7" s="1087" t="s">
        <v>1623</v>
      </c>
      <c r="AK7" s="1087" t="s">
        <v>1624</v>
      </c>
      <c r="AM7" s="1087" t="s">
        <v>1625</v>
      </c>
      <c r="AP7" s="1098" t="s">
        <v>194</v>
      </c>
      <c r="AQ7" s="1099" t="s">
        <v>194</v>
      </c>
      <c r="AU7" s="1131" t="s">
        <v>1626</v>
      </c>
      <c r="AW7" s="1131" t="s">
        <v>1627</v>
      </c>
      <c r="AX7" s="1131" t="s">
        <v>1627</v>
      </c>
      <c r="AZ7" s="1078" t="s">
        <v>1628</v>
      </c>
      <c r="BB7" s="1131" t="s">
        <v>584</v>
      </c>
      <c r="BC7" s="1131" t="s">
        <v>585</v>
      </c>
      <c r="BE7" s="1131">
        <v>2003</v>
      </c>
      <c r="BF7" s="1131" t="s">
        <v>1629</v>
      </c>
      <c r="BH7" s="1079" t="s">
        <v>1630</v>
      </c>
      <c r="BJ7" s="1079" t="s">
        <v>1613</v>
      </c>
      <c r="BL7" s="1079" t="s">
        <v>1613</v>
      </c>
      <c r="BN7" s="1079" t="s">
        <v>1631</v>
      </c>
      <c r="BQ7" s="1292">
        <v>4213781</v>
      </c>
      <c r="BR7" s="1079" t="s">
        <v>1519</v>
      </c>
      <c r="BS7" s="1440"/>
      <c r="BT7" s="1292">
        <v>64236873</v>
      </c>
      <c r="BU7" s="1079" t="s">
        <v>253</v>
      </c>
      <c r="BV7" s="1081"/>
      <c r="BW7" s="1705">
        <v>4213769</v>
      </c>
      <c r="BX7" s="1703" t="s">
        <v>1632</v>
      </c>
      <c r="BZ7" s="1292">
        <v>64237511</v>
      </c>
      <c r="CA7" s="1079" t="s">
        <v>283</v>
      </c>
    </row>
    <row customHeight="1" ht="11.25">
      <c r="A8" s="1085" t="s">
        <v>1633</v>
      </c>
      <c r="B8" s="1086">
        <v>2006</v>
      </c>
      <c r="E8" s="1087" t="s">
        <v>1634</v>
      </c>
      <c r="F8" s="1104"/>
      <c r="H8" s="1088" t="s">
        <v>1635</v>
      </c>
      <c r="I8" s="1087" t="s">
        <v>94</v>
      </c>
      <c r="J8" s="1087" t="s">
        <v>1636</v>
      </c>
      <c r="N8" s="1174" t="s">
        <v>1637</v>
      </c>
      <c r="O8" s="1087" t="s">
        <v>1638</v>
      </c>
      <c r="V8" s="381" t="s">
        <v>94</v>
      </c>
      <c r="W8" s="1095"/>
      <c r="X8" s="1086" t="s">
        <v>200</v>
      </c>
      <c r="Y8" s="1086" t="s">
        <v>1585</v>
      </c>
      <c r="Z8" s="1102"/>
      <c r="AA8" s="1105"/>
      <c r="AK8" s="1087" t="s">
        <v>1639</v>
      </c>
      <c r="AP8" s="1098" t="s">
        <v>200</v>
      </c>
      <c r="AQ8" s="1099" t="s">
        <v>200</v>
      </c>
      <c r="AU8" s="1131" t="s">
        <v>1640</v>
      </c>
      <c r="AW8" s="1131" t="s">
        <v>1641</v>
      </c>
      <c r="AX8" s="1131" t="s">
        <v>1641</v>
      </c>
      <c r="AZ8" s="1131" t="s">
        <v>1377</v>
      </c>
      <c r="BB8" s="1131" t="s">
        <v>1642</v>
      </c>
      <c r="BC8" s="1131" t="s">
        <v>585</v>
      </c>
      <c r="BE8" s="1131">
        <v>2004</v>
      </c>
      <c r="BF8" s="1131" t="s">
        <v>1221</v>
      </c>
      <c r="BH8" s="1079" t="s">
        <v>1159</v>
      </c>
      <c r="BJ8" s="1079" t="s">
        <v>1643</v>
      </c>
      <c r="BL8" s="1079" t="s">
        <v>1643</v>
      </c>
      <c r="BN8" s="1079" t="s">
        <v>1644</v>
      </c>
      <c r="BQ8" s="1292">
        <v>4213776</v>
      </c>
      <c r="BR8" s="1079" t="s">
        <v>182</v>
      </c>
      <c r="BS8" s="1440"/>
      <c r="BT8" s="1292">
        <v>64236874</v>
      </c>
      <c r="BU8" s="1306" t="s">
        <v>1645</v>
      </c>
      <c r="BV8" s="1081"/>
      <c r="BW8" s="1705">
        <v>4213770</v>
      </c>
      <c r="BX8" s="1706" t="s">
        <v>1646</v>
      </c>
      <c r="BZ8" s="1292">
        <v>64237512</v>
      </c>
      <c r="CA8" s="1079" t="s">
        <v>278</v>
      </c>
    </row>
    <row customHeight="1" ht="11.25">
      <c r="A9" s="1085" t="s">
        <v>1647</v>
      </c>
      <c r="B9" s="1086">
        <v>2007</v>
      </c>
      <c r="E9" s="1087" t="s">
        <v>1648</v>
      </c>
      <c r="F9" s="2105" t="s">
        <v>1649</v>
      </c>
      <c r="G9" s="1078" t="s">
        <v>1650</v>
      </c>
      <c r="H9" s="1078" t="s">
        <v>1651</v>
      </c>
      <c r="I9" s="1087" t="s">
        <v>122</v>
      </c>
      <c r="O9" s="1087" t="s">
        <v>1652</v>
      </c>
      <c r="V9" s="381" t="s">
        <v>122</v>
      </c>
      <c r="W9" s="1095"/>
      <c r="X9" s="1086" t="s">
        <v>206</v>
      </c>
      <c r="Y9" s="1086" t="s">
        <v>1496</v>
      </c>
      <c r="Z9" s="1102">
        <v>1</v>
      </c>
      <c r="AA9" s="1105"/>
      <c r="AK9" s="1087" t="s">
        <v>592</v>
      </c>
      <c r="AP9" s="1098" t="s">
        <v>1653</v>
      </c>
      <c r="AQ9" s="1099" t="s">
        <v>1653</v>
      </c>
      <c r="AW9" s="1131" t="s">
        <v>1654</v>
      </c>
      <c r="AX9" s="1131" t="s">
        <v>1654</v>
      </c>
      <c r="AZ9" s="1131" t="s">
        <v>1655</v>
      </c>
      <c r="BB9" s="1131" t="s">
        <v>1656</v>
      </c>
      <c r="BC9" s="1131" t="s">
        <v>585</v>
      </c>
      <c r="BE9" s="1131">
        <v>2005</v>
      </c>
      <c r="BF9" s="1131" t="s">
        <v>1657</v>
      </c>
      <c r="BH9" s="1079" t="s">
        <v>1658</v>
      </c>
      <c r="BJ9" s="1079" t="s">
        <v>1659</v>
      </c>
      <c r="BL9" s="1079" t="s">
        <v>1659</v>
      </c>
      <c r="BN9" s="1079" t="s">
        <v>1660</v>
      </c>
      <c r="BQ9" s="1292">
        <v>4213777</v>
      </c>
      <c r="BR9" s="1079" t="s">
        <v>188</v>
      </c>
      <c r="BS9" s="1440"/>
      <c r="BT9" s="1292">
        <v>64236875</v>
      </c>
      <c r="BU9" s="1079" t="s">
        <v>258</v>
      </c>
      <c r="BV9" s="1081"/>
      <c r="BW9" s="1700"/>
      <c r="BX9" s="1700"/>
    </row>
    <row customHeight="1" ht="11.25">
      <c r="A10" s="1085" t="s">
        <v>1661</v>
      </c>
      <c r="B10" s="1086">
        <v>2008</v>
      </c>
      <c r="E10" s="1089" t="s">
        <v>1662</v>
      </c>
      <c r="F10" s="2106" t="s">
        <v>1663</v>
      </c>
      <c r="G10" s="2103" t="s">
        <v>1664</v>
      </c>
      <c r="H10" s="1087" t="s">
        <v>1665</v>
      </c>
      <c r="I10" s="1087" t="s">
        <v>164</v>
      </c>
      <c r="J10" s="1078" t="s">
        <v>1666</v>
      </c>
      <c r="K10" s="1078" t="s">
        <v>1667</v>
      </c>
      <c r="O10" s="1087" t="s">
        <v>1668</v>
      </c>
      <c r="V10" s="382" t="s">
        <v>164</v>
      </c>
      <c r="W10" s="1108"/>
      <c r="X10" s="1108" t="s">
        <v>1669</v>
      </c>
      <c r="Y10" s="1109" t="s">
        <v>1670</v>
      </c>
      <c r="Z10" s="1102"/>
      <c r="AP10" s="1098" t="s">
        <v>1669</v>
      </c>
      <c r="AQ10" s="1099" t="s">
        <v>1669</v>
      </c>
      <c r="AW10" s="1131" t="s">
        <v>1671</v>
      </c>
      <c r="AX10" s="1131" t="s">
        <v>1671</v>
      </c>
      <c r="AZ10" s="1131" t="s">
        <v>1672</v>
      </c>
      <c r="BB10" s="1131" t="s">
        <v>1673</v>
      </c>
      <c r="BC10" s="1131" t="s">
        <v>585</v>
      </c>
      <c r="BE10" s="1131">
        <v>2006</v>
      </c>
      <c r="BF10" s="1131" t="s">
        <v>1674</v>
      </c>
      <c r="BH10" s="1079" t="s">
        <v>1139</v>
      </c>
      <c r="BJ10" s="1079" t="s">
        <v>1675</v>
      </c>
      <c r="BL10" s="1079" t="s">
        <v>1675</v>
      </c>
      <c r="BN10" s="1079" t="s">
        <v>1676</v>
      </c>
      <c r="BQ10" s="1292">
        <v>4213778</v>
      </c>
      <c r="BR10" s="1079" t="s">
        <v>194</v>
      </c>
      <c r="BS10" s="1440"/>
      <c r="BT10" s="1292">
        <v>64236876</v>
      </c>
      <c r="BU10" s="1079" t="s">
        <v>238</v>
      </c>
      <c r="BV10" s="1081"/>
      <c r="BW10" s="1700"/>
      <c r="BX10" s="1700"/>
    </row>
    <row customHeight="1" ht="11.25">
      <c r="A11" s="1085" t="s">
        <v>1677</v>
      </c>
      <c r="B11" s="1086">
        <v>2009</v>
      </c>
      <c r="E11" s="1089" t="s">
        <v>1678</v>
      </c>
      <c r="F11" s="2106" t="s">
        <v>1679</v>
      </c>
      <c r="G11" s="2103" t="s">
        <v>1680</v>
      </c>
      <c r="H11" s="1087" t="s">
        <v>1681</v>
      </c>
      <c r="I11" s="1087" t="s">
        <v>165</v>
      </c>
      <c r="J11" s="1088" t="s">
        <v>1682</v>
      </c>
      <c r="K11" s="1110" t="s">
        <v>676</v>
      </c>
      <c r="O11" s="1088" t="s">
        <v>590</v>
      </c>
      <c r="V11" s="381" t="s">
        <v>165</v>
      </c>
      <c r="W11" s="286"/>
      <c r="X11" s="1095" t="s">
        <v>1653</v>
      </c>
      <c r="Y11" s="1086" t="s">
        <v>1683</v>
      </c>
      <c r="Z11" s="1102"/>
      <c r="AP11" s="1098" t="s">
        <v>206</v>
      </c>
      <c r="AQ11" s="1100" t="s">
        <v>206</v>
      </c>
      <c r="AW11" s="1131" t="s">
        <v>1684</v>
      </c>
      <c r="AX11" s="1131" t="s">
        <v>1684</v>
      </c>
      <c r="AZ11" s="1131" t="s">
        <v>1685</v>
      </c>
      <c r="BB11" s="1131" t="s">
        <v>587</v>
      </c>
      <c r="BC11" s="1131" t="s">
        <v>585</v>
      </c>
      <c r="BE11" s="1131">
        <v>2007</v>
      </c>
      <c r="BF11" s="1131" t="s">
        <v>1686</v>
      </c>
      <c r="BH11" s="1079" t="s">
        <v>1687</v>
      </c>
      <c r="BJ11" s="1079" t="s">
        <v>1658</v>
      </c>
      <c r="BL11" s="1079" t="s">
        <v>1658</v>
      </c>
      <c r="BN11" s="1079" t="s">
        <v>1688</v>
      </c>
      <c r="BQ11" s="1292">
        <v>4213780</v>
      </c>
      <c r="BR11" s="1079" t="s">
        <v>200</v>
      </c>
      <c r="BS11" s="1440"/>
      <c r="BW11" s="1700"/>
      <c r="BX11" s="1700"/>
    </row>
    <row customHeight="1" ht="11.25">
      <c r="A12" s="1085" t="s">
        <v>1689</v>
      </c>
      <c r="B12" s="1086">
        <v>2010</v>
      </c>
      <c r="E12" s="1089" t="s">
        <v>1690</v>
      </c>
      <c r="F12" s="2106" t="s">
        <v>1691</v>
      </c>
      <c r="G12" s="2103" t="s">
        <v>1681</v>
      </c>
      <c r="I12" s="1087" t="s">
        <v>166</v>
      </c>
      <c r="J12" s="1088" t="s">
        <v>1692</v>
      </c>
      <c r="K12" s="1110" t="s">
        <v>583</v>
      </c>
      <c r="O12" s="1088" t="s">
        <v>1490</v>
      </c>
      <c r="V12" s="381" t="s">
        <v>166</v>
      </c>
      <c r="W12" s="1100"/>
      <c r="X12" s="1095" t="s">
        <v>1693</v>
      </c>
      <c r="Y12" s="1086" t="s">
        <v>1496</v>
      </c>
      <c r="AP12" s="1098"/>
      <c r="AW12" s="1131" t="s">
        <v>165</v>
      </c>
      <c r="AX12" s="1131" t="s">
        <v>165</v>
      </c>
      <c r="AZ12" s="1131" t="s">
        <v>1694</v>
      </c>
      <c r="BB12" s="1131" t="s">
        <v>1695</v>
      </c>
      <c r="BC12" s="1131" t="s">
        <v>585</v>
      </c>
      <c r="BE12" s="1131">
        <v>2008</v>
      </c>
      <c r="BF12" s="1131" t="s">
        <v>1203</v>
      </c>
      <c r="BH12" s="1079" t="s">
        <v>1696</v>
      </c>
      <c r="BJ12" s="1079" t="s">
        <v>1697</v>
      </c>
      <c r="BL12" s="1079" t="s">
        <v>1697</v>
      </c>
      <c r="BN12" s="1079" t="s">
        <v>1698</v>
      </c>
      <c r="BQ12" s="1292">
        <v>4213779</v>
      </c>
      <c r="BR12" s="1079" t="s">
        <v>1653</v>
      </c>
      <c r="BS12" s="1440"/>
      <c r="BT12" s="1081"/>
      <c r="BU12" s="1081"/>
      <c r="BV12" s="1081"/>
      <c r="BW12" s="1700"/>
      <c r="BX12" s="1700"/>
    </row>
    <row customHeight="1" ht="11.25">
      <c r="A13" s="1085" t="s">
        <v>1699</v>
      </c>
      <c r="B13" s="1086">
        <v>2011</v>
      </c>
      <c r="E13" s="1087" t="s">
        <v>1700</v>
      </c>
      <c r="F13" s="1104"/>
      <c r="I13" s="1087" t="s">
        <v>167</v>
      </c>
      <c r="K13" s="1110" t="s">
        <v>592</v>
      </c>
      <c r="V13" s="381" t="s">
        <v>167</v>
      </c>
      <c r="W13" s="1100"/>
      <c r="X13" s="1100"/>
      <c r="Y13" s="1100"/>
      <c r="AW13" s="1131" t="s">
        <v>166</v>
      </c>
      <c r="AX13" s="1131" t="s">
        <v>166</v>
      </c>
      <c r="BB13" s="1131" t="s">
        <v>1701</v>
      </c>
      <c r="BC13" s="1131" t="s">
        <v>1702</v>
      </c>
      <c r="BE13" s="1131">
        <v>2009</v>
      </c>
      <c r="BF13" s="1131" t="s">
        <v>1703</v>
      </c>
      <c r="BH13" s="1079" t="s">
        <v>1704</v>
      </c>
      <c r="BJ13" s="1079" t="s">
        <v>1687</v>
      </c>
      <c r="BL13" s="1079" t="s">
        <v>1687</v>
      </c>
      <c r="BN13" s="1079" t="s">
        <v>1705</v>
      </c>
      <c r="BQ13" s="1292">
        <v>4213783</v>
      </c>
      <c r="BR13" s="1079" t="s">
        <v>1669</v>
      </c>
      <c r="BS13" s="1440"/>
      <c r="BT13" s="1081"/>
      <c r="BU13" s="1081"/>
      <c r="BV13" s="1081"/>
      <c r="BW13" s="1704"/>
      <c r="BX13" s="1700"/>
    </row>
    <row customHeight="1" ht="11.25">
      <c r="A14" s="1085" t="s">
        <v>1706</v>
      </c>
      <c r="B14" s="1086">
        <v>2012</v>
      </c>
      <c r="I14" s="1087" t="s">
        <v>168</v>
      </c>
      <c r="J14" s="1078" t="s">
        <v>1707</v>
      </c>
      <c r="N14" s="1078" t="s">
        <v>1708</v>
      </c>
      <c r="V14" s="1094">
        <v>13</v>
      </c>
      <c r="W14" s="1095"/>
      <c r="X14" s="1095" t="s">
        <v>1526</v>
      </c>
      <c r="Y14" s="1086" t="s">
        <v>1496</v>
      </c>
      <c r="AW14" s="1131" t="s">
        <v>167</v>
      </c>
      <c r="AX14" s="1131" t="s">
        <v>167</v>
      </c>
      <c r="AZ14" s="1078" t="s">
        <v>1709</v>
      </c>
      <c r="BB14" s="1131" t="s">
        <v>1710</v>
      </c>
      <c r="BC14" s="1131" t="s">
        <v>1702</v>
      </c>
      <c r="BE14" s="1131">
        <v>2010</v>
      </c>
      <c r="BF14" s="1131" t="s">
        <v>1711</v>
      </c>
      <c r="BH14" s="1079" t="s">
        <v>1631</v>
      </c>
      <c r="BJ14" s="1228" t="s">
        <v>1712</v>
      </c>
      <c r="BL14" s="1228" t="s">
        <v>1712</v>
      </c>
      <c r="BN14" s="1079" t="s">
        <v>1713</v>
      </c>
      <c r="BQ14" s="1292">
        <v>4213782</v>
      </c>
      <c r="BR14" s="1079" t="s">
        <v>206</v>
      </c>
      <c r="BS14" s="1440"/>
      <c r="BT14" s="1081"/>
      <c r="BU14" s="1081"/>
      <c r="BV14" s="1081"/>
      <c r="BW14" s="1704"/>
      <c r="BX14" s="1700"/>
    </row>
    <row customHeight="1" ht="19.5">
      <c r="A15" s="1085" t="s">
        <v>1714</v>
      </c>
      <c r="B15" s="1086">
        <v>2013</v>
      </c>
      <c r="E15" s="1708" t="s">
        <v>1715</v>
      </c>
      <c r="G15" s="1078" t="s">
        <v>1716</v>
      </c>
      <c r="H15" s="1078" t="s">
        <v>1717</v>
      </c>
      <c r="I15" s="1089" t="s">
        <v>169</v>
      </c>
      <c r="J15" s="1100" t="s">
        <v>611</v>
      </c>
      <c r="N15" s="1169" t="s">
        <v>1718</v>
      </c>
      <c r="X15" s="1098"/>
      <c r="AW15" s="1131" t="s">
        <v>168</v>
      </c>
      <c r="AX15" s="1131" t="s">
        <v>168</v>
      </c>
      <c r="AZ15" s="1131" t="s">
        <v>1377</v>
      </c>
      <c r="BB15" s="1131" t="s">
        <v>1719</v>
      </c>
      <c r="BC15" s="1131" t="s">
        <v>1702</v>
      </c>
      <c r="BE15" s="1131">
        <v>2011</v>
      </c>
      <c r="BF15" s="1131" t="s">
        <v>1122</v>
      </c>
      <c r="BH15" s="1079" t="s">
        <v>1644</v>
      </c>
      <c r="BJ15" s="1228" t="s">
        <v>1720</v>
      </c>
      <c r="BL15" s="1228" t="s">
        <v>1720</v>
      </c>
      <c r="BN15" s="1079" t="s">
        <v>1721</v>
      </c>
      <c r="BR15" s="1081"/>
      <c r="BS15" s="1442"/>
      <c r="BT15" s="1081"/>
      <c r="BU15" s="1081"/>
      <c r="BV15" s="1081"/>
      <c r="BW15" s="1704"/>
      <c r="BX15" s="1700"/>
    </row>
    <row customHeight="1" ht="21">
      <c r="A16" s="1878" t="s">
        <v>1722</v>
      </c>
      <c r="B16" s="1086">
        <v>2014</v>
      </c>
      <c r="E16" s="1709" t="s">
        <v>1723</v>
      </c>
      <c r="G16" s="1087" t="s">
        <v>1724</v>
      </c>
      <c r="H16" s="1087" t="s">
        <v>1725</v>
      </c>
      <c r="I16" s="1089" t="s">
        <v>1165</v>
      </c>
      <c r="J16" s="1100" t="s">
        <v>568</v>
      </c>
      <c r="N16" s="1169" t="s">
        <v>1726</v>
      </c>
      <c r="AW16" s="1131" t="s">
        <v>169</v>
      </c>
      <c r="AX16" s="1131" t="s">
        <v>169</v>
      </c>
      <c r="AZ16" s="1131" t="s">
        <v>1655</v>
      </c>
      <c r="BB16" s="1131" t="s">
        <v>1727</v>
      </c>
      <c r="BC16" s="1131" t="s">
        <v>1702</v>
      </c>
      <c r="BE16" s="1131">
        <v>2012</v>
      </c>
      <c r="BH16" s="1079" t="s">
        <v>1660</v>
      </c>
      <c r="BJ16" s="1228" t="s">
        <v>1728</v>
      </c>
      <c r="BL16" s="1228" t="s">
        <v>1728</v>
      </c>
      <c r="BN16" s="1079" t="s">
        <v>1729</v>
      </c>
      <c r="BR16" s="1081"/>
      <c r="BS16" s="1442"/>
      <c r="BT16" s="1081"/>
      <c r="BU16" s="1081"/>
      <c r="BV16" s="1081"/>
      <c r="BW16" s="1704"/>
      <c r="BX16" s="1700"/>
    </row>
    <row customHeight="1" ht="21">
      <c r="A17" s="1085" t="s">
        <v>1730</v>
      </c>
      <c r="B17" s="1086">
        <v>2015</v>
      </c>
      <c r="G17" s="1087" t="s">
        <v>1681</v>
      </c>
      <c r="H17" s="1087" t="s">
        <v>1681</v>
      </c>
      <c r="I17" s="1087" t="s">
        <v>1167</v>
      </c>
      <c r="N17" s="1169" t="s">
        <v>1731</v>
      </c>
      <c r="X17" s="1098"/>
      <c r="AW17" s="1131" t="s">
        <v>1165</v>
      </c>
      <c r="AX17" s="1131" t="s">
        <v>1165</v>
      </c>
      <c r="AZ17" s="1131" t="s">
        <v>68</v>
      </c>
      <c r="BB17" s="1131" t="s">
        <v>1732</v>
      </c>
      <c r="BC17" s="1131" t="s">
        <v>585</v>
      </c>
      <c r="BE17" s="1131">
        <v>2013</v>
      </c>
      <c r="BH17" s="1079" t="s">
        <v>1676</v>
      </c>
      <c r="BJ17" s="1228" t="s">
        <v>1733</v>
      </c>
      <c r="BL17" s="1228" t="s">
        <v>1733</v>
      </c>
      <c r="BN17" s="1079" t="s">
        <v>1734</v>
      </c>
      <c r="BR17" s="1078" t="s">
        <v>1536</v>
      </c>
      <c r="BS17" s="1439"/>
      <c r="BU17" s="1078" t="s">
        <v>1735</v>
      </c>
      <c r="BV17" s="1081"/>
      <c r="BW17" s="1700"/>
      <c r="BX17" s="1702" t="s">
        <v>1736</v>
      </c>
      <c r="CA17" s="1078" t="s">
        <v>1737</v>
      </c>
      <c r="CD17" s="1078" t="s">
        <v>1738</v>
      </c>
    </row>
    <row customHeight="1" ht="21">
      <c r="A18" s="1085" t="s">
        <v>1739</v>
      </c>
      <c r="B18" s="1086">
        <v>2016</v>
      </c>
      <c r="E18" s="2013" t="s">
        <v>1740</v>
      </c>
      <c r="I18" s="1087" t="s">
        <v>1172</v>
      </c>
      <c r="N18" s="1169" t="s">
        <v>1741</v>
      </c>
      <c r="X18" s="1098"/>
      <c r="AW18" s="1131" t="s">
        <v>1167</v>
      </c>
      <c r="AX18" s="1131" t="s">
        <v>1167</v>
      </c>
      <c r="BB18" s="1131" t="s">
        <v>1742</v>
      </c>
      <c r="BC18" s="1131" t="s">
        <v>585</v>
      </c>
      <c r="BE18" s="1131">
        <v>2014</v>
      </c>
      <c r="BH18" s="1079" t="s">
        <v>1688</v>
      </c>
      <c r="BJ18" s="1228" t="s">
        <v>1743</v>
      </c>
      <c r="BL18" s="1228" t="s">
        <v>1743</v>
      </c>
      <c r="BN18" s="1079" t="s">
        <v>1234</v>
      </c>
      <c r="BQ18" s="1443" t="s">
        <v>1565</v>
      </c>
      <c r="BR18" s="1170" t="s">
        <v>1566</v>
      </c>
      <c r="BS18" s="285"/>
      <c r="BT18" s="1443" t="s">
        <v>1744</v>
      </c>
      <c r="BU18" s="1170" t="s">
        <v>1745</v>
      </c>
      <c r="BV18" s="1081"/>
      <c r="BW18" s="1707" t="s">
        <v>1746</v>
      </c>
      <c r="BX18" s="1701" t="s">
        <v>1747</v>
      </c>
      <c r="BZ18" s="1443" t="s">
        <v>1748</v>
      </c>
      <c r="CA18" s="1170" t="s">
        <v>1749</v>
      </c>
      <c r="CC18" s="1443" t="s">
        <v>1750</v>
      </c>
      <c r="CD18" s="1170" t="s">
        <v>1751</v>
      </c>
    </row>
    <row customHeight="1" ht="21">
      <c r="A19" s="1878" t="s">
        <v>1752</v>
      </c>
      <c r="B19" s="1086">
        <v>2017</v>
      </c>
      <c r="E19" s="1085" t="s">
        <v>181</v>
      </c>
      <c r="I19" s="1087" t="s">
        <v>1177</v>
      </c>
      <c r="N19" s="1169" t="s">
        <v>1753</v>
      </c>
      <c r="X19" s="1098"/>
      <c r="AW19" s="1131" t="s">
        <v>1172</v>
      </c>
      <c r="AX19" s="1131" t="s">
        <v>1172</v>
      </c>
      <c r="AZ19" s="1078" t="s">
        <v>1754</v>
      </c>
      <c r="BB19" s="1131" t="s">
        <v>1755</v>
      </c>
      <c r="BC19" s="1131" t="s">
        <v>585</v>
      </c>
      <c r="BE19" s="1131">
        <v>2015</v>
      </c>
      <c r="BH19" s="1079" t="s">
        <v>1756</v>
      </c>
      <c r="BJ19" s="1228" t="s">
        <v>1757</v>
      </c>
      <c r="BL19" s="1228" t="s">
        <v>1757</v>
      </c>
      <c r="BQ19" s="1292">
        <v>4190064</v>
      </c>
      <c r="BR19" s="1079" t="s">
        <v>1758</v>
      </c>
      <c r="BS19" s="1440"/>
      <c r="BT19" s="1292">
        <v>4189671</v>
      </c>
      <c r="BU19" s="1079" t="s">
        <v>1759</v>
      </c>
      <c r="BV19" s="1081"/>
      <c r="BW19" s="1705">
        <v>4189706</v>
      </c>
      <c r="BX19" s="1703" t="s">
        <v>1760</v>
      </c>
      <c r="BZ19" s="1292">
        <v>4189714</v>
      </c>
      <c r="CA19" s="1079" t="s">
        <v>1761</v>
      </c>
      <c r="CC19" s="1292">
        <v>4189708</v>
      </c>
      <c r="CD19" s="1079" t="s">
        <v>1762</v>
      </c>
    </row>
    <row customHeight="1" ht="21">
      <c r="A20" s="1085" t="s">
        <v>1763</v>
      </c>
      <c r="B20" s="1086">
        <v>2018</v>
      </c>
      <c r="E20" s="1085" t="s">
        <v>1526</v>
      </c>
      <c r="I20" s="1087" t="s">
        <v>1179</v>
      </c>
      <c r="N20" s="1169" t="s">
        <v>1764</v>
      </c>
      <c r="AW20" s="1131" t="s">
        <v>1177</v>
      </c>
      <c r="AX20" s="1131" t="s">
        <v>1177</v>
      </c>
      <c r="AZ20" s="1131" t="s">
        <v>1765</v>
      </c>
      <c r="BB20" s="1131" t="s">
        <v>1766</v>
      </c>
      <c r="BC20" s="1131" t="s">
        <v>1702</v>
      </c>
      <c r="BE20" s="1131">
        <v>2016</v>
      </c>
      <c r="BH20" s="1079" t="s">
        <v>1698</v>
      </c>
      <c r="BJ20" s="1079" t="s">
        <v>1631</v>
      </c>
      <c r="BL20" s="1079" t="s">
        <v>1631</v>
      </c>
      <c r="BQ20" s="1292">
        <v>4190065</v>
      </c>
      <c r="BR20" s="1079" t="s">
        <v>1767</v>
      </c>
      <c r="BS20" s="1440"/>
      <c r="BT20" s="1292">
        <v>4189672</v>
      </c>
      <c r="BU20" s="1079" t="s">
        <v>1768</v>
      </c>
      <c r="BV20" s="1081"/>
      <c r="BW20" s="1705">
        <v>4189705</v>
      </c>
      <c r="BX20" s="1703" t="s">
        <v>1769</v>
      </c>
      <c r="BZ20" s="1292">
        <v>4189713</v>
      </c>
      <c r="CA20" s="1079" t="s">
        <v>1769</v>
      </c>
      <c r="CC20" s="1292">
        <v>4189709</v>
      </c>
      <c r="CD20" s="1079" t="s">
        <v>1770</v>
      </c>
    </row>
    <row customHeight="1" ht="21">
      <c r="A21" s="1085" t="s">
        <v>1771</v>
      </c>
      <c r="B21" s="1086">
        <v>2019</v>
      </c>
      <c r="I21" s="1087" t="s">
        <v>1186</v>
      </c>
      <c r="N21" s="1169" t="s">
        <v>1772</v>
      </c>
      <c r="AW21" s="1131" t="s">
        <v>1179</v>
      </c>
      <c r="AX21" s="1131" t="s">
        <v>1179</v>
      </c>
      <c r="AZ21" s="1131" t="s">
        <v>1773</v>
      </c>
      <c r="BB21" s="1131" t="s">
        <v>1774</v>
      </c>
      <c r="BC21" s="1131" t="s">
        <v>585</v>
      </c>
      <c r="BE21" s="1131">
        <v>2017</v>
      </c>
      <c r="BH21" s="1079" t="s">
        <v>1705</v>
      </c>
      <c r="BJ21" s="1079" t="s">
        <v>1644</v>
      </c>
      <c r="BL21" s="1079" t="s">
        <v>1644</v>
      </c>
      <c r="BQ21" s="1292">
        <v>4190066</v>
      </c>
      <c r="BR21" s="1079" t="s">
        <v>1775</v>
      </c>
      <c r="BS21" s="1440"/>
      <c r="BT21" s="1292">
        <v>4189673</v>
      </c>
      <c r="BU21" s="1079" t="s">
        <v>1776</v>
      </c>
      <c r="BV21" s="1081"/>
      <c r="BW21" s="1705">
        <v>4189707</v>
      </c>
      <c r="BX21" s="1703" t="s">
        <v>1777</v>
      </c>
      <c r="BZ21" s="1292">
        <v>4189712</v>
      </c>
      <c r="CA21" s="1079" t="s">
        <v>1778</v>
      </c>
      <c r="CC21" s="1292">
        <v>4189710</v>
      </c>
      <c r="CD21" s="1079" t="s">
        <v>1779</v>
      </c>
    </row>
    <row customHeight="1" ht="21">
      <c r="A22" s="1085" t="s">
        <v>1780</v>
      </c>
      <c r="B22" s="1086">
        <v>2020</v>
      </c>
      <c r="N22" s="1169" t="s">
        <v>1781</v>
      </c>
      <c r="AW22" s="1131" t="s">
        <v>1186</v>
      </c>
      <c r="AX22" s="1131" t="s">
        <v>1186</v>
      </c>
      <c r="AZ22" s="1131" t="s">
        <v>1782</v>
      </c>
      <c r="BB22" s="1131" t="s">
        <v>1783</v>
      </c>
      <c r="BC22" s="1131" t="s">
        <v>585</v>
      </c>
      <c r="BE22" s="1131">
        <v>2018</v>
      </c>
      <c r="BH22" s="1079" t="s">
        <v>1713</v>
      </c>
      <c r="BJ22" s="1079" t="s">
        <v>1660</v>
      </c>
      <c r="BL22" s="1079" t="s">
        <v>1660</v>
      </c>
      <c r="BQ22" s="1292">
        <v>4190067</v>
      </c>
      <c r="BR22" s="1079" t="s">
        <v>1784</v>
      </c>
      <c r="BS22" s="1440"/>
      <c r="BT22" s="1292">
        <v>4189674</v>
      </c>
      <c r="BU22" s="1079" t="s">
        <v>1785</v>
      </c>
      <c r="BV22" s="1081"/>
      <c r="BW22" s="1081"/>
      <c r="CC22" s="1292">
        <v>4189711</v>
      </c>
      <c r="CD22" s="1079" t="s">
        <v>307</v>
      </c>
    </row>
    <row customHeight="1" ht="21">
      <c r="A23" s="1085" t="s">
        <v>1786</v>
      </c>
      <c r="B23" s="1086">
        <v>2021</v>
      </c>
      <c r="AW23" s="1131" t="s">
        <v>1192</v>
      </c>
      <c r="AX23" s="1131" t="s">
        <v>1192</v>
      </c>
      <c r="AZ23" s="1131" t="s">
        <v>1787</v>
      </c>
      <c r="BB23" s="1131" t="s">
        <v>1788</v>
      </c>
      <c r="BC23" s="1131" t="s">
        <v>582</v>
      </c>
      <c r="BE23" s="1131">
        <v>2019</v>
      </c>
      <c r="BH23" s="1079" t="s">
        <v>1721</v>
      </c>
      <c r="BJ23" s="1079" t="s">
        <v>1676</v>
      </c>
      <c r="BL23" s="1079" t="s">
        <v>1676</v>
      </c>
      <c r="BQ23" s="1292">
        <v>4190068</v>
      </c>
      <c r="BR23" s="1079" t="s">
        <v>1789</v>
      </c>
      <c r="BS23" s="1440"/>
      <c r="BT23" s="1292">
        <v>4189675</v>
      </c>
      <c r="BU23" s="1079" t="s">
        <v>1790</v>
      </c>
      <c r="BV23" s="1081"/>
      <c r="BW23" s="1081"/>
      <c r="CC23" s="1292">
        <v>5110778</v>
      </c>
      <c r="CD23" s="1079" t="s">
        <v>1791</v>
      </c>
    </row>
    <row customHeight="1" ht="21">
      <c r="A24" s="1085" t="s">
        <v>1792</v>
      </c>
      <c r="B24" s="1086">
        <v>2022</v>
      </c>
      <c r="AW24" s="1131" t="s">
        <v>1196</v>
      </c>
      <c r="AX24" s="1131" t="s">
        <v>1196</v>
      </c>
      <c r="AZ24" s="1131" t="s">
        <v>1793</v>
      </c>
      <c r="BB24" s="1131" t="s">
        <v>1794</v>
      </c>
      <c r="BC24" s="1131" t="s">
        <v>589</v>
      </c>
      <c r="BE24" s="1131">
        <v>2020</v>
      </c>
      <c r="BH24" s="1079" t="s">
        <v>1729</v>
      </c>
      <c r="BJ24" s="1079" t="s">
        <v>1688</v>
      </c>
      <c r="BL24" s="1079" t="s">
        <v>1688</v>
      </c>
      <c r="BQ24" s="1292">
        <v>4190069</v>
      </c>
      <c r="BR24" s="1079" t="s">
        <v>1795</v>
      </c>
      <c r="BS24" s="1440"/>
      <c r="BT24" s="1292">
        <v>4189676</v>
      </c>
      <c r="BU24" s="1079" t="s">
        <v>1796</v>
      </c>
      <c r="BV24" s="1081"/>
      <c r="BW24" s="1081"/>
      <c r="CC24" s="1292">
        <v>25575374</v>
      </c>
      <c r="CD24" s="1079" t="s">
        <v>1797</v>
      </c>
    </row>
    <row customHeight="1" ht="11.25">
      <c r="A25" s="1085" t="s">
        <v>1798</v>
      </c>
      <c r="B25" s="1086">
        <v>2023</v>
      </c>
      <c r="AW25" s="1131" t="s">
        <v>1197</v>
      </c>
      <c r="AX25" s="1131" t="s">
        <v>1197</v>
      </c>
      <c r="AZ25" s="1131" t="s">
        <v>1376</v>
      </c>
      <c r="BB25" s="1131" t="s">
        <v>1799</v>
      </c>
      <c r="BC25" s="1131" t="s">
        <v>589</v>
      </c>
      <c r="BE25" s="1131">
        <v>2021</v>
      </c>
      <c r="BH25" s="1079" t="s">
        <v>1734</v>
      </c>
      <c r="BJ25" s="1079" t="s">
        <v>1756</v>
      </c>
      <c r="BL25" s="1079" t="s">
        <v>1756</v>
      </c>
      <c r="BQ25" s="1292">
        <v>4190070</v>
      </c>
      <c r="BR25" s="1079" t="s">
        <v>1800</v>
      </c>
      <c r="BS25" s="1440"/>
      <c r="BT25" s="1292">
        <v>4189677</v>
      </c>
      <c r="BU25" s="1079" t="s">
        <v>1801</v>
      </c>
      <c r="BV25" s="1081"/>
      <c r="BW25" s="1081"/>
    </row>
    <row customHeight="1" ht="11.25">
      <c r="A26" s="1085" t="s">
        <v>1802</v>
      </c>
      <c r="B26" s="1086">
        <v>2024</v>
      </c>
      <c r="J26" s="1741" t="s">
        <v>1803</v>
      </c>
      <c r="AX26" s="1131" t="s">
        <v>1199</v>
      </c>
      <c r="AZ26" s="1131" t="s">
        <v>590</v>
      </c>
      <c r="BB26" s="1131" t="s">
        <v>1804</v>
      </c>
      <c r="BC26" s="1131" t="s">
        <v>589</v>
      </c>
      <c r="BE26" s="1131">
        <v>2022</v>
      </c>
      <c r="BH26" s="1079" t="s">
        <v>1234</v>
      </c>
      <c r="BJ26" s="1079" t="s">
        <v>1698</v>
      </c>
      <c r="BL26" s="1079" t="s">
        <v>1698</v>
      </c>
      <c r="BQ26" s="1292">
        <v>4190071</v>
      </c>
      <c r="BR26" s="1079" t="s">
        <v>1805</v>
      </c>
      <c r="BS26" s="1440"/>
      <c r="BV26" s="1081"/>
      <c r="BW26" s="1081"/>
    </row>
    <row customHeight="1" ht="11.25">
      <c r="A27" s="1085" t="s">
        <v>1806</v>
      </c>
      <c r="B27" s="1086">
        <v>2025</v>
      </c>
      <c r="J27" s="187" t="s">
        <v>105</v>
      </c>
      <c r="AX27" s="1131" t="s">
        <v>1201</v>
      </c>
      <c r="BB27" s="1131" t="s">
        <v>588</v>
      </c>
      <c r="BC27" s="1131" t="s">
        <v>589</v>
      </c>
      <c r="BE27" s="1131">
        <v>2023</v>
      </c>
      <c r="BH27" s="1081" t="s">
        <v>22</v>
      </c>
      <c r="BJ27" s="1079" t="s">
        <v>1705</v>
      </c>
      <c r="BL27" s="1079" t="s">
        <v>1705</v>
      </c>
      <c r="BN27" s="1081" t="s">
        <v>22</v>
      </c>
      <c r="BQ27" s="1292">
        <v>4190072</v>
      </c>
      <c r="BR27" s="1079" t="s">
        <v>1807</v>
      </c>
      <c r="BS27" s="1440"/>
      <c r="BV27" s="1081"/>
      <c r="BW27" s="1081"/>
    </row>
    <row customHeight="1" ht="11.25">
      <c r="A28" s="1085" t="s">
        <v>1808</v>
      </c>
      <c r="D28" s="1112"/>
      <c r="E28" s="1113"/>
      <c r="F28" s="1113"/>
      <c r="H28" s="1114" t="s">
        <v>1809</v>
      </c>
      <c r="AX28" s="1131" t="s">
        <v>1204</v>
      </c>
      <c r="AZ28" s="1078" t="s">
        <v>1810</v>
      </c>
      <c r="BB28" s="1131" t="s">
        <v>1811</v>
      </c>
      <c r="BC28" s="1131" t="s">
        <v>1812</v>
      </c>
      <c r="BE28" s="1131">
        <v>2024</v>
      </c>
      <c r="BH28" s="1081" t="s">
        <v>22</v>
      </c>
      <c r="BJ28" s="1079" t="s">
        <v>1713</v>
      </c>
      <c r="BL28" s="1079" t="s">
        <v>1713</v>
      </c>
      <c r="BN28" s="1081" t="s">
        <v>22</v>
      </c>
      <c r="BQ28" s="1292">
        <v>4190073</v>
      </c>
      <c r="BR28" s="1079" t="s">
        <v>1813</v>
      </c>
      <c r="BS28" s="1440"/>
      <c r="BV28" s="1081"/>
      <c r="BW28" s="1081"/>
    </row>
    <row customHeight="1" ht="11.25">
      <c r="A29" s="1085" t="s">
        <v>1814</v>
      </c>
      <c r="D29" s="1115" t="s">
        <v>1815</v>
      </c>
      <c r="E29" s="1116" t="str">
        <f>IF(TEMPLATE_GROUP="","",INDEX(StartDateList,MATCH(TEMPLATE_GROUP,CodeTemplateList,0),1))</f>
        <v>01.01.2025</v>
      </c>
      <c r="F29" s="1116" t="str">
        <f>IF(TEMPLATE_GROUP="","",INDEX(EndDateList,MATCH(TEMPLATE_GROUP,CodeTemplateList,0),1))</f>
        <v>31.12.2025</v>
      </c>
      <c r="H29" s="1117" t="s">
        <v>1816</v>
      </c>
      <c r="AX29" s="1131" t="s">
        <v>1206</v>
      </c>
      <c r="AZ29" s="1131" t="s">
        <v>1491</v>
      </c>
      <c r="BB29" s="1131" t="s">
        <v>590</v>
      </c>
      <c r="BC29" s="1102"/>
      <c r="BE29" s="1131">
        <v>2025</v>
      </c>
      <c r="BJ29" s="1079" t="s">
        <v>1721</v>
      </c>
      <c r="BL29" s="1079" t="s">
        <v>1721</v>
      </c>
    </row>
    <row customHeight="1" ht="11.25">
      <c r="A30" s="1085" t="s">
        <v>1817</v>
      </c>
      <c r="D30" s="1118"/>
      <c r="E30" s="1119"/>
      <c r="F30" s="1119"/>
      <c r="AX30" s="1131" t="s">
        <v>1208</v>
      </c>
      <c r="AZ30" s="1131" t="s">
        <v>1515</v>
      </c>
      <c r="BE30" s="1131">
        <v>2026</v>
      </c>
      <c r="BJ30" s="1079" t="s">
        <v>1818</v>
      </c>
      <c r="BL30" s="1079" t="s">
        <v>1818</v>
      </c>
    </row>
    <row customHeight="1" ht="12.75">
      <c r="A31" s="1085" t="s">
        <v>1819</v>
      </c>
      <c r="D31" s="1112"/>
      <c r="E31" s="1113"/>
      <c r="F31" s="1113"/>
      <c r="H31" s="1120"/>
      <c r="AX31" s="1131" t="s">
        <v>1212</v>
      </c>
      <c r="AZ31" s="1131" t="s">
        <v>1820</v>
      </c>
      <c r="BE31" s="1131">
        <v>2027</v>
      </c>
      <c r="BJ31" s="1079" t="s">
        <v>1821</v>
      </c>
      <c r="BL31" s="1079" t="s">
        <v>1821</v>
      </c>
    </row>
    <row customHeight="1" ht="11.25">
      <c r="A32" s="1085" t="s">
        <v>16</v>
      </c>
      <c r="D32" s="1115" t="s">
        <v>1822</v>
      </c>
      <c r="E32" s="1116" t="str">
        <f>IF(TEMPLATE_GROUP="","",INDEX(StartDateList,MATCH(TEMPLATE_GROUP,CodeTemplateList,0),1))</f>
        <v>01.01.2025</v>
      </c>
      <c r="F32" s="1116" t="str">
        <f>IF(TEMPLATE_GROUP="","",INDEX(EndDateList,MATCH(TEMPLATE_GROUP,CodeTemplateList,0),1))</f>
        <v>31.12.2025</v>
      </c>
      <c r="H32" s="1121" t="s">
        <v>1823</v>
      </c>
      <c r="O32" s="1085" t="s">
        <v>1489</v>
      </c>
      <c r="AX32" s="1131" t="s">
        <v>1215</v>
      </c>
      <c r="AZ32" s="1131" t="s">
        <v>1582</v>
      </c>
      <c r="BE32" s="1131">
        <v>2028</v>
      </c>
      <c r="BJ32" s="1079" t="s">
        <v>1729</v>
      </c>
      <c r="BL32" s="1079" t="s">
        <v>1729</v>
      </c>
    </row>
    <row customHeight="1" ht="11.25">
      <c r="A33" s="1085" t="s">
        <v>1824</v>
      </c>
      <c r="O33" s="1085" t="s">
        <v>1512</v>
      </c>
      <c r="AX33" s="1131" t="s">
        <v>1217</v>
      </c>
      <c r="AZ33" s="1131" t="s">
        <v>1490</v>
      </c>
      <c r="BE33" s="1131">
        <v>2029</v>
      </c>
      <c r="BJ33" s="1079" t="s">
        <v>1734</v>
      </c>
      <c r="BL33" s="1079" t="s">
        <v>1734</v>
      </c>
    </row>
    <row customHeight="1" ht="11.25">
      <c r="A34" s="1085" t="s">
        <v>1825</v>
      </c>
      <c r="O34" s="1085" t="s">
        <v>1547</v>
      </c>
      <c r="AX34" s="1131" t="s">
        <v>1219</v>
      </c>
      <c r="BE34" s="1131">
        <v>2030</v>
      </c>
      <c r="BJ34" s="1079" t="s">
        <v>1234</v>
      </c>
      <c r="BL34" s="1079" t="s">
        <v>1234</v>
      </c>
    </row>
    <row customHeight="1" ht="11.25">
      <c r="A35" s="1085" t="s">
        <v>1826</v>
      </c>
      <c r="O35" s="1085" t="s">
        <v>1580</v>
      </c>
      <c r="AX35" s="1131" t="s">
        <v>1379</v>
      </c>
      <c r="AZ35" s="1078" t="s">
        <v>1827</v>
      </c>
      <c r="BE35" s="1131">
        <v>2031</v>
      </c>
      <c r="BL35" s="1079" t="s">
        <v>1828</v>
      </c>
    </row>
    <row customHeight="1" ht="11.25">
      <c r="A36" s="1878" t="s">
        <v>1829</v>
      </c>
      <c r="D36" s="1122" t="s">
        <v>1830</v>
      </c>
      <c r="E36" s="1123" t="s">
        <v>900</v>
      </c>
      <c r="F36" s="1124" t="str">
        <f>INDEX(E37:E41,MATCH(TEMPLATE_SPHERE,F37:F41,0))</f>
        <v>теплоснабжения</v>
      </c>
      <c r="G36" s="1124" t="str">
        <f>INDEX(G37:G41,MATCH(TEMPLATE_SPHERE,F37:F41,0))</f>
        <v>теплоснабжение</v>
      </c>
      <c r="O36" s="1085" t="s">
        <v>1603</v>
      </c>
      <c r="AX36" s="1131" t="s">
        <v>1381</v>
      </c>
      <c r="AZ36" s="1131" t="s">
        <v>1490</v>
      </c>
      <c r="BE36" s="1131">
        <v>2032</v>
      </c>
      <c r="BL36" s="1079" t="s">
        <v>1831</v>
      </c>
    </row>
    <row customHeight="1" ht="11.25">
      <c r="A37" s="1085" t="s">
        <v>1832</v>
      </c>
      <c r="E37" s="418" t="s">
        <v>1833</v>
      </c>
      <c r="F37" s="1125" t="s">
        <v>900</v>
      </c>
      <c r="G37" s="418" t="s">
        <v>1834</v>
      </c>
      <c r="O37" s="1085" t="s">
        <v>1622</v>
      </c>
      <c r="AX37" s="1131" t="s">
        <v>1383</v>
      </c>
      <c r="AZ37" s="1131" t="s">
        <v>1514</v>
      </c>
      <c r="BE37" s="1131">
        <v>2033</v>
      </c>
    </row>
    <row customHeight="1" ht="11.25">
      <c r="A38" s="1085" t="s">
        <v>1835</v>
      </c>
      <c r="E38" s="418" t="s">
        <v>1836</v>
      </c>
      <c r="F38" s="1126" t="s">
        <v>947</v>
      </c>
      <c r="G38" s="418" t="s">
        <v>1837</v>
      </c>
      <c r="O38" s="1085" t="s">
        <v>1638</v>
      </c>
      <c r="AX38" s="1131" t="s">
        <v>1384</v>
      </c>
      <c r="AZ38" s="1131" t="s">
        <v>1548</v>
      </c>
      <c r="BE38" s="1131">
        <v>2034</v>
      </c>
      <c r="BH38" s="1078" t="s">
        <v>1838</v>
      </c>
      <c r="BJ38" s="1078" t="s">
        <v>1839</v>
      </c>
      <c r="BL38" s="1078" t="s">
        <v>1840</v>
      </c>
      <c r="BN38" s="1078" t="s">
        <v>1841</v>
      </c>
    </row>
    <row customHeight="1" ht="11.25">
      <c r="A39" s="1085" t="s">
        <v>1842</v>
      </c>
      <c r="E39" s="418" t="s">
        <v>1843</v>
      </c>
      <c r="F39" s="1126" t="s">
        <v>1000</v>
      </c>
      <c r="G39" s="418" t="s">
        <v>1844</v>
      </c>
      <c r="O39" s="1085" t="s">
        <v>1652</v>
      </c>
      <c r="AX39" s="1131" t="s">
        <v>1385</v>
      </c>
      <c r="AZ39" s="1131" t="s">
        <v>1581</v>
      </c>
      <c r="BE39" s="1131">
        <v>2035</v>
      </c>
      <c r="BH39" s="1079" t="s">
        <v>1845</v>
      </c>
      <c r="BJ39" s="1228" t="s">
        <v>1845</v>
      </c>
      <c r="BL39" s="1228" t="s">
        <v>1845</v>
      </c>
      <c r="BN39" s="1079" t="s">
        <v>1846</v>
      </c>
    </row>
    <row customHeight="1" ht="11.25">
      <c r="A40" s="1085" t="s">
        <v>1847</v>
      </c>
      <c r="E40" s="418" t="s">
        <v>1848</v>
      </c>
      <c r="F40" s="1126" t="s">
        <v>987</v>
      </c>
      <c r="G40" s="418" t="s">
        <v>1849</v>
      </c>
      <c r="O40" s="1085" t="s">
        <v>1668</v>
      </c>
      <c r="AX40" s="1131" t="s">
        <v>1386</v>
      </c>
      <c r="BE40" s="1131">
        <v>2036</v>
      </c>
      <c r="BH40" s="1079" t="s">
        <v>1850</v>
      </c>
      <c r="BJ40" s="1228" t="s">
        <v>1288</v>
      </c>
      <c r="BL40" s="1228" t="s">
        <v>1288</v>
      </c>
      <c r="BN40" s="1079" t="s">
        <v>1322</v>
      </c>
    </row>
    <row customHeight="1" ht="11.25">
      <c r="A41" s="1085" t="s">
        <v>1851</v>
      </c>
      <c r="E41" s="418" t="s">
        <v>1852</v>
      </c>
      <c r="F41" s="1126" t="s">
        <v>1853</v>
      </c>
      <c r="G41" s="418" t="s">
        <v>1852</v>
      </c>
      <c r="O41" s="1085" t="s">
        <v>590</v>
      </c>
      <c r="AX41" s="1131" t="s">
        <v>1854</v>
      </c>
      <c r="AZ41" s="1078" t="s">
        <v>1855</v>
      </c>
      <c r="BE41" s="1131">
        <v>2037</v>
      </c>
      <c r="BH41" s="1079" t="s">
        <v>1856</v>
      </c>
      <c r="BJ41" s="1228" t="s">
        <v>1284</v>
      </c>
      <c r="BL41" s="1228" t="s">
        <v>1284</v>
      </c>
      <c r="BN41" s="1079" t="s">
        <v>1309</v>
      </c>
    </row>
    <row customHeight="1" ht="11.25">
      <c r="A42" s="1085" t="s">
        <v>1857</v>
      </c>
      <c r="AX42" s="1131" t="s">
        <v>1858</v>
      </c>
      <c r="AZ42" s="1131" t="s">
        <v>1489</v>
      </c>
      <c r="BE42" s="1131">
        <v>2038</v>
      </c>
      <c r="BH42" s="1079" t="s">
        <v>1306</v>
      </c>
      <c r="BJ42" s="1228" t="s">
        <v>1286</v>
      </c>
      <c r="BL42" s="1228" t="s">
        <v>1286</v>
      </c>
      <c r="BN42" s="1079" t="s">
        <v>1859</v>
      </c>
    </row>
    <row customHeight="1" ht="11.25">
      <c r="A43" s="1085" t="s">
        <v>1860</v>
      </c>
      <c r="AX43" s="1131" t="s">
        <v>1861</v>
      </c>
      <c r="AZ43" s="1131" t="s">
        <v>1512</v>
      </c>
      <c r="BE43" s="1131">
        <v>2039</v>
      </c>
      <c r="BH43" s="1079" t="s">
        <v>1862</v>
      </c>
      <c r="BJ43" s="1228" t="s">
        <v>1856</v>
      </c>
      <c r="BL43" s="1228" t="s">
        <v>1856</v>
      </c>
      <c r="BN43" s="1079" t="s">
        <v>1863</v>
      </c>
    </row>
    <row customHeight="1" ht="11.25">
      <c r="A44" s="1085" t="s">
        <v>1864</v>
      </c>
      <c r="G44" s="1105">
        <f>YEAR(TODAY())</f>
        <v>2026</v>
      </c>
      <c r="I44" s="810" t="s">
        <v>1865</v>
      </c>
      <c r="J44" s="1100" t="s">
        <v>1866</v>
      </c>
      <c r="K44" s="1100" t="s">
        <v>1867</v>
      </c>
      <c r="AX44" s="1131" t="s">
        <v>1868</v>
      </c>
      <c r="AZ44" s="1131" t="s">
        <v>1547</v>
      </c>
      <c r="BE44" s="1131">
        <v>2040</v>
      </c>
      <c r="BH44" s="1079" t="s">
        <v>1869</v>
      </c>
      <c r="BJ44" s="1228" t="s">
        <v>1306</v>
      </c>
      <c r="BL44" s="1228" t="s">
        <v>1306</v>
      </c>
      <c r="BN44" s="1079" t="s">
        <v>1870</v>
      </c>
    </row>
    <row customHeight="1" ht="11.25">
      <c r="A45" s="1085" t="s">
        <v>1871</v>
      </c>
      <c r="D45" s="1122" t="s">
        <v>1872</v>
      </c>
      <c r="E45" s="1123" t="s">
        <v>1873</v>
      </c>
      <c r="F45" s="808" t="s">
        <v>1874</v>
      </c>
      <c r="G45" s="807" t="s">
        <v>1875</v>
      </c>
      <c r="H45" s="810" t="s">
        <v>1876</v>
      </c>
      <c r="I45" s="1751">
        <f>INDEX(PeriodIsEmptyList,MATCH(TEMPLATE_GROUP,CodeTemplateList,0),1)</f>
        <v>0</v>
      </c>
      <c r="J45" s="175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31" t="s">
        <v>1877</v>
      </c>
      <c r="AZ45" s="1131" t="s">
        <v>1580</v>
      </c>
      <c r="BE45" s="1131">
        <v>2041</v>
      </c>
      <c r="BH45" s="1079" t="s">
        <v>1878</v>
      </c>
      <c r="BJ45" s="1228" t="s">
        <v>1300</v>
      </c>
      <c r="BL45" s="1228" t="s">
        <v>1300</v>
      </c>
      <c r="BN45" s="1079" t="s">
        <v>1879</v>
      </c>
    </row>
    <row customHeight="1" ht="11.25">
      <c r="A46" s="1085" t="s">
        <v>1880</v>
      </c>
      <c r="E46" s="418" t="s">
        <v>27</v>
      </c>
      <c r="F46" s="1125" t="s">
        <v>1881</v>
      </c>
      <c r="G46" s="1127" t="str">
        <f>_xlfn.IFERROR(IF(TITLE_DATE_FIL="","01.01."&amp;CURRENT_YEAR,"01.01."&amp;YEAR(TITLE_DATE_FIL)),"01.01."&amp;CURRENT_YEAR)</f>
        <v>01.01.2026</v>
      </c>
      <c r="H46" s="1127"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1" t="s">
        <v>1882</v>
      </c>
      <c r="AZ46" s="1131" t="s">
        <v>1603</v>
      </c>
      <c r="BE46" s="1131">
        <v>2042</v>
      </c>
      <c r="BH46" s="1079" t="s">
        <v>1309</v>
      </c>
      <c r="BJ46" s="1228" t="s">
        <v>1290</v>
      </c>
      <c r="BL46" s="1228" t="s">
        <v>1290</v>
      </c>
      <c r="BN46" s="1079" t="s">
        <v>1883</v>
      </c>
    </row>
    <row customHeight="1" ht="11.25">
      <c r="A47" s="1085" t="s">
        <v>1884</v>
      </c>
      <c r="E47" s="418" t="s">
        <v>33</v>
      </c>
      <c r="F47" s="1126" t="s">
        <v>1885</v>
      </c>
      <c r="G47" s="1127" t="str">
        <f>_xlfn.IFERROR(IF(f_year="","01.01."&amp;CURRENT_YEAR,IF(LEN(f_quart)=0,"01.01."&amp;f_year,IF(f_quart="I квартал","01.01."&amp;f_year,IF(f_quart="II квартал","01.04."&amp;f_year,(IF(f_quart="III квартал","01.07."&amp;f_year,"01.10."&amp;f_year)))))),"01.01."&amp;CURRENT_YEAR)</f>
        <v>01.01.2025</v>
      </c>
      <c r="H47" s="1127" t="str">
        <f>_xlfn.IFERROR(IF(f_year="","31.12."&amp;CURRENT_YEAR,IF(LEN(f_quart)=0,"31.12."&amp;f_year,IF(f_quart="I квартал","31.03."&amp;f_year,IF(f_quart="II квартал","30.06."&amp;f_year,(IF(f_quart="III квартал","30.09."&amp;f_year,"31.12."&amp;f_year)))))),"31.12."&amp;CURRENT_YEAR)</f>
        <v>31.12.2025</v>
      </c>
      <c r="I47" s="1753">
        <f>IF(OR(f_year="",f_quart=""),TRUE,FALSE)</f>
        <v>1</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1" t="s">
        <v>1886</v>
      </c>
      <c r="AZ47" s="1131" t="s">
        <v>1622</v>
      </c>
      <c r="BE47" s="1131">
        <v>2043</v>
      </c>
      <c r="BH47" s="1079" t="s">
        <v>1859</v>
      </c>
      <c r="BJ47" s="1228" t="s">
        <v>1292</v>
      </c>
      <c r="BL47" s="1228" t="s">
        <v>1292</v>
      </c>
      <c r="BN47" s="1079" t="s">
        <v>1887</v>
      </c>
    </row>
    <row customHeight="1" ht="11.25">
      <c r="A48" s="1085" t="s">
        <v>1888</v>
      </c>
      <c r="E48" s="418" t="s">
        <v>1889</v>
      </c>
      <c r="F48" s="1126" t="s">
        <v>1873</v>
      </c>
      <c r="G48" s="1127" t="str">
        <f>_xlfn.IFERROR(IF(f_year="","01.01."&amp;CURRENT_YEAR,"01.01."&amp;f_year),"01.01."&amp;CURRENT_YEAR)</f>
        <v>01.01.2025</v>
      </c>
      <c r="H48" s="1127" t="str">
        <f>_xlfn.IFERROR(IF(f_year="","31.12."&amp;CURRENT_YEAR,"31.12."&amp;f_year),"31.12."&amp;CURRENT_YEAR)</f>
        <v>31.12.2025</v>
      </c>
      <c r="I48" s="1752">
        <f>IF(f_year="",TRUE,FALSE)</f>
        <v>0</v>
      </c>
      <c r="J48" s="1755" t="s">
        <v>1890</v>
      </c>
      <c r="K48" s="1756"/>
      <c r="AX48" s="1131" t="s">
        <v>1891</v>
      </c>
      <c r="AZ48" s="1131" t="s">
        <v>1638</v>
      </c>
      <c r="BE48" s="1131">
        <v>2044</v>
      </c>
      <c r="BH48" s="1079" t="s">
        <v>1863</v>
      </c>
      <c r="BJ48" s="1228" t="s">
        <v>1294</v>
      </c>
      <c r="BL48" s="1228" t="s">
        <v>1294</v>
      </c>
      <c r="BN48" s="1079" t="s">
        <v>1892</v>
      </c>
    </row>
    <row customHeight="1" ht="11.25">
      <c r="A49" s="1085" t="s">
        <v>1893</v>
      </c>
      <c r="E49" s="418" t="s">
        <v>1894</v>
      </c>
      <c r="F49" s="1126" t="s">
        <v>1895</v>
      </c>
      <c r="G49" s="1127" t="str">
        <f>_xlfn.IFERROR(IF(f_year="","01.01."&amp;CURRENT_YEAR,"01.01."&amp;f_year),"01.01."&amp;CURRENT_YEAR)</f>
        <v>01.01.2025</v>
      </c>
      <c r="H49" s="1127" t="str">
        <f>_xlfn.IFERROR(IF(f_year="","31.12."&amp;CURRENT_YEAR,"31.12."&amp;f_year),"31.12."&amp;CURRENT_YEAR)</f>
        <v>31.12.2025</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1" t="s">
        <v>1896</v>
      </c>
      <c r="AZ49" s="1131" t="s">
        <v>1652</v>
      </c>
      <c r="BE49" s="1131">
        <v>2045</v>
      </c>
      <c r="BH49" s="1079" t="s">
        <v>1310</v>
      </c>
      <c r="BJ49" s="1228" t="s">
        <v>1296</v>
      </c>
      <c r="BL49" s="1228" t="s">
        <v>1296</v>
      </c>
    </row>
    <row customHeight="1" ht="11.25">
      <c r="A50" s="1085" t="s">
        <v>1897</v>
      </c>
      <c r="E50" s="418" t="s">
        <v>1898</v>
      </c>
      <c r="F50" s="1126" t="s">
        <v>1281</v>
      </c>
      <c r="G50" s="1127" t="str">
        <f>_xlfn.IFERROR(IF(f_year="","01.01."&amp;CURRENT_YEAR,"01.01."&amp;f_year),"01.01."&amp;CURRENT_YEAR)</f>
        <v>01.01.2025</v>
      </c>
      <c r="H50" s="1127" t="str">
        <f>_xlfn.IFERROR(IF(f_year="","31.12."&amp;CURRENT_YEAR,"31.12."&amp;f_year),"31.12."&amp;CURRENT_YEAR)</f>
        <v>31.12.2025</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1" t="s">
        <v>1899</v>
      </c>
      <c r="AZ50" s="1131" t="s">
        <v>1668</v>
      </c>
      <c r="BE50" s="1131">
        <v>2046</v>
      </c>
      <c r="BH50" s="1079" t="s">
        <v>1870</v>
      </c>
      <c r="BJ50" s="1228" t="s">
        <v>1298</v>
      </c>
      <c r="BL50" s="1228" t="s">
        <v>1298</v>
      </c>
    </row>
    <row customHeight="1" ht="11.25">
      <c r="A51" s="1085" t="s">
        <v>1900</v>
      </c>
      <c r="E51" s="418" t="s">
        <v>1901</v>
      </c>
      <c r="F51" s="1126" t="s">
        <v>1902</v>
      </c>
      <c r="G51" s="1127" t="str">
        <f>_xlfn.IFERROR(IF(TITLE_PERIOD_START="","01.01."&amp;CURRENT_YEAR,"01.01."&amp;YEAR(TITLE_PERIOD_START)),"01.01."&amp;CURRENT_YEAR)</f>
        <v>01.01.2026</v>
      </c>
      <c r="H51" s="1127"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1" t="s">
        <v>1903</v>
      </c>
      <c r="AZ51" s="1131" t="s">
        <v>590</v>
      </c>
      <c r="BE51" s="1131">
        <v>2047</v>
      </c>
      <c r="BH51" s="1079" t="s">
        <v>1879</v>
      </c>
      <c r="BJ51" s="1228" t="s">
        <v>1904</v>
      </c>
      <c r="BL51" s="1228" t="s">
        <v>1904</v>
      </c>
    </row>
    <row customHeight="1" ht="11.25">
      <c r="A52" s="1085" t="s">
        <v>1905</v>
      </c>
      <c r="E52" s="418" t="s">
        <v>1906</v>
      </c>
      <c r="F52" s="1126" t="s">
        <v>1907</v>
      </c>
      <c r="G52" s="1127" t="str">
        <f>_xlfn.IFERROR(IF(TITLE_PERIOD_START="","01.01."&amp;CURRENT_YEAR,"01.01."&amp;YEAR(TITLE_PERIOD_START)),"01.01."&amp;CURRENT_YEAR)</f>
        <v>01.01.2026</v>
      </c>
      <c r="H52" s="1127"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1" t="s">
        <v>1908</v>
      </c>
      <c r="AZ52" s="1131" t="s">
        <v>1490</v>
      </c>
      <c r="BE52" s="1131">
        <v>2048</v>
      </c>
      <c r="BH52" s="1079" t="s">
        <v>1883</v>
      </c>
      <c r="BJ52" s="1228" t="s">
        <v>1309</v>
      </c>
      <c r="BL52" s="1228" t="s">
        <v>1309</v>
      </c>
    </row>
    <row customHeight="1" ht="11.25">
      <c r="A53" s="1085" t="s">
        <v>1909</v>
      </c>
      <c r="E53" s="418" t="s">
        <v>1910</v>
      </c>
      <c r="F53" s="1126" t="s">
        <v>1910</v>
      </c>
      <c r="G53" s="1127" t="str">
        <f>_xlfn.IFERROR(IF(f_year="","01.01."&amp;CURRENT_YEAR,"01.01."&amp;f_year),"01.01."&amp;CURRENT_YEAR)</f>
        <v>01.01.2025</v>
      </c>
      <c r="H53" s="1127" t="str">
        <f>_xlfn.IFERROR(IF(f_year="","31.12."&amp;CURRENT_YEAR,"31.12."&amp;f_year),"31.12."&amp;CURRENT_YEAR)</f>
        <v>31.12.2025</v>
      </c>
      <c r="I53" s="1752">
        <f>IF(AND(f_year="",TITLE_DATE_FIL=""),TRUE,FALSE)</f>
        <v>0</v>
      </c>
      <c r="J53" s="1755" t="s">
        <v>1911</v>
      </c>
      <c r="K53" s="1756"/>
      <c r="AX53" s="1131" t="s">
        <v>1912</v>
      </c>
      <c r="BE53" s="1131">
        <v>2049</v>
      </c>
      <c r="BH53" s="1079" t="s">
        <v>1887</v>
      </c>
      <c r="BJ53" s="1228" t="s">
        <v>1859</v>
      </c>
      <c r="BL53" s="1228" t="s">
        <v>1859</v>
      </c>
    </row>
    <row customHeight="1" ht="11.25">
      <c r="A54" s="1085" t="s">
        <v>1913</v>
      </c>
      <c r="AX54" s="1131" t="s">
        <v>1914</v>
      </c>
      <c r="AZ54" s="1078" t="s">
        <v>1915</v>
      </c>
      <c r="BE54" s="1131">
        <v>2050</v>
      </c>
      <c r="BH54" s="1079" t="s">
        <v>1892</v>
      </c>
      <c r="BJ54" s="1228" t="s">
        <v>1863</v>
      </c>
      <c r="BL54" s="1228" t="s">
        <v>1863</v>
      </c>
    </row>
    <row customHeight="1" ht="11.25">
      <c r="A55" s="1085" t="s">
        <v>1916</v>
      </c>
      <c r="AX55" s="1131" t="s">
        <v>1917</v>
      </c>
      <c r="AZ55" s="1131" t="s">
        <v>1492</v>
      </c>
      <c r="BE55" s="1131">
        <v>2051</v>
      </c>
      <c r="BH55" s="1081" t="s">
        <v>22</v>
      </c>
      <c r="BJ55" s="1228" t="s">
        <v>1310</v>
      </c>
      <c r="BL55" s="1228" t="s">
        <v>1310</v>
      </c>
    </row>
    <row customHeight="1" ht="11.25">
      <c r="A56" s="1085" t="s">
        <v>1918</v>
      </c>
      <c r="D56" s="1129" t="s">
        <v>1919</v>
      </c>
      <c r="E56" s="1106" t="s">
        <v>1920</v>
      </c>
      <c r="F56" s="1085" t="s">
        <v>1921</v>
      </c>
      <c r="AX56" s="1131" t="s">
        <v>1922</v>
      </c>
      <c r="AZ56" s="1131" t="s">
        <v>1516</v>
      </c>
      <c r="BE56" s="1131">
        <v>2052</v>
      </c>
      <c r="BH56" s="1081" t="s">
        <v>22</v>
      </c>
      <c r="BJ56" s="1228" t="s">
        <v>1870</v>
      </c>
      <c r="BL56" s="1228" t="s">
        <v>1870</v>
      </c>
    </row>
    <row customHeight="1" ht="11.25">
      <c r="A57" s="1085" t="s">
        <v>1923</v>
      </c>
      <c r="D57" s="1129" t="s">
        <v>1924</v>
      </c>
      <c r="E57" s="1106" t="s">
        <v>1925</v>
      </c>
      <c r="F57" s="1085" t="s">
        <v>1921</v>
      </c>
      <c r="AX57" s="1131" t="s">
        <v>1926</v>
      </c>
      <c r="AZ57" s="1131" t="s">
        <v>1550</v>
      </c>
      <c r="BE57" s="1131">
        <v>2053</v>
      </c>
      <c r="BJ57" s="1228" t="s">
        <v>1879</v>
      </c>
      <c r="BL57" s="1228" t="s">
        <v>1879</v>
      </c>
    </row>
    <row customHeight="1" ht="11.25">
      <c r="A58" s="1085" t="s">
        <v>1927</v>
      </c>
      <c r="D58" s="1129" t="s">
        <v>1928</v>
      </c>
      <c r="E58" s="1106" t="s">
        <v>1912</v>
      </c>
      <c r="F58" s="1085" t="s">
        <v>1921</v>
      </c>
      <c r="AX58" s="1131" t="s">
        <v>1929</v>
      </c>
      <c r="BE58" s="1131">
        <v>2054</v>
      </c>
      <c r="BJ58" s="1228" t="s">
        <v>1883</v>
      </c>
      <c r="BL58" s="1228" t="s">
        <v>1883</v>
      </c>
    </row>
    <row customHeight="1" ht="11.25">
      <c r="A59" s="1085" t="s">
        <v>1930</v>
      </c>
      <c r="D59" s="1129" t="s">
        <v>147</v>
      </c>
      <c r="E59" s="1106" t="s">
        <v>1215</v>
      </c>
      <c r="F59" s="1085" t="s">
        <v>1931</v>
      </c>
      <c r="AX59" s="1131" t="s">
        <v>1932</v>
      </c>
      <c r="AZ59" s="1078" t="s">
        <v>1933</v>
      </c>
      <c r="BE59" s="1131">
        <v>2055</v>
      </c>
      <c r="BJ59" s="1228" t="s">
        <v>1887</v>
      </c>
      <c r="BL59" s="1228" t="s">
        <v>1887</v>
      </c>
    </row>
    <row customHeight="1" ht="11.25">
      <c r="A60" s="1085" t="s">
        <v>1934</v>
      </c>
      <c r="D60" s="1129" t="s">
        <v>1935</v>
      </c>
      <c r="E60" s="1106" t="s">
        <v>1215</v>
      </c>
      <c r="F60" s="1085" t="s">
        <v>1931</v>
      </c>
      <c r="AX60" s="1131" t="s">
        <v>1936</v>
      </c>
      <c r="AZ60" s="1131" t="s">
        <v>1493</v>
      </c>
      <c r="BE60" s="1131">
        <v>2056</v>
      </c>
      <c r="BJ60" s="1228" t="s">
        <v>1892</v>
      </c>
      <c r="BL60" s="1228" t="s">
        <v>1892</v>
      </c>
    </row>
    <row customHeight="1" ht="11.25">
      <c r="A61" s="1085" t="s">
        <v>1937</v>
      </c>
      <c r="D61" s="1129" t="s">
        <v>1938</v>
      </c>
      <c r="E61" s="1106" t="s">
        <v>1215</v>
      </c>
      <c r="F61" s="1085" t="s">
        <v>1931</v>
      </c>
      <c r="AX61" s="1131" t="s">
        <v>1939</v>
      </c>
      <c r="AZ61" s="1131" t="s">
        <v>1517</v>
      </c>
      <c r="BE61" s="1131">
        <v>2057</v>
      </c>
      <c r="BL61" s="1228" t="s">
        <v>1302</v>
      </c>
    </row>
    <row customHeight="1" ht="11.25">
      <c r="A62" s="1085" t="s">
        <v>1940</v>
      </c>
      <c r="D62" s="1129" t="s">
        <v>146</v>
      </c>
      <c r="E62" s="1106">
        <v>30</v>
      </c>
      <c r="F62" s="1085" t="s">
        <v>1931</v>
      </c>
      <c r="AZ62" s="1131" t="s">
        <v>1551</v>
      </c>
      <c r="BE62" s="1131">
        <v>2058</v>
      </c>
      <c r="BL62" s="1228" t="s">
        <v>1304</v>
      </c>
    </row>
    <row customHeight="1" ht="11.25">
      <c r="A63" s="1085" t="s">
        <v>1941</v>
      </c>
      <c r="D63" s="1129" t="s">
        <v>1942</v>
      </c>
      <c r="E63" s="1106">
        <v>30</v>
      </c>
      <c r="F63" s="1085" t="s">
        <v>1931</v>
      </c>
      <c r="AZ63" s="1131" t="s">
        <v>1583</v>
      </c>
      <c r="BE63" s="1131">
        <v>2059</v>
      </c>
    </row>
    <row customHeight="1" ht="11.25">
      <c r="A64" s="1085" t="s">
        <v>1943</v>
      </c>
      <c r="D64" s="1129" t="s">
        <v>1944</v>
      </c>
      <c r="E64" s="1106">
        <v>30</v>
      </c>
      <c r="F64" s="1085" t="s">
        <v>1931</v>
      </c>
      <c r="AZ64" s="1131" t="s">
        <v>1604</v>
      </c>
      <c r="BE64" s="1131">
        <v>2060</v>
      </c>
    </row>
    <row customHeight="1" ht="11.25">
      <c r="A65" s="1085" t="s">
        <v>1945</v>
      </c>
      <c r="D65" s="1085"/>
      <c r="BE65" s="1131">
        <v>2061</v>
      </c>
    </row>
    <row customHeight="1" ht="11.25">
      <c r="A66" s="1085" t="s">
        <v>1946</v>
      </c>
      <c r="AZ66" s="1078" t="s">
        <v>1947</v>
      </c>
      <c r="BE66" s="1131">
        <v>2062</v>
      </c>
    </row>
    <row customHeight="1" ht="11.25">
      <c r="A67" s="1085" t="s">
        <v>1948</v>
      </c>
      <c r="AZ67" s="1131" t="s">
        <v>1494</v>
      </c>
      <c r="BE67" s="1131">
        <v>2063</v>
      </c>
    </row>
    <row customHeight="1" ht="11.25">
      <c r="A68" s="1085" t="s">
        <v>1949</v>
      </c>
      <c r="AZ68" s="1131" t="s">
        <v>1518</v>
      </c>
      <c r="BE68" s="1131">
        <v>2064</v>
      </c>
      <c r="BH68" s="1078" t="s">
        <v>1950</v>
      </c>
      <c r="BJ68" s="1078" t="s">
        <v>1951</v>
      </c>
      <c r="BL68" s="1078" t="s">
        <v>1952</v>
      </c>
      <c r="BN68" s="1078" t="s">
        <v>1953</v>
      </c>
    </row>
    <row customHeight="1" ht="11.25">
      <c r="A69" s="1085" t="s">
        <v>1954</v>
      </c>
      <c r="AZ69" s="1131" t="s">
        <v>1552</v>
      </c>
      <c r="BE69" s="1131">
        <v>2065</v>
      </c>
      <c r="BH69" s="1079" t="s">
        <v>1134</v>
      </c>
      <c r="BI69" s="1128" t="s">
        <v>120</v>
      </c>
      <c r="BJ69" s="1079" t="s">
        <v>1955</v>
      </c>
      <c r="BK69" s="1128" t="s">
        <v>120</v>
      </c>
      <c r="BL69" s="1079" t="s">
        <v>1956</v>
      </c>
      <c r="BM69" s="1081" t="s">
        <v>120</v>
      </c>
      <c r="BN69" s="1079" t="s">
        <v>1957</v>
      </c>
    </row>
    <row customHeight="1" ht="11.25">
      <c r="A70" s="1085" t="s">
        <v>1958</v>
      </c>
      <c r="AZ70" s="1131" t="s">
        <v>1584</v>
      </c>
      <c r="BE70" s="1131">
        <v>2066</v>
      </c>
      <c r="BH70" s="1079" t="s">
        <v>1268</v>
      </c>
      <c r="BJ70" s="1079" t="s">
        <v>1959</v>
      </c>
      <c r="BL70" s="1079" t="s">
        <v>1960</v>
      </c>
      <c r="BN70" s="1079" t="s">
        <v>1961</v>
      </c>
    </row>
    <row customHeight="1" ht="11.25">
      <c r="A71" s="1085" t="s">
        <v>1962</v>
      </c>
      <c r="AZ71" s="1131" t="s">
        <v>1586</v>
      </c>
      <c r="BE71" s="1131">
        <v>2067</v>
      </c>
      <c r="BH71" s="1079" t="s">
        <v>1156</v>
      </c>
      <c r="BI71" s="1128" t="s">
        <v>91</v>
      </c>
      <c r="BJ71" s="1079" t="s">
        <v>1963</v>
      </c>
      <c r="BK71" s="1128" t="s">
        <v>91</v>
      </c>
      <c r="BL71" s="1079" t="s">
        <v>1964</v>
      </c>
      <c r="BM71" s="1081" t="s">
        <v>91</v>
      </c>
      <c r="BN71" s="1079" t="s">
        <v>1965</v>
      </c>
    </row>
    <row customHeight="1" ht="11.25">
      <c r="A72" s="1085" t="s">
        <v>1966</v>
      </c>
      <c r="AZ72" s="1131" t="s">
        <v>19</v>
      </c>
      <c r="BE72" s="1131">
        <v>2068</v>
      </c>
      <c r="BH72" s="1079" t="s">
        <v>1967</v>
      </c>
      <c r="BJ72" s="1079" t="s">
        <v>1967</v>
      </c>
      <c r="BL72" s="1079" t="s">
        <v>1967</v>
      </c>
      <c r="BN72" s="1079" t="s">
        <v>1968</v>
      </c>
    </row>
    <row customHeight="1" ht="11.25">
      <c r="A73" s="1085" t="s">
        <v>1969</v>
      </c>
      <c r="BE73" s="1131">
        <v>2069</v>
      </c>
      <c r="BH73" s="1079" t="s">
        <v>1970</v>
      </c>
      <c r="BI73" s="1128" t="s">
        <v>121</v>
      </c>
      <c r="BJ73" s="1079" t="s">
        <v>1971</v>
      </c>
      <c r="BK73" s="1128" t="s">
        <v>121</v>
      </c>
      <c r="BL73" s="1079" t="s">
        <v>1972</v>
      </c>
      <c r="BM73" s="1081" t="s">
        <v>121</v>
      </c>
      <c r="BN73" s="1079" t="s">
        <v>1973</v>
      </c>
    </row>
    <row customHeight="1" ht="11.25">
      <c r="A74" s="1085" t="s">
        <v>1974</v>
      </c>
      <c r="BE74" s="1131">
        <v>2070</v>
      </c>
      <c r="BH74" s="1079" t="s">
        <v>1120</v>
      </c>
      <c r="BJ74" s="1079" t="s">
        <v>1975</v>
      </c>
      <c r="BL74" s="1079" t="s">
        <v>1976</v>
      </c>
      <c r="BN74" s="1079" t="s">
        <v>1977</v>
      </c>
    </row>
    <row customHeight="1" ht="11.25">
      <c r="A75" s="1085" t="s">
        <v>1978</v>
      </c>
      <c r="AZ75" s="1078" t="s">
        <v>1979</v>
      </c>
      <c r="BH75" s="1079" t="s">
        <v>1980</v>
      </c>
      <c r="BJ75" s="1079" t="s">
        <v>1980</v>
      </c>
      <c r="BL75" s="1079" t="s">
        <v>1980</v>
      </c>
    </row>
    <row customHeight="1" ht="11.25">
      <c r="A76" s="1085" t="s">
        <v>1981</v>
      </c>
      <c r="AZ76" s="1131" t="s">
        <v>1503</v>
      </c>
      <c r="BH76" s="1079" t="s">
        <v>1209</v>
      </c>
      <c r="BJ76" s="1079" t="s">
        <v>1982</v>
      </c>
      <c r="BL76" s="1079" t="s">
        <v>1983</v>
      </c>
    </row>
    <row customHeight="1" ht="11.25">
      <c r="A77" s="1085" t="s">
        <v>1984</v>
      </c>
      <c r="AZ77" s="1131" t="s">
        <v>1528</v>
      </c>
    </row>
    <row customHeight="1" ht="11.25">
      <c r="A78" s="1085" t="s">
        <v>1985</v>
      </c>
      <c r="AZ78" s="1131" t="s">
        <v>1559</v>
      </c>
    </row>
    <row customHeight="1" ht="11.25">
      <c r="A79" s="1085" t="s">
        <v>1986</v>
      </c>
      <c r="AZ79" s="1131" t="s">
        <v>1590</v>
      </c>
      <c r="BH79" s="1078" t="s">
        <v>1133</v>
      </c>
      <c r="BJ79" s="1078" t="s">
        <v>1987</v>
      </c>
      <c r="BL79" s="1078" t="s">
        <v>1988</v>
      </c>
    </row>
    <row customHeight="1" ht="11.25">
      <c r="A80" s="1085" t="s">
        <v>1989</v>
      </c>
      <c r="AZ80" s="1131" t="s">
        <v>1609</v>
      </c>
      <c r="BH80" s="1079" t="s">
        <v>1135</v>
      </c>
      <c r="BJ80" s="1079" t="s">
        <v>1990</v>
      </c>
      <c r="BL80" s="1079" t="s">
        <v>1991</v>
      </c>
    </row>
    <row customHeight="1" ht="11.25">
      <c r="A81" s="1085" t="s">
        <v>1992</v>
      </c>
      <c r="AZ81" s="1131" t="s">
        <v>1626</v>
      </c>
      <c r="BH81" s="1079" t="s">
        <v>1251</v>
      </c>
      <c r="BJ81" s="1079" t="s">
        <v>1993</v>
      </c>
      <c r="BL81" s="1079" t="s">
        <v>1994</v>
      </c>
    </row>
    <row customHeight="1" ht="11.25">
      <c r="A82" s="1085" t="s">
        <v>1995</v>
      </c>
      <c r="AZ82" s="1131" t="s">
        <v>1640</v>
      </c>
      <c r="BH82" s="1079" t="s">
        <v>1996</v>
      </c>
      <c r="BJ82" s="1079" t="s">
        <v>1997</v>
      </c>
      <c r="BL82" s="1079" t="s">
        <v>1998</v>
      </c>
    </row>
    <row customHeight="1" ht="11.25">
      <c r="A83" s="1085" t="s">
        <v>1999</v>
      </c>
      <c r="BH83" s="1079" t="s">
        <v>2000</v>
      </c>
      <c r="BJ83" s="1079" t="s">
        <v>2001</v>
      </c>
      <c r="BL83" s="1079" t="s">
        <v>2002</v>
      </c>
    </row>
    <row customHeight="1" ht="11.25">
      <c r="A84" s="1085" t="s">
        <v>2003</v>
      </c>
      <c r="AZ84" s="1078" t="s">
        <v>2004</v>
      </c>
    </row>
    <row customHeight="1" ht="11.25">
      <c r="A85" s="1878" t="s">
        <v>2005</v>
      </c>
      <c r="AZ85" s="1131" t="s">
        <v>2006</v>
      </c>
    </row>
    <row customHeight="1" ht="11.25">
      <c r="A86" s="1085" t="s">
        <v>2007</v>
      </c>
      <c r="AZ86" s="1131" t="s">
        <v>2008</v>
      </c>
      <c r="BH86" s="1078" t="s">
        <v>1155</v>
      </c>
      <c r="BJ86" s="1078" t="s">
        <v>2009</v>
      </c>
      <c r="BL86" s="1078" t="s">
        <v>2010</v>
      </c>
    </row>
    <row customHeight="1" ht="11.25">
      <c r="A87" s="1085" t="s">
        <v>2011</v>
      </c>
      <c r="AZ87" s="1131" t="s">
        <v>2012</v>
      </c>
      <c r="BH87" s="1079" t="s">
        <v>1160</v>
      </c>
      <c r="BJ87" s="1079" t="s">
        <v>2013</v>
      </c>
      <c r="BL87" s="1079" t="s">
        <v>2014</v>
      </c>
    </row>
    <row customHeight="1" ht="11.25">
      <c r="A88" s="1085" t="s">
        <v>2015</v>
      </c>
      <c r="AZ88" s="1617"/>
      <c r="BH88" s="1079" t="s">
        <v>1157</v>
      </c>
      <c r="BJ88" s="1079" t="s">
        <v>2016</v>
      </c>
      <c r="BL88" s="1079" t="s">
        <v>2017</v>
      </c>
    </row>
    <row customHeight="1" ht="11.25">
      <c r="A89" s="1085" t="s">
        <v>2018</v>
      </c>
      <c r="AZ89" s="1078" t="s">
        <v>2019</v>
      </c>
    </row>
    <row customHeight="1" ht="11.25">
      <c r="A90" s="1085" t="s">
        <v>2020</v>
      </c>
      <c r="AZ90" s="1131" t="s">
        <v>1281</v>
      </c>
    </row>
    <row customHeight="1" ht="11.25">
      <c r="A91" s="1085" t="s">
        <v>2021</v>
      </c>
      <c r="AZ91" s="1131" t="s">
        <v>1316</v>
      </c>
      <c r="BH91" s="1078" t="s">
        <v>2022</v>
      </c>
      <c r="BJ91" s="1078" t="s">
        <v>2023</v>
      </c>
      <c r="BL91" s="1078" t="s">
        <v>2024</v>
      </c>
    </row>
    <row customHeight="1" ht="11.25">
      <c r="AZ92" s="1131" t="s">
        <v>2025</v>
      </c>
      <c r="BH92" s="1079" t="s">
        <v>2026</v>
      </c>
      <c r="BJ92" s="1079" t="s">
        <v>2027</v>
      </c>
      <c r="BL92" s="1079" t="s">
        <v>2028</v>
      </c>
    </row>
    <row customHeight="1" ht="11.25">
      <c r="AZ93" s="1131" t="s">
        <v>2029</v>
      </c>
      <c r="BH93" s="1079" t="s">
        <v>2030</v>
      </c>
      <c r="BJ93" s="1079" t="s">
        <v>2031</v>
      </c>
      <c r="BL93" s="1079" t="s">
        <v>2032</v>
      </c>
    </row>
    <row customHeight="1" ht="11.25">
      <c r="AZ94" s="1131" t="s">
        <v>2033</v>
      </c>
    </row>
    <row r="96" customHeight="1" ht="11.25">
      <c r="AZ96" s="1078" t="s">
        <v>2034</v>
      </c>
      <c r="BH96" s="1078" t="s">
        <v>2035</v>
      </c>
      <c r="BJ96" s="1078" t="s">
        <v>2036</v>
      </c>
      <c r="BL96" s="1078" t="s">
        <v>2037</v>
      </c>
      <c r="BN96" s="1078" t="s">
        <v>2038</v>
      </c>
    </row>
    <row customHeight="1" ht="11.25">
      <c r="AZ97" s="1909" t="s">
        <v>2039</v>
      </c>
      <c r="BA97" s="1910" t="s">
        <v>2040</v>
      </c>
      <c r="BH97" s="1079" t="s">
        <v>2041</v>
      </c>
      <c r="BJ97" s="1079" t="s">
        <v>2042</v>
      </c>
      <c r="BL97" s="1079" t="s">
        <v>2043</v>
      </c>
      <c r="BN97" s="1079" t="s">
        <v>2044</v>
      </c>
    </row>
    <row customHeight="1" ht="11.25">
      <c r="AZ98" s="1909" t="s">
        <v>2045</v>
      </c>
      <c r="BA98" s="1910" t="s">
        <v>2046</v>
      </c>
      <c r="BH98" s="1079" t="s">
        <v>2047</v>
      </c>
      <c r="BJ98" s="1079" t="s">
        <v>2048</v>
      </c>
      <c r="BL98" s="1079" t="s">
        <v>2049</v>
      </c>
      <c r="BN98" s="1079" t="s">
        <v>2050</v>
      </c>
    </row>
    <row customHeight="1" ht="22.5">
      <c r="AZ99" s="1909" t="s">
        <v>2051</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9" t="s">
        <v>2052</v>
      </c>
      <c r="BJ99" s="1079" t="s">
        <v>2053</v>
      </c>
      <c r="BL99" s="1079" t="s">
        <v>2054</v>
      </c>
      <c r="BN99" s="1079" t="s">
        <v>2055</v>
      </c>
    </row>
    <row customHeight="1" ht="22.5">
      <c r="AZ100" s="1909" t="s">
        <v>2056</v>
      </c>
      <c r="BA100"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9" t="s">
        <v>590</v>
      </c>
      <c r="BL100" s="1079" t="s">
        <v>590</v>
      </c>
      <c r="BN100" s="1079" t="s">
        <v>2057</v>
      </c>
    </row>
    <row customHeight="1" ht="22.5">
      <c r="AZ101" s="1909" t="s">
        <v>2058</v>
      </c>
      <c r="BA101" s="1910" t="s">
        <v>2059</v>
      </c>
      <c r="BN101" s="1079" t="s">
        <v>2060</v>
      </c>
    </row>
    <row customHeight="1" ht="22.5">
      <c r="AZ102" s="1909" t="s">
        <v>2061</v>
      </c>
      <c r="BA102"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9" t="s">
        <v>2062</v>
      </c>
    </row>
    <row customHeight="1" ht="11.25">
      <c r="AZ103" s="1909" t="s">
        <v>2063</v>
      </c>
      <c r="BA103" s="1910" t="s">
        <v>2064</v>
      </c>
      <c r="BN103" s="1079" t="s">
        <v>2065</v>
      </c>
    </row>
    <row customHeight="1" ht="11.25">
      <c r="BN104" s="1079" t="s">
        <v>2066</v>
      </c>
    </row>
    <row customHeight="1" ht="11.25">
      <c r="AZ105" s="1702" t="s">
        <v>2067</v>
      </c>
    </row>
    <row customHeight="1" ht="11.25">
      <c r="AZ106" s="1131" t="s">
        <v>2068</v>
      </c>
    </row>
    <row customHeight="1" ht="11.25">
      <c r="AZ107" s="1131" t="s">
        <v>2069</v>
      </c>
      <c r="BH107" s="1078" t="s">
        <v>2070</v>
      </c>
      <c r="BJ107" s="1078" t="s">
        <v>2071</v>
      </c>
      <c r="BL107" s="1078" t="s">
        <v>2072</v>
      </c>
      <c r="BN107" s="1078" t="s">
        <v>2073</v>
      </c>
    </row>
    <row customHeight="1" ht="11.25">
      <c r="AZ108" s="1131" t="s">
        <v>595</v>
      </c>
      <c r="BH108" s="1079" t="s">
        <v>2074</v>
      </c>
      <c r="BJ108" s="1079" t="s">
        <v>2075</v>
      </c>
      <c r="BL108" s="1079" t="s">
        <v>1761</v>
      </c>
      <c r="BN108" s="1079" t="s">
        <v>2076</v>
      </c>
    </row>
    <row customHeight="1" ht="11.25">
      <c r="BH109" s="1079" t="s">
        <v>2077</v>
      </c>
    </row>
    <row customHeight="1" ht="11.25">
      <c r="AZ110" s="1702" t="s">
        <v>2078</v>
      </c>
      <c r="BH110" s="1079" t="s">
        <v>2077</v>
      </c>
    </row>
    <row customHeight="1" ht="11.25">
      <c r="AZ111" s="1909" t="s">
        <v>2039</v>
      </c>
      <c r="BA111" s="1910" t="s">
        <v>2040</v>
      </c>
    </row>
    <row customHeight="1" ht="11.25">
      <c r="AZ112" s="1909" t="s">
        <v>2045</v>
      </c>
      <c r="BA112" s="1910" t="s">
        <v>2046</v>
      </c>
    </row>
    <row customHeight="1" ht="22.5">
      <c r="AZ113" s="1909" t="s">
        <v>2051</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2056</v>
      </c>
      <c r="BA114"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8" t="s">
        <v>2079</v>
      </c>
    </row>
    <row customHeight="1" ht="22.5">
      <c r="AZ115" s="1909" t="s">
        <v>2061</v>
      </c>
      <c r="BA115" s="191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9" t="s">
        <v>1490</v>
      </c>
    </row>
    <row customHeight="1" ht="11.25">
      <c r="AZ116" s="1909" t="s">
        <v>2063</v>
      </c>
      <c r="BA116" s="1910" t="s">
        <v>2064</v>
      </c>
      <c r="BH116" s="1079" t="s">
        <v>1514</v>
      </c>
    </row>
    <row customHeight="1" ht="11.25">
      <c r="BH117" s="1079" t="s">
        <v>1548</v>
      </c>
    </row>
    <row customHeight="1" ht="11.25">
      <c r="BH118" s="1079" t="s">
        <v>1581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85A28-68E8-6198-7218-5D76B5B2CBE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2" width="15.00390625" hidden="1" customWidth="1"/>
    <col min="3" max="3" style="466" width="3.00390625" customWidth="1"/>
    <col min="4" max="4" style="467" width="6.00390625" customWidth="1"/>
    <col min="5" max="5" style="466" width="52.00390625" customWidth="1"/>
    <col min="6" max="6" style="466" width="48.00390625" customWidth="1"/>
    <col min="7" max="7" style="466" width="93.00390625" customWidth="1"/>
    <col min="8" max="8" style="466" width="8.00390625" customWidth="1"/>
    <col min="9" max="9" style="466" width="64.00390625" customWidth="1"/>
    <col min="10" max="10" style="466" width="9.140625" hidden="1"/>
  </cols>
  <sheetData>
    <row customHeight="1" ht="11.25" hidden="1">
      <c r="A1" s="512" t="s">
        <v>313</v>
      </c>
      <c r="J1" s="466" t="s">
        <v>14</v>
      </c>
    </row>
    <row customHeight="1" ht="22.5" hidden="1">
      <c r="A2" s="513"/>
      <c r="B2" s="513"/>
      <c r="C2" s="1740" t="s">
        <v>105</v>
      </c>
      <c r="D2" s="1531"/>
      <c r="E2" s="1537"/>
      <c r="F2" s="1560"/>
      <c r="H2" s="486"/>
      <c r="J2" s="466">
        <v>0</v>
      </c>
    </row>
    <row customHeight="1" ht="11.25" hidden="1">
      <c r="J3" s="466">
        <v>0</v>
      </c>
    </row>
    <row customHeight="1" ht="11.549999999999999">
      <c r="A4" s="1561"/>
      <c r="B4" s="1561"/>
      <c r="J4" s="466">
        <v>11</v>
      </c>
    </row>
    <row customHeight="1" ht="27.299999999999997">
      <c r="D5" s="226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69"/>
      <c r="F5" s="2270"/>
      <c r="I5" s="726"/>
      <c r="J5" s="466">
        <v>26</v>
      </c>
    </row>
    <row customHeight="1" ht="18">
      <c r="D6" s="2206" t="str">
        <f>IF(region_name=0,"Не определено",region_name)</f>
        <v>Курганская область</v>
      </c>
      <c r="E6" s="2206"/>
      <c r="F6" s="2206"/>
      <c r="I6" s="726"/>
      <c r="J6" s="466">
        <v>17</v>
      </c>
    </row>
    <row s="488" customFormat="1" customHeight="1" ht="11.549999999999999">
      <c r="A7" s="512"/>
      <c r="B7" s="512"/>
      <c r="D7" s="725"/>
      <c r="E7" s="725"/>
      <c r="F7" s="763"/>
      <c r="G7" s="725"/>
      <c r="J7" s="488">
        <v>11</v>
      </c>
    </row>
    <row customHeight="1" ht="11.25" hidden="1">
      <c r="A8" s="513"/>
      <c r="B8" s="513"/>
      <c r="C8" s="468"/>
      <c r="D8" s="474"/>
      <c r="E8" s="2237"/>
      <c r="F8" s="2237"/>
      <c r="J8" s="466">
        <v>0</v>
      </c>
    </row>
    <row customHeight="1" ht="11.549999999999999">
      <c r="A9" s="513"/>
      <c r="B9" s="513"/>
      <c r="C9" s="468"/>
      <c r="D9" s="2234" t="s">
        <v>314</v>
      </c>
      <c r="E9" s="2235"/>
      <c r="F9" s="2235"/>
      <c r="G9" s="2238" t="s">
        <v>315</v>
      </c>
      <c r="J9" s="466">
        <v>11</v>
      </c>
    </row>
    <row customHeight="1" ht="11.549999999999999">
      <c r="A10" s="513"/>
      <c r="B10" s="513"/>
      <c r="C10" s="468"/>
      <c r="D10" s="1485" t="s">
        <v>89</v>
      </c>
      <c r="E10" s="1487" t="s">
        <v>316</v>
      </c>
      <c r="F10" s="1487" t="s">
        <v>317</v>
      </c>
      <c r="G10" s="2239"/>
      <c r="J10" s="466">
        <v>11</v>
      </c>
    </row>
    <row customHeight="1" ht="1.05">
      <c r="A11" s="513"/>
      <c r="B11" s="513"/>
      <c r="C11" s="468"/>
      <c r="D11" s="475"/>
      <c r="E11" s="475"/>
      <c r="F11" s="475"/>
      <c r="G11" s="475"/>
      <c r="J11" s="466">
        <v>1</v>
      </c>
    </row>
    <row customHeight="1" ht="24">
      <c r="A12" s="513"/>
      <c r="B12" s="513"/>
      <c r="C12" s="468"/>
      <c r="D12" s="1531">
        <v>1</v>
      </c>
      <c r="E12" s="48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6" t="str">
        <f>IF(org="","",org)</f>
        <v>ПАО "КГК"</v>
      </c>
      <c r="G12" s="48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4"/>
      <c r="J12" s="466">
        <v>23</v>
      </c>
    </row>
    <row customHeight="1" ht="19.95">
      <c r="A13" s="513"/>
      <c r="B13" s="513"/>
      <c r="C13" s="468"/>
      <c r="D13" s="1531">
        <v>2</v>
      </c>
      <c r="E13" s="1538" t="s">
        <v>2080</v>
      </c>
      <c r="F13" s="1532" t="s">
        <v>320</v>
      </c>
      <c r="G13" s="485"/>
      <c r="H13" s="1544"/>
      <c r="J13" s="466">
        <v>19</v>
      </c>
    </row>
    <row customHeight="1" ht="19.95">
      <c r="A14" s="513"/>
      <c r="B14" s="513"/>
      <c r="C14" s="468"/>
      <c r="D14" s="1534" t="s">
        <v>783</v>
      </c>
      <c r="E14" s="1535" t="s">
        <v>2081</v>
      </c>
      <c r="F14" s="1537"/>
      <c r="G14" s="1536" t="s">
        <v>2082</v>
      </c>
      <c r="H14" s="1544"/>
      <c r="J14" s="466">
        <v>19</v>
      </c>
    </row>
    <row customHeight="1" ht="19.95">
      <c r="A15" s="513"/>
      <c r="B15" s="513"/>
      <c r="C15" s="468"/>
      <c r="D15" s="1534" t="s">
        <v>321</v>
      </c>
      <c r="E15" s="1535" t="s">
        <v>2083</v>
      </c>
      <c r="F15" s="1537"/>
      <c r="G15" s="1536" t="s">
        <v>2084</v>
      </c>
      <c r="H15" s="1544"/>
      <c r="J15" s="466">
        <v>19</v>
      </c>
    </row>
    <row customHeight="1" ht="24">
      <c r="A16" s="513"/>
      <c r="B16" s="513"/>
      <c r="C16" s="468"/>
      <c r="D16" s="1534" t="s">
        <v>324</v>
      </c>
      <c r="E16" s="1533" t="s">
        <v>2085</v>
      </c>
      <c r="F16" s="1542"/>
      <c r="G16" s="485" t="s">
        <v>2086</v>
      </c>
      <c r="H16" s="1544"/>
      <c r="J16" s="466">
        <v>23</v>
      </c>
    </row>
    <row customHeight="1" ht="48.29999999999999">
      <c r="A17" s="513"/>
      <c r="B17" s="513"/>
      <c r="C17" s="468"/>
      <c r="D17" s="1531">
        <v>3</v>
      </c>
      <c r="E17" s="1538" t="s">
        <v>2087</v>
      </c>
      <c r="F17" s="1537"/>
      <c r="G17" s="485" t="s">
        <v>2088</v>
      </c>
      <c r="H17" s="1544"/>
      <c r="J17" s="466">
        <v>46</v>
      </c>
    </row>
    <row customHeight="1" ht="48.29999999999999">
      <c r="A18" s="1486">
        <v>1</v>
      </c>
      <c r="B18" s="513"/>
      <c r="C18" s="1488"/>
      <c r="D18" s="1531" t="s">
        <v>92</v>
      </c>
      <c r="E18" s="1538" t="s">
        <v>2089</v>
      </c>
      <c r="F18" s="1537"/>
      <c r="G18" s="485" t="s">
        <v>2088</v>
      </c>
      <c r="H18" s="1544"/>
      <c r="I18" s="863"/>
      <c r="J18" s="466">
        <v>46</v>
      </c>
    </row>
    <row customHeight="1" ht="23.25">
      <c r="A19" s="513"/>
      <c r="B19" s="513"/>
      <c r="C19" s="468"/>
      <c r="D19" s="1531" t="s">
        <v>121</v>
      </c>
      <c r="E19" s="1538" t="s">
        <v>2090</v>
      </c>
      <c r="F19" s="1532" t="s">
        <v>320</v>
      </c>
      <c r="G19" s="2501" t="s">
        <v>2091</v>
      </c>
      <c r="H19" s="486"/>
      <c r="J19" s="466">
        <v>22</v>
      </c>
    </row>
    <row s="1541" customFormat="1" customHeight="1" ht="5.25" hidden="1">
      <c r="A20" s="513"/>
      <c r="B20" s="513"/>
      <c r="C20" s="1540"/>
      <c r="D20" s="1539" t="s">
        <v>1389</v>
      </c>
      <c r="E20" s="1025"/>
      <c r="F20" s="1024"/>
      <c r="G20" s="2502"/>
      <c r="J20" s="1541">
        <v>0</v>
      </c>
    </row>
    <row customHeight="1" ht="15.75">
      <c r="A21" s="513"/>
      <c r="B21" s="513"/>
      <c r="C21" s="468"/>
      <c r="D21" s="478"/>
      <c r="E21" s="426" t="s">
        <v>353</v>
      </c>
      <c r="F21" s="480"/>
      <c r="G21" s="2503"/>
      <c r="H21" s="1544"/>
      <c r="J21" s="466">
        <v>15</v>
      </c>
    </row>
    <row s="512" customFormat="1" customHeight="1" ht="26.25">
      <c r="A22" s="513"/>
      <c r="B22" s="513"/>
      <c r="C22" s="513"/>
      <c r="D22" s="1531" t="s">
        <v>93</v>
      </c>
      <c r="E22" s="485" t="s">
        <v>2092</v>
      </c>
      <c r="F22" s="1537"/>
      <c r="G22" s="485" t="s">
        <v>2093</v>
      </c>
      <c r="H22" s="1543"/>
      <c r="J22" s="512">
        <v>25</v>
      </c>
    </row>
    <row s="512" customFormat="1" customHeight="1" ht="19.95">
      <c r="A23" s="513"/>
      <c r="B23" s="513"/>
      <c r="C23" s="513"/>
      <c r="D23" s="1531" t="s">
        <v>94</v>
      </c>
      <c r="E23" s="1538" t="s">
        <v>2094</v>
      </c>
      <c r="F23" s="1542"/>
      <c r="G23" s="485" t="s">
        <v>2095</v>
      </c>
      <c r="H23" s="1543"/>
      <c r="J23" s="512">
        <v>19</v>
      </c>
    </row>
    <row s="512" customFormat="1" customHeight="1" ht="144" hidden="1">
      <c r="A24" s="513"/>
      <c r="B24" s="513"/>
      <c r="C24" s="513"/>
      <c r="D24" s="1531" t="s">
        <v>122</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3"/>
      <c r="J24" s="512">
        <v>0</v>
      </c>
    </row>
    <row customHeight="1" ht="11.25" hidden="1">
      <c r="A25" s="512" t="s">
        <v>83</v>
      </c>
      <c r="B25" s="512">
        <v>0</v>
      </c>
      <c r="C25" s="466">
        <v>3</v>
      </c>
      <c r="D25" s="467">
        <v>6</v>
      </c>
      <c r="E25" s="466">
        <v>52</v>
      </c>
      <c r="F25" s="466">
        <v>48</v>
      </c>
      <c r="G25" s="466">
        <v>93</v>
      </c>
      <c r="H25" s="466">
        <v>8</v>
      </c>
      <c r="I25" s="466">
        <v>64</v>
      </c>
      <c r="J25" s="46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399E4D-CCD8-E173-E7AE-4212F8BBB90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0" width="3.00390625" customWidth="1"/>
    <col min="5" max="5" style="1646" width="6.00390625" customWidth="1"/>
    <col min="6" max="6" style="1646" width="46.00390625" customWidth="1"/>
    <col min="7" max="8" style="1646" width="16.00390625" customWidth="1"/>
    <col min="9" max="9" style="1646" width="35.00390625" customWidth="1"/>
    <col min="10" max="10" style="1646" width="89.00390625" customWidth="1"/>
    <col min="11" max="11" style="1635" width="3.00390625" customWidth="1"/>
    <col min="12" max="14" style="1635" width="8.00390625" customWidth="1"/>
    <col min="15" max="15" style="1635" width="25.00390625" customWidth="1"/>
    <col min="16" max="16" style="1635" width="14.00390625" customWidth="1"/>
    <col min="17" max="20" style="236" width="8.00390625" customWidth="1"/>
    <col min="21" max="254" style="1646" width="8.00390625" customWidth="1"/>
    <col min="255" max="255" style="1646" width="9.140625" hidden="1"/>
  </cols>
  <sheetData>
    <row customHeight="1" ht="22.5" hidden="1">
      <c r="F1" s="1642" t="s">
        <v>2096</v>
      </c>
      <c r="G1" s="1642" t="s">
        <v>48</v>
      </c>
      <c r="H1" s="1642" t="s">
        <v>50</v>
      </c>
      <c r="IU1" s="1166" t="s">
        <v>14</v>
      </c>
    </row>
    <row s="1858" customFormat="1" customHeight="1" ht="22.5" hidden="1">
      <c r="A2" s="842"/>
      <c r="B2" s="1171">
        <v>1</v>
      </c>
      <c r="C2" s="1171"/>
      <c r="D2" s="1936" t="s">
        <v>105</v>
      </c>
      <c r="E2" s="1495"/>
      <c r="F2" s="1502"/>
      <c r="G2" s="1502"/>
      <c r="H2" s="1502"/>
      <c r="I2" s="1992"/>
      <c r="J2" s="1993"/>
      <c r="K2" s="1546"/>
      <c r="L2" s="522"/>
      <c r="M2" s="522"/>
      <c r="N2" s="511" t="str">
        <f t="array" ref="N2:N2">IF(ISERROR(MATCH(MID(O2,1,250),MID(note_ter,1,250),0)),"n","y")</f>
        <v>n</v>
      </c>
      <c r="O2" s="522"/>
      <c r="P2" s="511" t="str">
        <f>G2&amp;"("&amp;J2&amp;")"</f>
        <v>()</v>
      </c>
      <c r="Q2" s="1171"/>
      <c r="R2" s="1171"/>
      <c r="S2" s="431"/>
      <c r="T2" s="1171"/>
      <c r="U2" s="1171"/>
      <c r="V2" s="1171"/>
      <c r="W2" s="433"/>
      <c r="X2" s="433"/>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3"/>
      <c r="BU2" s="433"/>
      <c r="BV2" s="433"/>
      <c r="BW2" s="433"/>
      <c r="BX2" s="433"/>
      <c r="BY2" s="433"/>
      <c r="BZ2" s="433"/>
      <c r="CA2" s="433"/>
      <c r="CB2" s="433"/>
      <c r="CC2" s="433"/>
      <c r="IU2" s="434">
        <v>0</v>
      </c>
    </row>
    <row s="1653" customFormat="1" customHeight="1" ht="4.2">
      <c r="A3" s="507"/>
      <c r="D3" s="505"/>
      <c r="F3" s="258" t="s">
        <v>84</v>
      </c>
      <c r="G3" s="505" t="s">
        <v>85</v>
      </c>
      <c r="H3" s="505"/>
      <c r="I3" s="505"/>
      <c r="J3" s="238" t="s">
        <v>86</v>
      </c>
      <c r="K3" s="258" t="s">
        <v>84</v>
      </c>
      <c r="L3" s="258"/>
      <c r="M3" s="258"/>
      <c r="N3" s="258"/>
      <c r="O3" s="259"/>
      <c r="P3" s="258"/>
      <c r="Q3" s="258"/>
      <c r="R3" s="258"/>
      <c r="S3" s="258"/>
      <c r="T3" s="25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522">
        <v>4</v>
      </c>
    </row>
    <row s="1829" customFormat="1" customHeight="1" ht="14.699999999999998">
      <c r="A4" s="1166"/>
      <c r="B4" s="1171"/>
      <c r="C4" s="1166"/>
      <c r="D4" s="1506"/>
      <c r="E4" s="520"/>
      <c r="F4" s="1653"/>
      <c r="G4" s="520"/>
      <c r="H4" s="520"/>
      <c r="I4" s="520"/>
      <c r="J4" s="177"/>
      <c r="K4" s="258"/>
      <c r="L4" s="511"/>
      <c r="M4" s="511"/>
      <c r="N4" s="511"/>
      <c r="O4" s="237"/>
      <c r="P4" s="511"/>
      <c r="Q4" s="236"/>
      <c r="R4" s="236"/>
      <c r="S4" s="236"/>
      <c r="T4" s="236"/>
      <c r="IU4" s="518">
        <v>14</v>
      </c>
    </row>
    <row s="1829" customFormat="1" customHeight="1" ht="27.299999999999997">
      <c r="A5" s="1166"/>
      <c r="B5" s="1171"/>
      <c r="C5" s="1166"/>
      <c r="D5" s="1506"/>
      <c r="E5" s="213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30"/>
      <c r="G5" s="2130"/>
      <c r="H5" s="2130"/>
      <c r="I5" s="2130"/>
      <c r="J5" s="2130"/>
      <c r="K5" s="258"/>
      <c r="L5" s="511"/>
      <c r="M5" s="511"/>
      <c r="N5" s="511"/>
      <c r="O5" s="237"/>
      <c r="P5" s="511"/>
      <c r="Q5" s="236"/>
      <c r="R5" s="236"/>
      <c r="S5" s="236"/>
      <c r="T5" s="236"/>
      <c r="IU5" s="518">
        <v>26</v>
      </c>
    </row>
    <row s="1829" customFormat="1" customHeight="1" ht="14.699999999999998">
      <c r="A6" s="1166"/>
      <c r="B6" s="1171"/>
      <c r="C6" s="1166"/>
      <c r="D6" s="1506"/>
      <c r="E6" s="520"/>
      <c r="F6" s="178"/>
      <c r="G6" s="178"/>
      <c r="H6" s="178"/>
      <c r="I6" s="178"/>
      <c r="J6" s="179"/>
      <c r="K6" s="511"/>
      <c r="L6" s="511"/>
      <c r="M6" s="511"/>
      <c r="N6" s="511"/>
      <c r="O6" s="237"/>
      <c r="P6" s="511"/>
      <c r="Q6" s="236"/>
      <c r="R6" s="236"/>
      <c r="S6" s="236"/>
      <c r="T6" s="236"/>
      <c r="IU6" s="518">
        <v>14</v>
      </c>
    </row>
    <row s="1829" customFormat="1" customHeight="1" ht="14.699999999999998">
      <c r="A7" s="1166"/>
      <c r="B7" s="1171"/>
      <c r="C7" s="1166"/>
      <c r="D7" s="1506"/>
      <c r="E7" s="2131" t="s">
        <v>314</v>
      </c>
      <c r="F7" s="2132"/>
      <c r="G7" s="2132"/>
      <c r="H7" s="2132"/>
      <c r="I7" s="2132"/>
      <c r="J7" s="2504" t="s">
        <v>315</v>
      </c>
      <c r="K7" s="511"/>
      <c r="L7" s="511"/>
      <c r="M7" s="511"/>
      <c r="N7" s="511"/>
      <c r="O7" s="237"/>
      <c r="P7" s="511"/>
      <c r="Q7" s="236"/>
      <c r="R7" s="236"/>
      <c r="S7" s="236"/>
      <c r="T7" s="236"/>
      <c r="IU7" s="518">
        <v>14</v>
      </c>
    </row>
    <row s="1829" customFormat="1" customHeight="1" ht="21">
      <c r="A8" s="1166"/>
      <c r="B8" s="1171"/>
      <c r="C8" s="1166"/>
      <c r="D8" s="1506"/>
      <c r="E8" s="1559" t="s">
        <v>89</v>
      </c>
      <c r="F8" s="1551" t="s">
        <v>2096</v>
      </c>
      <c r="G8" s="1551" t="s">
        <v>48</v>
      </c>
      <c r="H8" s="1551" t="s">
        <v>50</v>
      </c>
      <c r="I8" s="1551" t="s">
        <v>2097</v>
      </c>
      <c r="J8" s="2505"/>
      <c r="K8" s="511"/>
      <c r="L8" s="511"/>
      <c r="M8" s="511"/>
      <c r="N8" s="511"/>
      <c r="O8" s="237"/>
      <c r="P8" s="511"/>
      <c r="Q8" s="236"/>
      <c r="R8" s="236"/>
      <c r="S8" s="236"/>
      <c r="T8" s="236"/>
      <c r="IU8" s="518">
        <v>20</v>
      </c>
    </row>
    <row s="1858" customFormat="1" customHeight="1" ht="23.25">
      <c r="A9" s="1642"/>
      <c r="B9" s="1171">
        <v>1</v>
      </c>
      <c r="C9" s="1171"/>
      <c r="D9" s="812"/>
      <c r="E9" s="1495">
        <v>1</v>
      </c>
      <c r="F9" s="1558"/>
      <c r="G9" s="1502"/>
      <c r="H9" s="1502"/>
      <c r="I9" s="1549"/>
      <c r="J9" s="21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6"/>
      <c r="L9" s="522"/>
      <c r="M9" s="522"/>
      <c r="N9" s="511" t="str">
        <f t="array" ref="N9:N9">IF(ISERROR(MATCH(MID(O9,1,250),MID(note_ter,1,250),0)),"n","y")</f>
        <v>n</v>
      </c>
      <c r="O9" s="522"/>
      <c r="P9" s="51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1"/>
      <c r="R9" s="1171"/>
      <c r="S9" s="431"/>
      <c r="T9" s="1171"/>
      <c r="U9" s="1171"/>
      <c r="V9" s="1171"/>
      <c r="W9" s="433"/>
      <c r="X9" s="433"/>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30"/>
      <c r="BR9" s="430"/>
      <c r="BS9" s="430"/>
      <c r="BT9" s="433"/>
      <c r="BU9" s="433"/>
      <c r="BV9" s="433"/>
      <c r="BW9" s="433"/>
      <c r="BX9" s="433"/>
      <c r="BY9" s="433"/>
      <c r="BZ9" s="433"/>
      <c r="CA9" s="433"/>
      <c r="CB9" s="433"/>
      <c r="CC9" s="433"/>
      <c r="IU9" s="434">
        <v>22</v>
      </c>
    </row>
    <row s="1858" customFormat="1" customHeight="1" ht="15.75">
      <c r="A10" s="1642"/>
      <c r="B10" s="1171"/>
      <c r="C10" s="423"/>
      <c r="D10" s="812"/>
      <c r="E10" s="1552"/>
      <c r="F10" s="1511" t="s">
        <v>2098</v>
      </c>
      <c r="G10" s="1553"/>
      <c r="H10" s="1553"/>
      <c r="I10" s="1907"/>
      <c r="J10" s="2201"/>
      <c r="K10" s="1547"/>
      <c r="L10" s="522"/>
      <c r="M10" s="522"/>
      <c r="N10" s="522"/>
      <c r="O10" s="511"/>
      <c r="P10" s="522"/>
      <c r="Q10" s="1171"/>
      <c r="R10" s="1171"/>
      <c r="S10" s="431"/>
      <c r="T10" s="1171"/>
      <c r="U10" s="1171"/>
      <c r="V10" s="1171"/>
      <c r="W10" s="433"/>
      <c r="X10" s="433"/>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c r="BR10" s="430"/>
      <c r="BS10" s="430"/>
      <c r="BT10" s="433"/>
      <c r="BU10" s="433"/>
      <c r="BV10" s="433"/>
      <c r="BW10" s="433"/>
      <c r="BX10" s="433"/>
      <c r="BY10" s="433"/>
      <c r="BZ10" s="433"/>
      <c r="CA10" s="433"/>
      <c r="CB10" s="433"/>
      <c r="CC10" s="433"/>
      <c r="IU10" s="434">
        <v>15</v>
      </c>
    </row>
    <row s="1829" customFormat="1" customHeight="1" ht="22.049999999999997">
      <c r="A11" s="1166"/>
      <c r="B11" s="1171"/>
      <c r="C11" s="1166"/>
      <c r="D11" s="462"/>
      <c r="E11" s="191"/>
      <c r="F11" s="191"/>
      <c r="G11" s="191"/>
      <c r="H11" s="191"/>
      <c r="I11" s="191"/>
      <c r="J11" s="191"/>
      <c r="K11" s="511"/>
      <c r="L11" s="511"/>
      <c r="M11" s="511"/>
      <c r="N11" s="511"/>
      <c r="O11" s="237"/>
      <c r="P11" s="511"/>
      <c r="Q11" s="236"/>
      <c r="R11" s="236"/>
      <c r="S11" s="236"/>
      <c r="T11" s="236"/>
      <c r="IU11" s="518">
        <v>21</v>
      </c>
    </row>
    <row s="1829" customFormat="1" customHeight="1" ht="14.699999999999998">
      <c r="A12" s="1166"/>
      <c r="B12" s="1171"/>
      <c r="C12" s="1166"/>
      <c r="D12" s="462"/>
      <c r="E12" s="1166"/>
      <c r="F12" s="1166"/>
      <c r="G12" s="1166"/>
      <c r="H12" s="1166"/>
      <c r="I12" s="1166"/>
      <c r="J12" s="1166"/>
      <c r="K12" s="511"/>
      <c r="L12" s="511"/>
      <c r="M12" s="511"/>
      <c r="N12" s="511"/>
      <c r="O12" s="237"/>
      <c r="P12" s="511"/>
      <c r="Q12" s="236"/>
      <c r="R12" s="236"/>
      <c r="S12" s="236"/>
      <c r="T12" s="236"/>
      <c r="IU12" s="518">
        <v>14</v>
      </c>
    </row>
    <row s="1829" customFormat="1" customHeight="1" ht="1.05">
      <c r="A13" s="1166"/>
      <c r="B13" s="1171"/>
      <c r="C13" s="1166"/>
      <c r="D13" s="462"/>
      <c r="E13" s="1166"/>
      <c r="F13" s="1166"/>
      <c r="G13" s="1166"/>
      <c r="H13" s="1166"/>
      <c r="I13" s="1166"/>
      <c r="J13" s="1166"/>
      <c r="K13" s="511"/>
      <c r="L13" s="511"/>
      <c r="M13" s="511"/>
      <c r="N13" s="511"/>
      <c r="O13" s="237"/>
      <c r="P13" s="511"/>
      <c r="Q13" s="236"/>
      <c r="R13" s="236"/>
      <c r="S13" s="236"/>
      <c r="T13" s="236"/>
      <c r="IU13" s="518">
        <v>1</v>
      </c>
    </row>
    <row s="1075" customFormat="1" customHeight="1" ht="10.5">
      <c r="B14" s="845"/>
      <c r="D14" s="193"/>
      <c r="K14" s="511"/>
      <c r="L14" s="511"/>
      <c r="M14" s="511"/>
      <c r="N14" s="511"/>
      <c r="O14" s="237"/>
      <c r="P14" s="511"/>
      <c r="Q14" s="236"/>
      <c r="R14" s="236"/>
      <c r="S14" s="236"/>
      <c r="T14" s="236"/>
      <c r="IU14" s="192">
        <v>10</v>
      </c>
    </row>
    <row s="1075" customFormat="1" customHeight="1" ht="10.5">
      <c r="B15" s="845"/>
      <c r="D15" s="193"/>
      <c r="K15" s="511"/>
      <c r="L15" s="511"/>
      <c r="M15" s="511"/>
      <c r="N15" s="511"/>
      <c r="O15" s="237"/>
      <c r="P15" s="511"/>
      <c r="Q15" s="236"/>
      <c r="R15" s="236"/>
      <c r="S15" s="236"/>
      <c r="T15" s="236"/>
      <c r="IU15" s="192">
        <v>10</v>
      </c>
    </row>
    <row customHeight="1" ht="14.699999999999998">
      <c r="IU16" s="1166">
        <v>14</v>
      </c>
    </row>
    <row customHeight="1" ht="14.699999999999998">
      <c r="IU17" s="1166">
        <v>14</v>
      </c>
    </row>
    <row customHeight="1" ht="14.699999999999998">
      <c r="IU18" s="1166">
        <v>14</v>
      </c>
    </row>
    <row customHeight="1" ht="14.699999999999998">
      <c r="G19" s="384"/>
      <c r="H19" s="384"/>
      <c r="I19" s="384"/>
      <c r="IU19" s="1166">
        <v>14</v>
      </c>
    </row>
    <row customHeight="1" ht="14.699999999999998">
      <c r="IU20" s="1166">
        <v>14</v>
      </c>
    </row>
    <row customHeight="1" ht="14.699999999999998">
      <c r="IU21" s="1166">
        <v>14</v>
      </c>
    </row>
    <row customHeight="1" ht="14.699999999999998">
      <c r="IU22" s="1166">
        <v>14</v>
      </c>
    </row>
    <row customHeight="1" ht="14.699999999999998">
      <c r="K23" s="1166"/>
      <c r="L23" s="1166"/>
      <c r="M23" s="1166"/>
      <c r="IU23" s="1166">
        <v>14</v>
      </c>
    </row>
    <row customHeight="1" ht="22.5" hidden="1">
      <c r="A24" s="1166" t="s">
        <v>83</v>
      </c>
      <c r="B24" s="1171">
        <v>0</v>
      </c>
      <c r="C24" s="1166">
        <v>0</v>
      </c>
      <c r="D24" s="462">
        <v>3</v>
      </c>
      <c r="E24" s="1166">
        <v>6</v>
      </c>
      <c r="F24" s="1166">
        <v>46</v>
      </c>
      <c r="G24" s="1166">
        <v>16</v>
      </c>
      <c r="H24" s="1166">
        <v>16</v>
      </c>
      <c r="I24" s="1166">
        <v>35</v>
      </c>
      <c r="J24" s="1166">
        <v>89</v>
      </c>
      <c r="K24" s="511">
        <v>3</v>
      </c>
      <c r="L24" s="511">
        <v>8</v>
      </c>
      <c r="M24" s="511">
        <v>8</v>
      </c>
      <c r="N24" s="511">
        <v>8</v>
      </c>
      <c r="O24" s="237">
        <v>25</v>
      </c>
      <c r="P24" s="511">
        <v>14</v>
      </c>
      <c r="Q24" s="236">
        <v>8</v>
      </c>
      <c r="R24" s="236">
        <v>8</v>
      </c>
      <c r="S24" s="236">
        <v>8</v>
      </c>
      <c r="T24" s="236">
        <v>8</v>
      </c>
      <c r="U24" s="1166">
        <v>8</v>
      </c>
      <c r="V24" s="1166">
        <v>8</v>
      </c>
      <c r="W24" s="1166">
        <v>8</v>
      </c>
      <c r="X24" s="1166">
        <v>8</v>
      </c>
      <c r="Y24" s="1166">
        <v>8</v>
      </c>
      <c r="Z24" s="1166">
        <v>8</v>
      </c>
      <c r="AA24" s="1166">
        <v>8</v>
      </c>
      <c r="AB24" s="1166">
        <v>8</v>
      </c>
      <c r="AC24" s="1166">
        <v>8</v>
      </c>
      <c r="AD24" s="1166">
        <v>8</v>
      </c>
      <c r="AE24" s="1166">
        <v>8</v>
      </c>
      <c r="AF24" s="1166">
        <v>8</v>
      </c>
      <c r="AG24" s="1166">
        <v>8</v>
      </c>
      <c r="AH24" s="1166">
        <v>8</v>
      </c>
      <c r="AI24" s="1166">
        <v>8</v>
      </c>
      <c r="AJ24" s="1166">
        <v>8</v>
      </c>
      <c r="AK24" s="1166">
        <v>8</v>
      </c>
      <c r="AL24" s="1166">
        <v>8</v>
      </c>
      <c r="AM24" s="1166">
        <v>8</v>
      </c>
      <c r="AN24" s="1166">
        <v>8</v>
      </c>
      <c r="AO24" s="1166">
        <v>8</v>
      </c>
      <c r="AP24" s="1166">
        <v>8</v>
      </c>
      <c r="AQ24" s="1166">
        <v>8</v>
      </c>
      <c r="AR24" s="1166">
        <v>8</v>
      </c>
      <c r="AS24" s="1166">
        <v>8</v>
      </c>
      <c r="AT24" s="1166">
        <v>8</v>
      </c>
      <c r="AU24" s="1166">
        <v>8</v>
      </c>
      <c r="AV24" s="1166">
        <v>8</v>
      </c>
      <c r="AW24" s="1166">
        <v>8</v>
      </c>
      <c r="AX24" s="1166">
        <v>8</v>
      </c>
      <c r="AY24" s="1166">
        <v>8</v>
      </c>
      <c r="AZ24" s="1166">
        <v>8</v>
      </c>
      <c r="BA24" s="1166">
        <v>8</v>
      </c>
      <c r="BB24" s="1166">
        <v>8</v>
      </c>
      <c r="BC24" s="1166">
        <v>8</v>
      </c>
      <c r="BD24" s="1166">
        <v>8</v>
      </c>
      <c r="BE24" s="1166">
        <v>8</v>
      </c>
      <c r="BF24" s="1166">
        <v>8</v>
      </c>
      <c r="BG24" s="1166">
        <v>8</v>
      </c>
      <c r="BH24" s="1166">
        <v>8</v>
      </c>
      <c r="BI24" s="1166">
        <v>8</v>
      </c>
      <c r="BJ24" s="1166">
        <v>8</v>
      </c>
      <c r="BK24" s="1166">
        <v>8</v>
      </c>
      <c r="BL24" s="1166">
        <v>8</v>
      </c>
      <c r="BM24" s="1166">
        <v>8</v>
      </c>
      <c r="BN24" s="1166">
        <v>8</v>
      </c>
      <c r="BO24" s="1166">
        <v>8</v>
      </c>
      <c r="BP24" s="1166">
        <v>8</v>
      </c>
      <c r="BQ24" s="1166">
        <v>8</v>
      </c>
      <c r="BR24" s="1166">
        <v>8</v>
      </c>
      <c r="BS24" s="1166">
        <v>8</v>
      </c>
      <c r="BT24" s="1166">
        <v>8</v>
      </c>
      <c r="BU24" s="1166">
        <v>8</v>
      </c>
      <c r="BV24" s="1166">
        <v>8</v>
      </c>
      <c r="BW24" s="1166">
        <v>8</v>
      </c>
      <c r="BX24" s="1166">
        <v>8</v>
      </c>
      <c r="BY24" s="1166">
        <v>8</v>
      </c>
      <c r="BZ24" s="1166">
        <v>8</v>
      </c>
      <c r="CA24" s="1166">
        <v>8</v>
      </c>
      <c r="CB24" s="1166">
        <v>8</v>
      </c>
      <c r="CC24" s="1166">
        <v>8</v>
      </c>
      <c r="CD24" s="1166">
        <v>8</v>
      </c>
      <c r="CE24" s="1166">
        <v>8</v>
      </c>
      <c r="CF24" s="1166">
        <v>8</v>
      </c>
      <c r="CG24" s="1166">
        <v>8</v>
      </c>
      <c r="CH24" s="1166">
        <v>8</v>
      </c>
      <c r="CI24" s="1166">
        <v>8</v>
      </c>
      <c r="CJ24" s="1166">
        <v>8</v>
      </c>
      <c r="CK24" s="1166">
        <v>8</v>
      </c>
      <c r="CL24" s="1166">
        <v>8</v>
      </c>
      <c r="CM24" s="1166">
        <v>8</v>
      </c>
      <c r="CN24" s="1166">
        <v>8</v>
      </c>
      <c r="CO24" s="1166">
        <v>8</v>
      </c>
      <c r="CP24" s="1166">
        <v>8</v>
      </c>
      <c r="CQ24" s="1166">
        <v>8</v>
      </c>
      <c r="CR24" s="1166">
        <v>8</v>
      </c>
      <c r="CS24" s="1166">
        <v>8</v>
      </c>
      <c r="CT24" s="1166">
        <v>8</v>
      </c>
      <c r="CU24" s="1166">
        <v>8</v>
      </c>
      <c r="CV24" s="1166">
        <v>8</v>
      </c>
      <c r="CW24" s="1166">
        <v>8</v>
      </c>
      <c r="CX24" s="1166">
        <v>8</v>
      </c>
      <c r="CY24" s="1166">
        <v>8</v>
      </c>
      <c r="CZ24" s="1166">
        <v>8</v>
      </c>
      <c r="DA24" s="1166">
        <v>8</v>
      </c>
      <c r="DB24" s="1166">
        <v>8</v>
      </c>
      <c r="DC24" s="1166">
        <v>8</v>
      </c>
      <c r="DD24" s="1166">
        <v>8</v>
      </c>
      <c r="DE24" s="1166">
        <v>8</v>
      </c>
      <c r="DF24" s="1166">
        <v>8</v>
      </c>
      <c r="DG24" s="1166">
        <v>8</v>
      </c>
      <c r="DH24" s="1166">
        <v>8</v>
      </c>
      <c r="DI24" s="1166">
        <v>8</v>
      </c>
      <c r="DJ24" s="1166">
        <v>8</v>
      </c>
      <c r="DK24" s="1166">
        <v>8</v>
      </c>
      <c r="DL24" s="1166">
        <v>8</v>
      </c>
      <c r="DM24" s="1166">
        <v>8</v>
      </c>
      <c r="DN24" s="1166">
        <v>8</v>
      </c>
      <c r="DO24" s="1166">
        <v>8</v>
      </c>
      <c r="DP24" s="1166">
        <v>8</v>
      </c>
      <c r="DQ24" s="1166">
        <v>8</v>
      </c>
      <c r="DR24" s="1166">
        <v>8</v>
      </c>
      <c r="DS24" s="1166">
        <v>8</v>
      </c>
      <c r="DT24" s="1166">
        <v>8</v>
      </c>
      <c r="DU24" s="1166">
        <v>8</v>
      </c>
      <c r="DV24" s="1166">
        <v>8</v>
      </c>
      <c r="DW24" s="1166">
        <v>8</v>
      </c>
      <c r="DX24" s="1166">
        <v>8</v>
      </c>
      <c r="DY24" s="1166">
        <v>8</v>
      </c>
      <c r="DZ24" s="1166">
        <v>8</v>
      </c>
      <c r="EA24" s="1166">
        <v>8</v>
      </c>
      <c r="EB24" s="1166">
        <v>8</v>
      </c>
      <c r="EC24" s="1166">
        <v>8</v>
      </c>
      <c r="ED24" s="1166">
        <v>8</v>
      </c>
      <c r="EE24" s="1166">
        <v>8</v>
      </c>
      <c r="EF24" s="1166">
        <v>8</v>
      </c>
      <c r="EG24" s="1166">
        <v>8</v>
      </c>
      <c r="EH24" s="1166">
        <v>8</v>
      </c>
      <c r="EI24" s="1166">
        <v>8</v>
      </c>
      <c r="EJ24" s="1166">
        <v>8</v>
      </c>
      <c r="EK24" s="1166">
        <v>8</v>
      </c>
      <c r="EL24" s="1166">
        <v>8</v>
      </c>
      <c r="EM24" s="1166">
        <v>8</v>
      </c>
      <c r="EN24" s="1166">
        <v>8</v>
      </c>
      <c r="EO24" s="1166">
        <v>8</v>
      </c>
      <c r="EP24" s="1166">
        <v>8</v>
      </c>
      <c r="EQ24" s="1166">
        <v>8</v>
      </c>
      <c r="ER24" s="1166">
        <v>8</v>
      </c>
      <c r="ES24" s="1166">
        <v>8</v>
      </c>
      <c r="ET24" s="1166">
        <v>8</v>
      </c>
      <c r="EU24" s="1166">
        <v>8</v>
      </c>
      <c r="EV24" s="1166">
        <v>8</v>
      </c>
      <c r="EW24" s="1166">
        <v>8</v>
      </c>
      <c r="EX24" s="1166">
        <v>8</v>
      </c>
      <c r="EY24" s="1166">
        <v>8</v>
      </c>
      <c r="EZ24" s="1166">
        <v>8</v>
      </c>
      <c r="FA24" s="1166">
        <v>8</v>
      </c>
      <c r="FB24" s="1166">
        <v>8</v>
      </c>
      <c r="FC24" s="1166">
        <v>8</v>
      </c>
      <c r="FD24" s="1166">
        <v>8</v>
      </c>
      <c r="FE24" s="1166">
        <v>8</v>
      </c>
      <c r="FF24" s="1166">
        <v>8</v>
      </c>
      <c r="FG24" s="1166">
        <v>8</v>
      </c>
      <c r="FH24" s="1166">
        <v>8</v>
      </c>
      <c r="FI24" s="1166">
        <v>8</v>
      </c>
      <c r="FJ24" s="1166">
        <v>8</v>
      </c>
      <c r="FK24" s="1166">
        <v>8</v>
      </c>
      <c r="FL24" s="1166">
        <v>8</v>
      </c>
      <c r="FM24" s="1166">
        <v>8</v>
      </c>
      <c r="FN24" s="1166">
        <v>8</v>
      </c>
      <c r="FO24" s="1166">
        <v>8</v>
      </c>
      <c r="FP24" s="1166">
        <v>8</v>
      </c>
      <c r="FQ24" s="1166">
        <v>8</v>
      </c>
      <c r="FR24" s="1166">
        <v>8</v>
      </c>
      <c r="FS24" s="1166">
        <v>8</v>
      </c>
      <c r="FT24" s="1166">
        <v>8</v>
      </c>
      <c r="FU24" s="1166">
        <v>8</v>
      </c>
      <c r="FV24" s="1166">
        <v>8</v>
      </c>
      <c r="FW24" s="1166">
        <v>8</v>
      </c>
      <c r="FX24" s="1166">
        <v>8</v>
      </c>
      <c r="FY24" s="1166">
        <v>8</v>
      </c>
      <c r="FZ24" s="1166">
        <v>8</v>
      </c>
      <c r="GA24" s="1166">
        <v>8</v>
      </c>
      <c r="GB24" s="1166">
        <v>8</v>
      </c>
      <c r="GC24" s="1166">
        <v>8</v>
      </c>
      <c r="GD24" s="1166">
        <v>8</v>
      </c>
      <c r="GE24" s="1166">
        <v>8</v>
      </c>
      <c r="GF24" s="1166">
        <v>8</v>
      </c>
      <c r="GG24" s="1166">
        <v>8</v>
      </c>
      <c r="GH24" s="1166">
        <v>8</v>
      </c>
      <c r="GI24" s="1166">
        <v>8</v>
      </c>
      <c r="GJ24" s="1166">
        <v>8</v>
      </c>
      <c r="GK24" s="1166">
        <v>8</v>
      </c>
      <c r="GL24" s="1166">
        <v>8</v>
      </c>
      <c r="GM24" s="1166">
        <v>8</v>
      </c>
      <c r="GN24" s="1166">
        <v>8</v>
      </c>
      <c r="GO24" s="1166">
        <v>8</v>
      </c>
      <c r="GP24" s="1166">
        <v>8</v>
      </c>
      <c r="GQ24" s="1166">
        <v>8</v>
      </c>
      <c r="GR24" s="1166">
        <v>8</v>
      </c>
      <c r="GS24" s="1166">
        <v>8</v>
      </c>
      <c r="GT24" s="1166">
        <v>8</v>
      </c>
      <c r="GU24" s="1166">
        <v>8</v>
      </c>
      <c r="GV24" s="1166">
        <v>8</v>
      </c>
      <c r="GW24" s="1166">
        <v>8</v>
      </c>
      <c r="GX24" s="1166">
        <v>8</v>
      </c>
      <c r="GY24" s="1166">
        <v>8</v>
      </c>
      <c r="GZ24" s="1166">
        <v>8</v>
      </c>
      <c r="HA24" s="1166">
        <v>8</v>
      </c>
      <c r="HB24" s="1166">
        <v>8</v>
      </c>
      <c r="HC24" s="1166">
        <v>8</v>
      </c>
      <c r="HD24" s="1166">
        <v>8</v>
      </c>
      <c r="HE24" s="1166">
        <v>8</v>
      </c>
      <c r="HF24" s="1166">
        <v>8</v>
      </c>
      <c r="HG24" s="1166">
        <v>8</v>
      </c>
      <c r="HH24" s="1166">
        <v>8</v>
      </c>
      <c r="HI24" s="1166">
        <v>8</v>
      </c>
      <c r="HJ24" s="1166">
        <v>8</v>
      </c>
      <c r="HK24" s="1166">
        <v>8</v>
      </c>
      <c r="HL24" s="1166">
        <v>8</v>
      </c>
      <c r="HM24" s="1166">
        <v>8</v>
      </c>
      <c r="HN24" s="1166">
        <v>8</v>
      </c>
      <c r="HO24" s="1166">
        <v>8</v>
      </c>
      <c r="HP24" s="1166">
        <v>8</v>
      </c>
      <c r="HQ24" s="1166">
        <v>8</v>
      </c>
      <c r="HR24" s="1166">
        <v>8</v>
      </c>
      <c r="HS24" s="1166">
        <v>8</v>
      </c>
      <c r="HT24" s="1166">
        <v>8</v>
      </c>
      <c r="HU24" s="1166">
        <v>8</v>
      </c>
      <c r="HV24" s="1166">
        <v>8</v>
      </c>
      <c r="HW24" s="1166">
        <v>8</v>
      </c>
      <c r="HX24" s="1166">
        <v>8</v>
      </c>
      <c r="HY24" s="1166">
        <v>8</v>
      </c>
      <c r="HZ24" s="1166">
        <v>8</v>
      </c>
      <c r="IA24" s="1166">
        <v>8</v>
      </c>
      <c r="IB24" s="1166">
        <v>8</v>
      </c>
      <c r="IC24" s="1166">
        <v>8</v>
      </c>
      <c r="ID24" s="1166">
        <v>8</v>
      </c>
      <c r="IE24" s="1166">
        <v>8</v>
      </c>
      <c r="IF24" s="1166">
        <v>8</v>
      </c>
      <c r="IG24" s="1166">
        <v>8</v>
      </c>
      <c r="IH24" s="1166">
        <v>8</v>
      </c>
      <c r="II24" s="1166">
        <v>8</v>
      </c>
      <c r="IJ24" s="1166">
        <v>8</v>
      </c>
      <c r="IK24" s="1166">
        <v>8</v>
      </c>
      <c r="IL24" s="1166">
        <v>8</v>
      </c>
      <c r="IM24" s="1166">
        <v>8</v>
      </c>
      <c r="IN24" s="1166">
        <v>8</v>
      </c>
      <c r="IO24" s="1166">
        <v>8</v>
      </c>
      <c r="IP24" s="1166">
        <v>8</v>
      </c>
      <c r="IQ24" s="1166">
        <v>8</v>
      </c>
      <c r="IR24" s="1166">
        <v>8</v>
      </c>
      <c r="IS24" s="1166">
        <v>8</v>
      </c>
      <c r="IT24" s="1166">
        <v>8</v>
      </c>
      <c r="IU24" s="116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DF382-E3B8-5E72-72A8-7AB1AF9B09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0" width="3.00390625" customWidth="1"/>
    <col min="5" max="5" style="1646" width="6.00390625" customWidth="1"/>
    <col min="6" max="6" style="1646" width="27.00390625" customWidth="1"/>
    <col min="7" max="7" style="1646" width="16.00390625" customWidth="1"/>
    <col min="8" max="8" style="1646" width="12.00390625" customWidth="1"/>
    <col min="9" max="9" style="1646" width="32.00390625" customWidth="1"/>
    <col min="10" max="11" style="1646" width="41.00390625" customWidth="1"/>
    <col min="12" max="12" style="1646" width="89.00390625" customWidth="1"/>
    <col min="13" max="13" style="1635" width="3.00390625" customWidth="1"/>
    <col min="14" max="16" style="1635" width="8.00390625" customWidth="1"/>
    <col min="17" max="17" style="1635" width="25.00390625" customWidth="1"/>
    <col min="18" max="18" style="1635" width="14.00390625" customWidth="1"/>
    <col min="19" max="22" style="236" width="8.00390625" customWidth="1"/>
    <col min="23" max="256" style="1646" width="8.00390625" customWidth="1"/>
    <col min="257" max="257" style="1646" width="9.140625" hidden="1"/>
  </cols>
  <sheetData>
    <row customHeight="1" ht="22.5" hidden="1">
      <c r="IW1" s="1166" t="s">
        <v>14</v>
      </c>
    </row>
    <row s="1858" customFormat="1" customHeight="1" ht="22.5" hidden="1">
      <c r="A2" s="842"/>
      <c r="B2" s="1171">
        <v>1</v>
      </c>
      <c r="C2" s="1171"/>
      <c r="D2" s="1936" t="s">
        <v>105</v>
      </c>
      <c r="E2" s="1897"/>
      <c r="F2" s="1900" t="str">
        <f>IF(ROIV_INFO_NAME="","",ROIV_INFO_NAME)</f>
        <v>ПАО "КГК"</v>
      </c>
      <c r="G2" s="1925" t="s">
        <v>22</v>
      </c>
      <c r="H2" s="1924"/>
      <c r="I2" s="1549"/>
      <c r="J2" s="829"/>
      <c r="K2" s="829"/>
      <c r="L2" s="239"/>
      <c r="M2" s="1546">
        <f>MERGEVALUE(F2)</f>
      </c>
      <c r="N2" s="522"/>
      <c r="O2" s="522"/>
      <c r="P2" s="511" t="str">
        <f t="array" ref="P2:P2">IF(ISERROR(MATCH(MID(Q2,1,250),MID(note_ter,1,250),0)),"n","y")</f>
        <v>n</v>
      </c>
      <c r="Q2" s="522"/>
      <c r="R2" s="511" t="str">
        <f>G2&amp;"("&amp;L2&amp;")"</f>
        <v>()</v>
      </c>
      <c r="S2" s="1171"/>
      <c r="T2" s="1171"/>
      <c r="U2" s="431"/>
      <c r="V2" s="1171"/>
      <c r="W2" s="1171"/>
      <c r="X2" s="1171"/>
      <c r="Y2" s="433"/>
      <c r="Z2" s="433"/>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3"/>
      <c r="BW2" s="433"/>
      <c r="BX2" s="433"/>
      <c r="BY2" s="433"/>
      <c r="BZ2" s="433"/>
      <c r="CA2" s="433"/>
      <c r="CB2" s="433"/>
      <c r="CC2" s="433"/>
      <c r="CD2" s="433"/>
      <c r="CE2" s="433"/>
      <c r="IW2" s="434">
        <v>0</v>
      </c>
    </row>
    <row s="1653" customFormat="1" customHeight="1" ht="5.25" hidden="1">
      <c r="A3" s="507"/>
      <c r="D3" s="505"/>
      <c r="F3" s="258" t="s">
        <v>84</v>
      </c>
      <c r="G3" s="1745" t="s">
        <v>85</v>
      </c>
      <c r="H3" s="505"/>
      <c r="I3" s="505"/>
      <c r="J3" s="505"/>
      <c r="K3" s="505"/>
      <c r="L3" s="238" t="s">
        <v>86</v>
      </c>
      <c r="M3" s="258" t="s">
        <v>84</v>
      </c>
      <c r="N3" s="258"/>
      <c r="O3" s="258"/>
      <c r="P3" s="258"/>
      <c r="Q3" s="259"/>
      <c r="R3" s="258"/>
      <c r="S3" s="258"/>
      <c r="T3" s="258"/>
      <c r="U3" s="258"/>
      <c r="V3" s="25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238"/>
      <c r="IV3" s="238"/>
      <c r="IW3" s="522">
        <v>0</v>
      </c>
    </row>
    <row s="1829" customFormat="1" customHeight="1" ht="14.699999999999998">
      <c r="A4" s="1166"/>
      <c r="B4" s="1171"/>
      <c r="C4" s="1166"/>
      <c r="D4" s="1506"/>
      <c r="E4" s="520"/>
      <c r="F4" s="520"/>
      <c r="G4" s="520"/>
      <c r="H4" s="520"/>
      <c r="I4" s="520"/>
      <c r="J4" s="520"/>
      <c r="K4" s="520"/>
      <c r="L4" s="177"/>
      <c r="M4" s="258"/>
      <c r="N4" s="511"/>
      <c r="O4" s="511"/>
      <c r="P4" s="511"/>
      <c r="Q4" s="237"/>
      <c r="R4" s="511"/>
      <c r="S4" s="236"/>
      <c r="T4" s="236"/>
      <c r="U4" s="236"/>
      <c r="V4" s="236"/>
      <c r="IW4" s="518">
        <v>14</v>
      </c>
    </row>
    <row s="1829" customFormat="1" customHeight="1" ht="27.299999999999997">
      <c r="A5" s="1166"/>
      <c r="B5" s="1171"/>
      <c r="C5" s="1166"/>
      <c r="D5" s="1506"/>
      <c r="E5" s="213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0"/>
      <c r="G5" s="2130"/>
      <c r="H5" s="2130"/>
      <c r="I5" s="2130"/>
      <c r="J5" s="2130"/>
      <c r="K5" s="2130"/>
      <c r="L5" s="599"/>
      <c r="M5" s="258"/>
      <c r="N5" s="511"/>
      <c r="O5" s="511"/>
      <c r="P5" s="511"/>
      <c r="Q5" s="237"/>
      <c r="R5" s="511"/>
      <c r="S5" s="236"/>
      <c r="T5" s="236"/>
      <c r="U5" s="236"/>
      <c r="V5" s="236"/>
      <c r="IW5" s="518">
        <v>26</v>
      </c>
    </row>
    <row s="1829" customFormat="1" customHeight="1" ht="14.699999999999998">
      <c r="A6" s="1166"/>
      <c r="B6" s="1171"/>
      <c r="C6" s="1166"/>
      <c r="D6" s="1506"/>
      <c r="E6" s="520"/>
      <c r="F6" s="178"/>
      <c r="G6" s="178"/>
      <c r="H6" s="178"/>
      <c r="I6" s="178"/>
      <c r="J6" s="178"/>
      <c r="K6" s="178"/>
      <c r="L6" s="179"/>
      <c r="M6" s="511"/>
      <c r="N6" s="511"/>
      <c r="O6" s="511"/>
      <c r="P6" s="511"/>
      <c r="Q6" s="237"/>
      <c r="R6" s="511"/>
      <c r="S6" s="236"/>
      <c r="T6" s="236"/>
      <c r="U6" s="236"/>
      <c r="V6" s="236"/>
      <c r="IW6" s="518">
        <v>14</v>
      </c>
    </row>
    <row s="1829" customFormat="1" customHeight="1" ht="14.699999999999998">
      <c r="A7" s="1166"/>
      <c r="B7" s="1171"/>
      <c r="C7" s="1166"/>
      <c r="D7" s="1506"/>
      <c r="E7" s="2131" t="s">
        <v>314</v>
      </c>
      <c r="F7" s="2132"/>
      <c r="G7" s="2132"/>
      <c r="H7" s="2132"/>
      <c r="I7" s="2132"/>
      <c r="J7" s="2132"/>
      <c r="K7" s="2132"/>
      <c r="L7" s="2504" t="s">
        <v>315</v>
      </c>
      <c r="M7" s="511"/>
      <c r="N7" s="511"/>
      <c r="O7" s="511"/>
      <c r="P7" s="511"/>
      <c r="Q7" s="237"/>
      <c r="R7" s="511"/>
      <c r="S7" s="236"/>
      <c r="T7" s="236"/>
      <c r="U7" s="236"/>
      <c r="V7" s="236"/>
      <c r="IW7" s="518">
        <v>14</v>
      </c>
    </row>
    <row s="1829" customFormat="1" customHeight="1" ht="67.2">
      <c r="A8" s="1166"/>
      <c r="B8" s="1171"/>
      <c r="C8" s="1166"/>
      <c r="D8" s="1506"/>
      <c r="E8" s="2508" t="s">
        <v>89</v>
      </c>
      <c r="F8" s="250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1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11"/>
      <c r="I8" s="2512"/>
      <c r="J8" s="250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6"/>
      <c r="M8" s="511"/>
      <c r="N8" s="511"/>
      <c r="O8" s="511"/>
      <c r="P8" s="511"/>
      <c r="Q8" s="237"/>
      <c r="R8" s="511"/>
      <c r="S8" s="236"/>
      <c r="T8" s="236"/>
      <c r="U8" s="236"/>
      <c r="V8" s="236"/>
      <c r="IW8" s="518">
        <v>64</v>
      </c>
    </row>
    <row s="1829" customFormat="1" customHeight="1" ht="29.25">
      <c r="A9" s="1166"/>
      <c r="B9" s="1171"/>
      <c r="C9" s="1166"/>
      <c r="D9" s="1506"/>
      <c r="E9" s="2509"/>
      <c r="F9" s="2509"/>
      <c r="G9" s="1548" t="s">
        <v>2099</v>
      </c>
      <c r="H9" s="1548" t="s">
        <v>2100</v>
      </c>
      <c r="I9" s="1548" t="s">
        <v>2101</v>
      </c>
      <c r="J9" s="2509"/>
      <c r="K9" s="2509"/>
      <c r="L9" s="2505"/>
      <c r="M9" s="511"/>
      <c r="N9" s="511"/>
      <c r="O9" s="511"/>
      <c r="P9" s="511"/>
      <c r="Q9" s="237"/>
      <c r="R9" s="511"/>
      <c r="S9" s="236"/>
      <c r="T9" s="236"/>
      <c r="U9" s="236"/>
      <c r="V9" s="236"/>
      <c r="IW9" s="518">
        <v>28</v>
      </c>
    </row>
    <row s="1858" customFormat="1" customHeight="1" ht="23.25">
      <c r="A10" s="2129"/>
      <c r="B10" s="1171">
        <v>1</v>
      </c>
      <c r="C10" s="1171"/>
      <c r="D10" s="811"/>
      <c r="E10" s="809">
        <v>1</v>
      </c>
      <c r="F10" s="1550" t="str">
        <f>IF(ROIV_INFO_NAME="","",ROIV_INFO_NAME)</f>
        <v>ПАО "КГК"</v>
      </c>
      <c r="G10" s="1742" t="s">
        <v>22</v>
      </c>
      <c r="H10" s="1924"/>
      <c r="I10" s="1545"/>
      <c r="J10" s="829"/>
      <c r="K10" s="829"/>
      <c r="L10" s="24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6">
        <f>MERGEVALUE(F10)</f>
      </c>
      <c r="N10" s="522"/>
      <c r="O10" s="522"/>
      <c r="P10" s="511" t="str">
        <f t="array" ref="P10:P10">IF(ISERROR(MATCH(MID(Q10,1,250),MID(note_ter,1,250),0)),"n","y")</f>
        <v>n</v>
      </c>
      <c r="Q10" s="522"/>
      <c r="R10" s="5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1"/>
      <c r="T10" s="1171"/>
      <c r="U10" s="431"/>
      <c r="V10" s="1171"/>
      <c r="W10" s="1171"/>
      <c r="X10" s="1171"/>
      <c r="Y10" s="433"/>
      <c r="Z10" s="433"/>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30"/>
      <c r="BR10" s="430"/>
      <c r="BS10" s="430"/>
      <c r="BT10" s="430"/>
      <c r="BU10" s="430"/>
      <c r="BV10" s="433"/>
      <c r="BW10" s="433"/>
      <c r="BX10" s="433"/>
      <c r="BY10" s="433"/>
      <c r="BZ10" s="433"/>
      <c r="CA10" s="433"/>
      <c r="CB10" s="433"/>
      <c r="CC10" s="433"/>
      <c r="CD10" s="433"/>
      <c r="CE10" s="433"/>
      <c r="IW10" s="434">
        <v>22</v>
      </c>
    </row>
    <row s="1858" customFormat="1" customHeight="1" ht="15.75">
      <c r="A11" s="2129"/>
      <c r="B11" s="1171"/>
      <c r="C11" s="423"/>
      <c r="D11" s="812"/>
      <c r="E11" s="432"/>
      <c r="F11" s="427" t="s">
        <v>2102</v>
      </c>
      <c r="G11" s="198"/>
      <c r="H11" s="198"/>
      <c r="I11" s="198"/>
      <c r="J11" s="198"/>
      <c r="K11" s="435"/>
      <c r="L11" s="2507"/>
      <c r="M11" s="1547"/>
      <c r="N11" s="522"/>
      <c r="O11" s="522"/>
      <c r="P11" s="522"/>
      <c r="Q11" s="511"/>
      <c r="R11" s="522"/>
      <c r="S11" s="1171"/>
      <c r="T11" s="1171"/>
      <c r="U11" s="431"/>
      <c r="V11" s="1171"/>
      <c r="W11" s="1171"/>
      <c r="X11" s="1171"/>
      <c r="Y11" s="433"/>
      <c r="Z11" s="433"/>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3"/>
      <c r="BW11" s="433"/>
      <c r="BX11" s="433"/>
      <c r="BY11" s="433"/>
      <c r="BZ11" s="433"/>
      <c r="CA11" s="433"/>
      <c r="CB11" s="433"/>
      <c r="CC11" s="433"/>
      <c r="CD11" s="433"/>
      <c r="CE11" s="433"/>
      <c r="IW11" s="434">
        <v>15</v>
      </c>
    </row>
    <row s="1829" customFormat="1" customHeight="1" ht="22.049999999999997">
      <c r="A12" s="1166"/>
      <c r="B12" s="1171"/>
      <c r="C12" s="1166"/>
      <c r="D12" s="462"/>
      <c r="E12" s="191"/>
      <c r="F12" s="191"/>
      <c r="G12" s="191"/>
      <c r="H12" s="191"/>
      <c r="I12" s="191"/>
      <c r="J12" s="191"/>
      <c r="K12" s="191"/>
      <c r="L12" s="191"/>
      <c r="M12" s="511"/>
      <c r="N12" s="511"/>
      <c r="O12" s="511"/>
      <c r="P12" s="511"/>
      <c r="Q12" s="237"/>
      <c r="R12" s="511"/>
      <c r="S12" s="236"/>
      <c r="T12" s="236"/>
      <c r="U12" s="236"/>
      <c r="V12" s="236"/>
      <c r="IW12" s="518">
        <v>21</v>
      </c>
    </row>
    <row s="1829" customFormat="1" customHeight="1" ht="14.699999999999998">
      <c r="A13" s="1166"/>
      <c r="B13" s="1171"/>
      <c r="C13" s="1166"/>
      <c r="D13" s="462"/>
      <c r="E13" s="1166"/>
      <c r="F13" s="1166"/>
      <c r="G13" s="1166"/>
      <c r="H13" s="1166"/>
      <c r="I13" s="1166"/>
      <c r="J13" s="1166"/>
      <c r="K13" s="1166"/>
      <c r="L13" s="1166"/>
      <c r="M13" s="511"/>
      <c r="N13" s="511"/>
      <c r="O13" s="511"/>
      <c r="P13" s="511"/>
      <c r="Q13" s="237"/>
      <c r="R13" s="511"/>
      <c r="S13" s="236"/>
      <c r="T13" s="236"/>
      <c r="U13" s="236"/>
      <c r="V13" s="236"/>
      <c r="IW13" s="518">
        <v>14</v>
      </c>
    </row>
    <row s="1829" customFormat="1" customHeight="1" ht="1.05">
      <c r="A14" s="1166"/>
      <c r="B14" s="1171"/>
      <c r="C14" s="1166"/>
      <c r="D14" s="462"/>
      <c r="E14" s="1166"/>
      <c r="F14" s="1166"/>
      <c r="G14" s="1166"/>
      <c r="H14" s="1166"/>
      <c r="I14" s="1166"/>
      <c r="J14" s="1166"/>
      <c r="K14" s="1166"/>
      <c r="L14" s="1166"/>
      <c r="M14" s="511"/>
      <c r="N14" s="511"/>
      <c r="O14" s="511"/>
      <c r="P14" s="511"/>
      <c r="Q14" s="237"/>
      <c r="R14" s="511"/>
      <c r="S14" s="236"/>
      <c r="T14" s="236"/>
      <c r="U14" s="236"/>
      <c r="V14" s="236"/>
      <c r="IW14" s="518">
        <v>1</v>
      </c>
    </row>
    <row customHeight="1" ht="22.5" hidden="1">
      <c r="A15" s="1166" t="s">
        <v>83</v>
      </c>
      <c r="B15" s="1171">
        <v>0</v>
      </c>
      <c r="C15" s="1166">
        <v>0</v>
      </c>
      <c r="D15" s="462">
        <v>3</v>
      </c>
      <c r="E15" s="1166">
        <v>6</v>
      </c>
      <c r="F15" s="1166">
        <v>27</v>
      </c>
      <c r="G15" s="1166">
        <v>16</v>
      </c>
      <c r="H15" s="1166">
        <v>12</v>
      </c>
      <c r="I15" s="1166">
        <v>32</v>
      </c>
      <c r="J15" s="1166">
        <v>41</v>
      </c>
      <c r="K15" s="1166">
        <v>41</v>
      </c>
      <c r="L15" s="1166">
        <v>89</v>
      </c>
      <c r="M15" s="511">
        <v>3</v>
      </c>
      <c r="N15" s="511">
        <v>8</v>
      </c>
      <c r="O15" s="511">
        <v>8</v>
      </c>
      <c r="P15" s="511">
        <v>8</v>
      </c>
      <c r="Q15" s="237">
        <v>25</v>
      </c>
      <c r="R15" s="511">
        <v>14</v>
      </c>
      <c r="S15" s="236">
        <v>8</v>
      </c>
      <c r="T15" s="236">
        <v>8</v>
      </c>
      <c r="U15" s="236">
        <v>8</v>
      </c>
      <c r="V15" s="236">
        <v>8</v>
      </c>
      <c r="W15" s="1166">
        <v>8</v>
      </c>
      <c r="X15" s="1166">
        <v>8</v>
      </c>
      <c r="Y15" s="1166">
        <v>8</v>
      </c>
      <c r="Z15" s="1166">
        <v>8</v>
      </c>
      <c r="AA15" s="1166">
        <v>8</v>
      </c>
      <c r="AB15" s="1166">
        <v>8</v>
      </c>
      <c r="AC15" s="1166">
        <v>8</v>
      </c>
      <c r="AD15" s="1166">
        <v>8</v>
      </c>
      <c r="AE15" s="1166">
        <v>8</v>
      </c>
      <c r="AF15" s="1166">
        <v>8</v>
      </c>
      <c r="AG15" s="1166">
        <v>8</v>
      </c>
      <c r="AH15" s="1166">
        <v>8</v>
      </c>
      <c r="AI15" s="1166">
        <v>8</v>
      </c>
      <c r="AJ15" s="1166">
        <v>8</v>
      </c>
      <c r="AK15" s="1166">
        <v>8</v>
      </c>
      <c r="AL15" s="1166">
        <v>8</v>
      </c>
      <c r="AM15" s="1166">
        <v>8</v>
      </c>
      <c r="AN15" s="1166">
        <v>8</v>
      </c>
      <c r="AO15" s="1166">
        <v>8</v>
      </c>
      <c r="AP15" s="1166">
        <v>8</v>
      </c>
      <c r="AQ15" s="1166">
        <v>8</v>
      </c>
      <c r="AR15" s="1166">
        <v>8</v>
      </c>
      <c r="AS15" s="1166">
        <v>8</v>
      </c>
      <c r="AT15" s="1166">
        <v>8</v>
      </c>
      <c r="AU15" s="1166">
        <v>8</v>
      </c>
      <c r="AV15" s="1166">
        <v>8</v>
      </c>
      <c r="AW15" s="1166">
        <v>8</v>
      </c>
      <c r="AX15" s="1166">
        <v>8</v>
      </c>
      <c r="AY15" s="1166">
        <v>8</v>
      </c>
      <c r="AZ15" s="1166">
        <v>8</v>
      </c>
      <c r="BA15" s="1166">
        <v>8</v>
      </c>
      <c r="BB15" s="1166">
        <v>8</v>
      </c>
      <c r="BC15" s="1166">
        <v>8</v>
      </c>
      <c r="BD15" s="1166">
        <v>8</v>
      </c>
      <c r="BE15" s="1166">
        <v>8</v>
      </c>
      <c r="BF15" s="1166">
        <v>8</v>
      </c>
      <c r="BG15" s="1166">
        <v>8</v>
      </c>
      <c r="BH15" s="1166">
        <v>8</v>
      </c>
      <c r="BI15" s="1166">
        <v>8</v>
      </c>
      <c r="BJ15" s="1166">
        <v>8</v>
      </c>
      <c r="BK15" s="1166">
        <v>8</v>
      </c>
      <c r="BL15" s="1166">
        <v>8</v>
      </c>
      <c r="BM15" s="1166">
        <v>8</v>
      </c>
      <c r="BN15" s="1166">
        <v>8</v>
      </c>
      <c r="BO15" s="1166">
        <v>8</v>
      </c>
      <c r="BP15" s="1166">
        <v>8</v>
      </c>
      <c r="BQ15" s="1166">
        <v>8</v>
      </c>
      <c r="BR15" s="1166">
        <v>8</v>
      </c>
      <c r="BS15" s="1166">
        <v>8</v>
      </c>
      <c r="BT15" s="1166">
        <v>8</v>
      </c>
      <c r="BU15" s="1166">
        <v>8</v>
      </c>
      <c r="BV15" s="1166">
        <v>8</v>
      </c>
      <c r="BW15" s="1166">
        <v>8</v>
      </c>
      <c r="BX15" s="1166">
        <v>8</v>
      </c>
      <c r="BY15" s="1166">
        <v>8</v>
      </c>
      <c r="BZ15" s="1166">
        <v>8</v>
      </c>
      <c r="CA15" s="1166">
        <v>8</v>
      </c>
      <c r="CB15" s="1166">
        <v>8</v>
      </c>
      <c r="CC15" s="1166">
        <v>8</v>
      </c>
      <c r="CD15" s="1166">
        <v>8</v>
      </c>
      <c r="CE15" s="1166">
        <v>8</v>
      </c>
      <c r="CF15" s="1166">
        <v>8</v>
      </c>
      <c r="CG15" s="1166">
        <v>8</v>
      </c>
      <c r="CH15" s="1166">
        <v>8</v>
      </c>
      <c r="CI15" s="1166">
        <v>8</v>
      </c>
      <c r="CJ15" s="1166">
        <v>8</v>
      </c>
      <c r="CK15" s="1166">
        <v>8</v>
      </c>
      <c r="CL15" s="1166">
        <v>8</v>
      </c>
      <c r="CM15" s="1166">
        <v>8</v>
      </c>
      <c r="CN15" s="1166">
        <v>8</v>
      </c>
      <c r="CO15" s="1166">
        <v>8</v>
      </c>
      <c r="CP15" s="1166">
        <v>8</v>
      </c>
      <c r="CQ15" s="1166">
        <v>8</v>
      </c>
      <c r="CR15" s="1166">
        <v>8</v>
      </c>
      <c r="CS15" s="1166">
        <v>8</v>
      </c>
      <c r="CT15" s="1166">
        <v>8</v>
      </c>
      <c r="CU15" s="1166">
        <v>8</v>
      </c>
      <c r="CV15" s="1166">
        <v>8</v>
      </c>
      <c r="CW15" s="1166">
        <v>8</v>
      </c>
      <c r="CX15" s="1166">
        <v>8</v>
      </c>
      <c r="CY15" s="1166">
        <v>8</v>
      </c>
      <c r="CZ15" s="1166">
        <v>8</v>
      </c>
      <c r="DA15" s="1166">
        <v>8</v>
      </c>
      <c r="DB15" s="1166">
        <v>8</v>
      </c>
      <c r="DC15" s="1166">
        <v>8</v>
      </c>
      <c r="DD15" s="1166">
        <v>8</v>
      </c>
      <c r="DE15" s="1166">
        <v>8</v>
      </c>
      <c r="DF15" s="1166">
        <v>8</v>
      </c>
      <c r="DG15" s="1166">
        <v>8</v>
      </c>
      <c r="DH15" s="1166">
        <v>8</v>
      </c>
      <c r="DI15" s="1166">
        <v>8</v>
      </c>
      <c r="DJ15" s="1166">
        <v>8</v>
      </c>
      <c r="DK15" s="1166">
        <v>8</v>
      </c>
      <c r="DL15" s="1166">
        <v>8</v>
      </c>
      <c r="DM15" s="1166">
        <v>8</v>
      </c>
      <c r="DN15" s="1166">
        <v>8</v>
      </c>
      <c r="DO15" s="1166">
        <v>8</v>
      </c>
      <c r="DP15" s="1166">
        <v>8</v>
      </c>
      <c r="DQ15" s="1166">
        <v>8</v>
      </c>
      <c r="DR15" s="1166">
        <v>8</v>
      </c>
      <c r="DS15" s="1166">
        <v>8</v>
      </c>
      <c r="DT15" s="1166">
        <v>8</v>
      </c>
      <c r="DU15" s="1166">
        <v>8</v>
      </c>
      <c r="DV15" s="1166">
        <v>8</v>
      </c>
      <c r="DW15" s="1166">
        <v>8</v>
      </c>
      <c r="DX15" s="1166">
        <v>8</v>
      </c>
      <c r="DY15" s="1166">
        <v>8</v>
      </c>
      <c r="DZ15" s="1166">
        <v>8</v>
      </c>
      <c r="EA15" s="1166">
        <v>8</v>
      </c>
      <c r="EB15" s="1166">
        <v>8</v>
      </c>
      <c r="EC15" s="1166">
        <v>8</v>
      </c>
      <c r="ED15" s="1166">
        <v>8</v>
      </c>
      <c r="EE15" s="1166">
        <v>8</v>
      </c>
      <c r="EF15" s="1166">
        <v>8</v>
      </c>
      <c r="EG15" s="1166">
        <v>8</v>
      </c>
      <c r="EH15" s="1166">
        <v>8</v>
      </c>
      <c r="EI15" s="1166">
        <v>8</v>
      </c>
      <c r="EJ15" s="1166">
        <v>8</v>
      </c>
      <c r="EK15" s="1166">
        <v>8</v>
      </c>
      <c r="EL15" s="1166">
        <v>8</v>
      </c>
      <c r="EM15" s="1166">
        <v>8</v>
      </c>
      <c r="EN15" s="1166">
        <v>8</v>
      </c>
      <c r="EO15" s="1166">
        <v>8</v>
      </c>
      <c r="EP15" s="1166">
        <v>8</v>
      </c>
      <c r="EQ15" s="1166">
        <v>8</v>
      </c>
      <c r="ER15" s="1166">
        <v>8</v>
      </c>
      <c r="ES15" s="1166">
        <v>8</v>
      </c>
      <c r="ET15" s="1166">
        <v>8</v>
      </c>
      <c r="EU15" s="1166">
        <v>8</v>
      </c>
      <c r="EV15" s="1166">
        <v>8</v>
      </c>
      <c r="EW15" s="1166">
        <v>8</v>
      </c>
      <c r="EX15" s="1166">
        <v>8</v>
      </c>
      <c r="EY15" s="1166">
        <v>8</v>
      </c>
      <c r="EZ15" s="1166">
        <v>8</v>
      </c>
      <c r="FA15" s="1166">
        <v>8</v>
      </c>
      <c r="FB15" s="1166">
        <v>8</v>
      </c>
      <c r="FC15" s="1166">
        <v>8</v>
      </c>
      <c r="FD15" s="1166">
        <v>8</v>
      </c>
      <c r="FE15" s="1166">
        <v>8</v>
      </c>
      <c r="FF15" s="1166">
        <v>8</v>
      </c>
      <c r="FG15" s="1166">
        <v>8</v>
      </c>
      <c r="FH15" s="1166">
        <v>8</v>
      </c>
      <c r="FI15" s="1166">
        <v>8</v>
      </c>
      <c r="FJ15" s="1166">
        <v>8</v>
      </c>
      <c r="FK15" s="1166">
        <v>8</v>
      </c>
      <c r="FL15" s="1166">
        <v>8</v>
      </c>
      <c r="FM15" s="1166">
        <v>8</v>
      </c>
      <c r="FN15" s="1166">
        <v>8</v>
      </c>
      <c r="FO15" s="1166">
        <v>8</v>
      </c>
      <c r="FP15" s="1166">
        <v>8</v>
      </c>
      <c r="FQ15" s="1166">
        <v>8</v>
      </c>
      <c r="FR15" s="1166">
        <v>8</v>
      </c>
      <c r="FS15" s="1166">
        <v>8</v>
      </c>
      <c r="FT15" s="1166">
        <v>8</v>
      </c>
      <c r="FU15" s="1166">
        <v>8</v>
      </c>
      <c r="FV15" s="1166">
        <v>8</v>
      </c>
      <c r="FW15" s="1166">
        <v>8</v>
      </c>
      <c r="FX15" s="1166">
        <v>8</v>
      </c>
      <c r="FY15" s="1166">
        <v>8</v>
      </c>
      <c r="FZ15" s="1166">
        <v>8</v>
      </c>
      <c r="GA15" s="1166">
        <v>8</v>
      </c>
      <c r="GB15" s="1166">
        <v>8</v>
      </c>
      <c r="GC15" s="1166">
        <v>8</v>
      </c>
      <c r="GD15" s="1166">
        <v>8</v>
      </c>
      <c r="GE15" s="1166">
        <v>8</v>
      </c>
      <c r="GF15" s="1166">
        <v>8</v>
      </c>
      <c r="GG15" s="1166">
        <v>8</v>
      </c>
      <c r="GH15" s="1166">
        <v>8</v>
      </c>
      <c r="GI15" s="1166">
        <v>8</v>
      </c>
      <c r="GJ15" s="1166">
        <v>8</v>
      </c>
      <c r="GK15" s="1166">
        <v>8</v>
      </c>
      <c r="GL15" s="1166">
        <v>8</v>
      </c>
      <c r="GM15" s="1166">
        <v>8</v>
      </c>
      <c r="GN15" s="1166">
        <v>8</v>
      </c>
      <c r="GO15" s="1166">
        <v>8</v>
      </c>
      <c r="GP15" s="1166">
        <v>8</v>
      </c>
      <c r="GQ15" s="1166">
        <v>8</v>
      </c>
      <c r="GR15" s="1166">
        <v>8</v>
      </c>
      <c r="GS15" s="1166">
        <v>8</v>
      </c>
      <c r="GT15" s="1166">
        <v>8</v>
      </c>
      <c r="GU15" s="1166">
        <v>8</v>
      </c>
      <c r="GV15" s="1166">
        <v>8</v>
      </c>
      <c r="GW15" s="1166">
        <v>8</v>
      </c>
      <c r="GX15" s="1166">
        <v>8</v>
      </c>
      <c r="GY15" s="1166">
        <v>8</v>
      </c>
      <c r="GZ15" s="1166">
        <v>8</v>
      </c>
      <c r="HA15" s="1166">
        <v>8</v>
      </c>
      <c r="HB15" s="1166">
        <v>8</v>
      </c>
      <c r="HC15" s="1166">
        <v>8</v>
      </c>
      <c r="HD15" s="1166">
        <v>8</v>
      </c>
      <c r="HE15" s="1166">
        <v>8</v>
      </c>
      <c r="HF15" s="1166">
        <v>8</v>
      </c>
      <c r="HG15" s="1166">
        <v>8</v>
      </c>
      <c r="HH15" s="1166">
        <v>8</v>
      </c>
      <c r="HI15" s="1166">
        <v>8</v>
      </c>
      <c r="HJ15" s="1166">
        <v>8</v>
      </c>
      <c r="HK15" s="1166">
        <v>8</v>
      </c>
      <c r="HL15" s="1166">
        <v>8</v>
      </c>
      <c r="HM15" s="1166">
        <v>8</v>
      </c>
      <c r="HN15" s="1166">
        <v>8</v>
      </c>
      <c r="HO15" s="1166">
        <v>8</v>
      </c>
      <c r="HP15" s="1166">
        <v>8</v>
      </c>
      <c r="HQ15" s="1166">
        <v>8</v>
      </c>
      <c r="HR15" s="1166">
        <v>8</v>
      </c>
      <c r="HS15" s="1166">
        <v>8</v>
      </c>
      <c r="HT15" s="1166">
        <v>8</v>
      </c>
      <c r="HU15" s="1166">
        <v>8</v>
      </c>
      <c r="HV15" s="1166">
        <v>8</v>
      </c>
      <c r="HW15" s="1166">
        <v>8</v>
      </c>
      <c r="HX15" s="1166">
        <v>8</v>
      </c>
      <c r="HY15" s="1166">
        <v>8</v>
      </c>
      <c r="HZ15" s="1166">
        <v>8</v>
      </c>
      <c r="IA15" s="1166">
        <v>8</v>
      </c>
      <c r="IB15" s="1166">
        <v>8</v>
      </c>
      <c r="IC15" s="1166">
        <v>8</v>
      </c>
      <c r="ID15" s="1166">
        <v>8</v>
      </c>
      <c r="IE15" s="1166">
        <v>8</v>
      </c>
      <c r="IF15" s="1166">
        <v>8</v>
      </c>
      <c r="IG15" s="1166">
        <v>8</v>
      </c>
      <c r="IH15" s="1166">
        <v>8</v>
      </c>
      <c r="II15" s="1166">
        <v>8</v>
      </c>
      <c r="IJ15" s="1166">
        <v>8</v>
      </c>
      <c r="IK15" s="1166">
        <v>8</v>
      </c>
      <c r="IL15" s="1166">
        <v>8</v>
      </c>
      <c r="IM15" s="1166">
        <v>8</v>
      </c>
      <c r="IN15" s="1166">
        <v>8</v>
      </c>
      <c r="IO15" s="1166">
        <v>8</v>
      </c>
      <c r="IP15" s="1166">
        <v>8</v>
      </c>
      <c r="IQ15" s="1166">
        <v>8</v>
      </c>
      <c r="IR15" s="1166">
        <v>8</v>
      </c>
      <c r="IS15" s="1166">
        <v>8</v>
      </c>
      <c r="IT15" s="1166">
        <v>8</v>
      </c>
      <c r="IU15" s="1166">
        <v>8</v>
      </c>
      <c r="IV15" s="1166">
        <v>8</v>
      </c>
      <c r="IW15" s="116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8D8E2-F70D-4888-F668-39FDB969E98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0" width="3.00390625" customWidth="1"/>
    <col min="5" max="5" style="1646" width="6.00390625" customWidth="1"/>
    <col min="6" max="6" style="1646" width="27.00390625" customWidth="1"/>
    <col min="7" max="7" style="1646" width="16.00390625" customWidth="1"/>
    <col min="8" max="8" style="1646" width="12.00390625" customWidth="1"/>
    <col min="9" max="9" style="1646" width="32.00390625" customWidth="1"/>
    <col min="10" max="11" style="1646" width="41.00390625" customWidth="1"/>
    <col min="12" max="12" style="1646" width="89.00390625" customWidth="1"/>
    <col min="13" max="13" style="1635" width="3.00390625" customWidth="1"/>
    <col min="14" max="16" style="1635" width="8.00390625" customWidth="1"/>
    <col min="17" max="17" style="1635" width="25.00390625" customWidth="1"/>
    <col min="18" max="18" style="1635" width="14.00390625" customWidth="1"/>
    <col min="19" max="22" style="236" width="8.00390625" customWidth="1"/>
    <col min="23" max="256" style="1646" width="8.00390625" customWidth="1"/>
    <col min="257" max="257" style="1646" width="9.140625" hidden="1"/>
  </cols>
  <sheetData>
    <row customHeight="1" ht="22.5" hidden="1">
      <c r="IW1" s="1642" t="s">
        <v>14</v>
      </c>
    </row>
    <row s="1858" customFormat="1" customHeight="1" ht="22.5" hidden="1">
      <c r="A2" s="842"/>
      <c r="B2" s="1377">
        <v>1</v>
      </c>
      <c r="C2" s="1377"/>
      <c r="D2" s="1936" t="s">
        <v>105</v>
      </c>
      <c r="E2" s="1912"/>
      <c r="F2" s="1914" t="str">
        <f>IF(ROIV_INFO_NAME="","",ROIV_INFO_NAME)</f>
        <v>ПАО "КГК"</v>
      </c>
      <c r="G2" s="1742" t="s">
        <v>22</v>
      </c>
      <c r="H2" s="1924"/>
      <c r="I2" s="1549"/>
      <c r="J2" s="829"/>
      <c r="K2" s="829"/>
      <c r="L2" s="239"/>
      <c r="M2" s="1546">
        <f>MERGEVALUE(F2)</f>
      </c>
      <c r="N2" s="1647"/>
      <c r="O2" s="1647"/>
      <c r="P2" s="1635" t="str">
        <f t="array" ref="P2:P2">IF(ISERROR(MATCH(MID(Q2,1,250),MID(note_ter,1,250),0)),"n","y")</f>
        <v>n</v>
      </c>
      <c r="Q2" s="1647"/>
      <c r="R2" s="1635" t="str">
        <f>G2&amp;"("&amp;L2&amp;")"</f>
        <v>()</v>
      </c>
      <c r="S2" s="1377"/>
      <c r="T2" s="1377"/>
      <c r="U2" s="431"/>
      <c r="V2" s="1377"/>
      <c r="W2" s="1377"/>
      <c r="X2" s="1377"/>
      <c r="Y2" s="844"/>
      <c r="Z2" s="844"/>
      <c r="AA2" s="638"/>
      <c r="AB2" s="638"/>
      <c r="AC2" s="638"/>
      <c r="AD2" s="638"/>
      <c r="AE2" s="638"/>
      <c r="AF2" s="638"/>
      <c r="AG2" s="638"/>
      <c r="AH2" s="638"/>
      <c r="AI2" s="638"/>
      <c r="AJ2" s="638"/>
      <c r="AK2" s="638"/>
      <c r="AL2" s="638"/>
      <c r="AM2" s="638"/>
      <c r="AN2" s="638"/>
      <c r="AO2" s="638"/>
      <c r="AP2" s="638"/>
      <c r="AQ2" s="638"/>
      <c r="AR2" s="638"/>
      <c r="AS2" s="638"/>
      <c r="AT2" s="638"/>
      <c r="AU2" s="638"/>
      <c r="AV2" s="638"/>
      <c r="AW2" s="638"/>
      <c r="AX2" s="638"/>
      <c r="AY2" s="638"/>
      <c r="AZ2" s="638"/>
      <c r="BA2" s="638"/>
      <c r="BB2" s="638"/>
      <c r="BC2" s="638"/>
      <c r="BD2" s="638"/>
      <c r="BE2" s="638"/>
      <c r="BF2" s="638"/>
      <c r="BG2" s="638"/>
      <c r="BH2" s="638"/>
      <c r="BI2" s="638"/>
      <c r="BJ2" s="638"/>
      <c r="BK2" s="638"/>
      <c r="BL2" s="638"/>
      <c r="BM2" s="638"/>
      <c r="BN2" s="638"/>
      <c r="BO2" s="638"/>
      <c r="BP2" s="638"/>
      <c r="BQ2" s="638"/>
      <c r="BR2" s="638"/>
      <c r="BS2" s="638"/>
      <c r="BT2" s="638"/>
      <c r="BU2" s="638"/>
      <c r="BV2" s="844"/>
      <c r="BW2" s="844"/>
      <c r="BX2" s="844"/>
      <c r="BY2" s="844"/>
      <c r="BZ2" s="844"/>
      <c r="CA2" s="844"/>
      <c r="CB2" s="844"/>
      <c r="CC2" s="844"/>
      <c r="CD2" s="844"/>
      <c r="CE2" s="844"/>
      <c r="IW2" s="635">
        <v>0</v>
      </c>
    </row>
    <row s="1653" customFormat="1" customHeight="1" ht="5.25" hidden="1">
      <c r="A3" s="1652"/>
      <c r="D3" s="1901"/>
      <c r="F3" s="259" t="s">
        <v>84</v>
      </c>
      <c r="G3" s="1745" t="s">
        <v>85</v>
      </c>
      <c r="H3" s="1901"/>
      <c r="I3" s="1901"/>
      <c r="J3" s="1901"/>
      <c r="K3" s="1901"/>
      <c r="L3" s="238" t="s">
        <v>86</v>
      </c>
      <c r="M3" s="259" t="s">
        <v>84</v>
      </c>
      <c r="N3" s="259"/>
      <c r="O3" s="259"/>
      <c r="P3" s="259"/>
      <c r="Q3" s="259"/>
      <c r="R3" s="259"/>
      <c r="S3" s="259"/>
      <c r="T3" s="259"/>
      <c r="U3" s="259"/>
      <c r="V3" s="259"/>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8"/>
      <c r="FG3" s="238"/>
      <c r="FH3" s="238"/>
      <c r="FI3" s="238"/>
      <c r="FJ3" s="238"/>
      <c r="FK3" s="238"/>
      <c r="FL3" s="238"/>
      <c r="FM3" s="238"/>
      <c r="FN3" s="238"/>
      <c r="FO3" s="238"/>
      <c r="FP3" s="238"/>
      <c r="FQ3" s="238"/>
      <c r="FR3" s="238"/>
      <c r="FS3" s="238"/>
      <c r="FT3" s="238"/>
      <c r="FU3" s="238"/>
      <c r="FV3" s="238"/>
      <c r="FW3" s="238"/>
      <c r="FX3" s="238"/>
      <c r="FY3" s="238"/>
      <c r="FZ3" s="238"/>
      <c r="GA3" s="238"/>
      <c r="GB3" s="238"/>
      <c r="GC3" s="238"/>
      <c r="GD3" s="238"/>
      <c r="GE3" s="238"/>
      <c r="GF3" s="238"/>
      <c r="GG3" s="238"/>
      <c r="GH3" s="238"/>
      <c r="GI3" s="238"/>
      <c r="GJ3" s="238"/>
      <c r="GK3" s="238"/>
      <c r="GL3" s="238"/>
      <c r="GM3" s="238"/>
      <c r="GN3" s="238"/>
      <c r="GO3" s="238"/>
      <c r="GP3" s="238"/>
      <c r="GQ3" s="238"/>
      <c r="GR3" s="238"/>
      <c r="GS3" s="238"/>
      <c r="GT3" s="238"/>
      <c r="GU3" s="238"/>
      <c r="GV3" s="238"/>
      <c r="GW3" s="238"/>
      <c r="GX3" s="238"/>
      <c r="GY3" s="238"/>
      <c r="GZ3" s="238"/>
      <c r="HA3" s="238"/>
      <c r="HB3" s="238"/>
      <c r="HC3" s="238"/>
      <c r="HD3" s="238"/>
      <c r="HE3" s="238"/>
      <c r="HF3" s="238"/>
      <c r="HG3" s="238"/>
      <c r="HH3" s="238"/>
      <c r="HI3" s="238"/>
      <c r="HJ3" s="238"/>
      <c r="HK3" s="238"/>
      <c r="HL3" s="238"/>
      <c r="HM3" s="238"/>
      <c r="HN3" s="238"/>
      <c r="HO3" s="238"/>
      <c r="HP3" s="238"/>
      <c r="HQ3" s="238"/>
      <c r="HR3" s="238"/>
      <c r="HS3" s="238"/>
      <c r="HT3" s="238"/>
      <c r="HU3" s="238"/>
      <c r="HV3" s="238"/>
      <c r="HW3" s="238"/>
      <c r="HX3" s="238"/>
      <c r="HY3" s="238"/>
      <c r="HZ3" s="238"/>
      <c r="IA3" s="238"/>
      <c r="IB3" s="238"/>
      <c r="IC3" s="238"/>
      <c r="ID3" s="238"/>
      <c r="IE3" s="238"/>
      <c r="IF3" s="238"/>
      <c r="IG3" s="238"/>
      <c r="IH3" s="238"/>
      <c r="II3" s="238"/>
      <c r="IJ3" s="238"/>
      <c r="IK3" s="238"/>
      <c r="IL3" s="238"/>
      <c r="IM3" s="238"/>
      <c r="IN3" s="238"/>
      <c r="IO3" s="238"/>
      <c r="IP3" s="238"/>
      <c r="IQ3" s="238"/>
      <c r="IR3" s="238"/>
      <c r="IS3" s="238"/>
      <c r="IT3" s="238"/>
      <c r="IU3" s="238"/>
      <c r="IV3" s="238"/>
      <c r="IW3" s="1647">
        <v>0</v>
      </c>
    </row>
    <row s="1829" customFormat="1" customHeight="1" ht="14.699999999999998">
      <c r="A4" s="1642"/>
      <c r="B4" s="1377"/>
      <c r="C4" s="1642"/>
      <c r="D4" s="1526"/>
      <c r="E4" s="1646"/>
      <c r="F4" s="1646"/>
      <c r="G4" s="1646"/>
      <c r="H4" s="1646"/>
      <c r="I4" s="1646"/>
      <c r="J4" s="1646"/>
      <c r="K4" s="1646"/>
      <c r="L4" s="1903"/>
      <c r="M4" s="259"/>
      <c r="N4" s="1635"/>
      <c r="O4" s="1635"/>
      <c r="P4" s="1635"/>
      <c r="Q4" s="1635"/>
      <c r="R4" s="1635"/>
      <c r="S4" s="236"/>
      <c r="T4" s="236"/>
      <c r="U4" s="236"/>
      <c r="V4" s="236"/>
      <c r="IW4" s="1620">
        <v>14</v>
      </c>
    </row>
    <row s="1829" customFormat="1" customHeight="1" ht="27.299999999999997">
      <c r="A5" s="1642"/>
      <c r="B5" s="1377"/>
      <c r="C5" s="1642"/>
      <c r="D5" s="1526"/>
      <c r="E5" s="213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0"/>
      <c r="G5" s="2130"/>
      <c r="H5" s="2130"/>
      <c r="I5" s="2130"/>
      <c r="J5" s="2130"/>
      <c r="K5" s="2130"/>
      <c r="L5" s="1646"/>
      <c r="M5" s="259"/>
      <c r="N5" s="1635"/>
      <c r="O5" s="1635"/>
      <c r="P5" s="1635"/>
      <c r="Q5" s="1635"/>
      <c r="R5" s="1635"/>
      <c r="S5" s="236"/>
      <c r="T5" s="236"/>
      <c r="U5" s="236"/>
      <c r="V5" s="236"/>
      <c r="IW5" s="1620">
        <v>26</v>
      </c>
    </row>
    <row s="1829" customFormat="1" customHeight="1" ht="14.699999999999998">
      <c r="A6" s="1642"/>
      <c r="B6" s="1377"/>
      <c r="C6" s="1642"/>
      <c r="D6" s="1526"/>
      <c r="E6" s="1646"/>
      <c r="F6" s="627"/>
      <c r="G6" s="627"/>
      <c r="H6" s="627"/>
      <c r="I6" s="627"/>
      <c r="J6" s="627"/>
      <c r="K6" s="627"/>
      <c r="L6" s="1263"/>
      <c r="M6" s="1635"/>
      <c r="N6" s="1635"/>
      <c r="O6" s="1635"/>
      <c r="P6" s="1635"/>
      <c r="Q6" s="1635"/>
      <c r="R6" s="1635"/>
      <c r="S6" s="236"/>
      <c r="T6" s="236"/>
      <c r="U6" s="236"/>
      <c r="V6" s="236"/>
      <c r="IW6" s="1620">
        <v>14</v>
      </c>
    </row>
    <row s="1829" customFormat="1" customHeight="1" ht="14.699999999999998">
      <c r="A7" s="1642"/>
      <c r="B7" s="1377"/>
      <c r="C7" s="1642"/>
      <c r="D7" s="1526"/>
      <c r="E7" s="2131" t="s">
        <v>314</v>
      </c>
      <c r="F7" s="2132"/>
      <c r="G7" s="2132"/>
      <c r="H7" s="2132"/>
      <c r="I7" s="2132"/>
      <c r="J7" s="2132"/>
      <c r="K7" s="2132"/>
      <c r="L7" s="2504" t="s">
        <v>315</v>
      </c>
      <c r="M7" s="1635"/>
      <c r="N7" s="1635"/>
      <c r="O7" s="1635"/>
      <c r="P7" s="1635"/>
      <c r="Q7" s="1635"/>
      <c r="R7" s="1635"/>
      <c r="S7" s="236"/>
      <c r="T7" s="236"/>
      <c r="U7" s="236"/>
      <c r="V7" s="236"/>
      <c r="IW7" s="1620">
        <v>14</v>
      </c>
    </row>
    <row s="1829" customFormat="1" customHeight="1" ht="67.2">
      <c r="A8" s="1642"/>
      <c r="B8" s="1377"/>
      <c r="C8" s="1642"/>
      <c r="D8" s="1526"/>
      <c r="E8" s="2508" t="s">
        <v>89</v>
      </c>
      <c r="F8" s="2508" t="s">
        <v>2103</v>
      </c>
      <c r="G8" s="2510" t="s">
        <v>2104</v>
      </c>
      <c r="H8" s="2511"/>
      <c r="I8" s="2512"/>
      <c r="J8" s="2508" t="s">
        <v>2105</v>
      </c>
      <c r="K8" s="25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06"/>
      <c r="M8" s="1635"/>
      <c r="N8" s="1635"/>
      <c r="O8" s="1635"/>
      <c r="P8" s="1635"/>
      <c r="Q8" s="1635"/>
      <c r="R8" s="1635"/>
      <c r="S8" s="236"/>
      <c r="T8" s="236"/>
      <c r="U8" s="236"/>
      <c r="V8" s="236"/>
      <c r="IW8" s="1620">
        <v>64</v>
      </c>
    </row>
    <row s="1829" customFormat="1" customHeight="1" ht="29.25">
      <c r="A9" s="1642"/>
      <c r="B9" s="1377"/>
      <c r="C9" s="1642"/>
      <c r="D9" s="1526"/>
      <c r="E9" s="2509"/>
      <c r="F9" s="2509"/>
      <c r="G9" s="1902" t="s">
        <v>2099</v>
      </c>
      <c r="H9" s="1902" t="s">
        <v>2100</v>
      </c>
      <c r="I9" s="1902" t="s">
        <v>2101</v>
      </c>
      <c r="J9" s="2509"/>
      <c r="K9" s="2509"/>
      <c r="L9" s="2505"/>
      <c r="M9" s="1635"/>
      <c r="N9" s="1635"/>
      <c r="O9" s="1635"/>
      <c r="P9" s="1635"/>
      <c r="Q9" s="1635"/>
      <c r="R9" s="1635"/>
      <c r="S9" s="236"/>
      <c r="T9" s="236"/>
      <c r="U9" s="236"/>
      <c r="V9" s="236"/>
      <c r="IW9" s="1620">
        <v>28</v>
      </c>
    </row>
    <row s="1858" customFormat="1" customHeight="1" ht="1.05">
      <c r="A10" s="2129"/>
      <c r="B10" s="1377">
        <v>1</v>
      </c>
      <c r="C10" s="1377"/>
      <c r="D10" s="811"/>
      <c r="E10" s="806">
        <v>0</v>
      </c>
      <c r="F10" s="1899" t="str">
        <f>IF(ROIV_INFO_NAME="","",ROIV_INFO_NAME)</f>
        <v>ПАО "КГК"</v>
      </c>
      <c r="G10" s="1743" t="s">
        <v>22</v>
      </c>
      <c r="H10" s="1911"/>
      <c r="I10" s="1911"/>
      <c r="J10" s="530"/>
      <c r="K10" s="530"/>
      <c r="L10" s="246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6">
        <f>MERGEVALUE(F10)</f>
      </c>
      <c r="N10" s="1647"/>
      <c r="O10" s="1647"/>
      <c r="P10" s="1635" t="str">
        <f t="array" ref="P10:P10">IF(ISERROR(MATCH(MID(Q10,1,250),MID(note_ter,1,250),0)),"n","y")</f>
        <v>n</v>
      </c>
      <c r="Q10" s="1647"/>
      <c r="R10" s="16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7"/>
      <c r="T10" s="1377"/>
      <c r="U10" s="431"/>
      <c r="V10" s="1377"/>
      <c r="W10" s="1377"/>
      <c r="X10" s="1377"/>
      <c r="Y10" s="844"/>
      <c r="Z10" s="844"/>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844"/>
      <c r="BW10" s="844"/>
      <c r="BX10" s="844"/>
      <c r="BY10" s="844"/>
      <c r="BZ10" s="844"/>
      <c r="CA10" s="844"/>
      <c r="CB10" s="844"/>
      <c r="CC10" s="844"/>
      <c r="CD10" s="844"/>
      <c r="CE10" s="844"/>
      <c r="IW10" s="635">
        <v>1</v>
      </c>
    </row>
    <row s="1858" customFormat="1" customHeight="1" ht="15.75">
      <c r="A11" s="2129"/>
      <c r="B11" s="1377"/>
      <c r="C11" s="423"/>
      <c r="D11" s="812"/>
      <c r="E11" s="432"/>
      <c r="F11" s="662" t="s">
        <v>2102</v>
      </c>
      <c r="G11" s="198"/>
      <c r="H11" s="198"/>
      <c r="I11" s="198"/>
      <c r="J11" s="198"/>
      <c r="K11" s="435"/>
      <c r="L11" s="2507"/>
      <c r="M11" s="1547"/>
      <c r="N11" s="1647"/>
      <c r="O11" s="1647"/>
      <c r="P11" s="1647"/>
      <c r="Q11" s="1635"/>
      <c r="R11" s="1647"/>
      <c r="S11" s="1377"/>
      <c r="T11" s="1377"/>
      <c r="U11" s="431"/>
      <c r="V11" s="1377"/>
      <c r="W11" s="1377"/>
      <c r="X11" s="1377"/>
      <c r="Y11" s="844"/>
      <c r="Z11" s="844"/>
      <c r="AA11" s="638"/>
      <c r="AB11" s="638"/>
      <c r="AC11" s="638"/>
      <c r="AD11" s="638"/>
      <c r="AE11" s="638"/>
      <c r="AF11" s="638"/>
      <c r="AG11" s="638"/>
      <c r="AH11" s="638"/>
      <c r="AI11" s="638"/>
      <c r="AJ11" s="638"/>
      <c r="AK11" s="638"/>
      <c r="AL11" s="638"/>
      <c r="AM11" s="638"/>
      <c r="AN11" s="638"/>
      <c r="AO11" s="638"/>
      <c r="AP11" s="638"/>
      <c r="AQ11" s="638"/>
      <c r="AR11" s="638"/>
      <c r="AS11" s="638"/>
      <c r="AT11" s="638"/>
      <c r="AU11" s="638"/>
      <c r="AV11" s="638"/>
      <c r="AW11" s="638"/>
      <c r="AX11" s="638"/>
      <c r="AY11" s="638"/>
      <c r="AZ11" s="638"/>
      <c r="BA11" s="638"/>
      <c r="BB11" s="638"/>
      <c r="BC11" s="638"/>
      <c r="BD11" s="638"/>
      <c r="BE11" s="638"/>
      <c r="BF11" s="638"/>
      <c r="BG11" s="638"/>
      <c r="BH11" s="638"/>
      <c r="BI11" s="638"/>
      <c r="BJ11" s="638"/>
      <c r="BK11" s="638"/>
      <c r="BL11" s="638"/>
      <c r="BM11" s="638"/>
      <c r="BN11" s="638"/>
      <c r="BO11" s="638"/>
      <c r="BP11" s="638"/>
      <c r="BQ11" s="638"/>
      <c r="BR11" s="638"/>
      <c r="BS11" s="638"/>
      <c r="BT11" s="638"/>
      <c r="BU11" s="638"/>
      <c r="BV11" s="844"/>
      <c r="BW11" s="844"/>
      <c r="BX11" s="844"/>
      <c r="BY11" s="844"/>
      <c r="BZ11" s="844"/>
      <c r="CA11" s="844"/>
      <c r="CB11" s="844"/>
      <c r="CC11" s="844"/>
      <c r="CD11" s="844"/>
      <c r="CE11" s="844"/>
      <c r="IW11" s="635">
        <v>15</v>
      </c>
    </row>
    <row s="1829" customFormat="1" customHeight="1" ht="22.049999999999997">
      <c r="A12" s="1642"/>
      <c r="B12" s="1377"/>
      <c r="C12" s="1642"/>
      <c r="D12" s="1644"/>
      <c r="E12" s="191"/>
      <c r="F12" s="191"/>
      <c r="G12" s="191"/>
      <c r="H12" s="191"/>
      <c r="I12" s="191"/>
      <c r="J12" s="191"/>
      <c r="K12" s="191"/>
      <c r="L12" s="191"/>
      <c r="M12" s="1635"/>
      <c r="N12" s="1635"/>
      <c r="O12" s="1635"/>
      <c r="P12" s="1635"/>
      <c r="Q12" s="1635"/>
      <c r="R12" s="1635"/>
      <c r="S12" s="236"/>
      <c r="T12" s="236"/>
      <c r="U12" s="236"/>
      <c r="V12" s="236"/>
      <c r="IW12" s="1620">
        <v>21</v>
      </c>
    </row>
    <row s="1829" customFormat="1" customHeight="1" ht="14.699999999999998">
      <c r="A13" s="1642"/>
      <c r="B13" s="1377"/>
      <c r="C13" s="1642"/>
      <c r="D13" s="1644"/>
      <c r="E13" s="1642"/>
      <c r="F13" s="1642"/>
      <c r="G13" s="1642"/>
      <c r="H13" s="1642"/>
      <c r="I13" s="1642"/>
      <c r="J13" s="1642"/>
      <c r="K13" s="1642"/>
      <c r="L13" s="1642"/>
      <c r="M13" s="1635"/>
      <c r="N13" s="1635"/>
      <c r="O13" s="1635"/>
      <c r="P13" s="1635"/>
      <c r="Q13" s="1635"/>
      <c r="R13" s="1635"/>
      <c r="S13" s="236"/>
      <c r="T13" s="236"/>
      <c r="U13" s="236"/>
      <c r="V13" s="236"/>
      <c r="IW13" s="1620">
        <v>14</v>
      </c>
    </row>
    <row s="1829" customFormat="1" customHeight="1" ht="1.05">
      <c r="A14" s="1642"/>
      <c r="B14" s="1377"/>
      <c r="C14" s="1642"/>
      <c r="D14" s="1644"/>
      <c r="E14" s="1642"/>
      <c r="F14" s="1642"/>
      <c r="G14" s="1642"/>
      <c r="H14" s="1642"/>
      <c r="I14" s="1642"/>
      <c r="J14" s="1642"/>
      <c r="K14" s="1642"/>
      <c r="L14" s="1642"/>
      <c r="M14" s="1635"/>
      <c r="N14" s="1635"/>
      <c r="O14" s="1635"/>
      <c r="P14" s="1635"/>
      <c r="Q14" s="1635"/>
      <c r="R14" s="1635"/>
      <c r="S14" s="236"/>
      <c r="T14" s="236"/>
      <c r="U14" s="236"/>
      <c r="V14" s="236"/>
      <c r="IW14" s="1620">
        <v>1</v>
      </c>
    </row>
    <row customHeight="1" ht="22.5" hidden="1">
      <c r="A15" s="1642" t="s">
        <v>83</v>
      </c>
      <c r="B15" s="1377">
        <v>0</v>
      </c>
      <c r="C15" s="1642">
        <v>0</v>
      </c>
      <c r="D15" s="1644">
        <v>3</v>
      </c>
      <c r="E15" s="1642">
        <v>6</v>
      </c>
      <c r="F15" s="1642">
        <v>27</v>
      </c>
      <c r="G15" s="1642">
        <v>16</v>
      </c>
      <c r="H15" s="1642">
        <v>12</v>
      </c>
      <c r="I15" s="1642">
        <v>32</v>
      </c>
      <c r="J15" s="1642">
        <v>41</v>
      </c>
      <c r="K15" s="1642">
        <v>41</v>
      </c>
      <c r="L15" s="1642">
        <v>89</v>
      </c>
      <c r="M15" s="1635">
        <v>3</v>
      </c>
      <c r="N15" s="1635">
        <v>8</v>
      </c>
      <c r="O15" s="1635">
        <v>8</v>
      </c>
      <c r="P15" s="1635">
        <v>8</v>
      </c>
      <c r="Q15" s="1635">
        <v>25</v>
      </c>
      <c r="R15" s="1635">
        <v>14</v>
      </c>
      <c r="S15" s="236">
        <v>8</v>
      </c>
      <c r="T15" s="236">
        <v>8</v>
      </c>
      <c r="U15" s="236">
        <v>8</v>
      </c>
      <c r="V15" s="236">
        <v>8</v>
      </c>
      <c r="W15" s="1642">
        <v>8</v>
      </c>
      <c r="X15" s="1642">
        <v>8</v>
      </c>
      <c r="Y15" s="1642">
        <v>8</v>
      </c>
      <c r="Z15" s="1642">
        <v>8</v>
      </c>
      <c r="AA15" s="1642">
        <v>8</v>
      </c>
      <c r="AB15" s="1642">
        <v>8</v>
      </c>
      <c r="AC15" s="1642">
        <v>8</v>
      </c>
      <c r="AD15" s="1642">
        <v>8</v>
      </c>
      <c r="AE15" s="1642">
        <v>8</v>
      </c>
      <c r="AF15" s="1642">
        <v>8</v>
      </c>
      <c r="AG15" s="1642">
        <v>8</v>
      </c>
      <c r="AH15" s="1642">
        <v>8</v>
      </c>
      <c r="AI15" s="1642">
        <v>8</v>
      </c>
      <c r="AJ15" s="1642">
        <v>8</v>
      </c>
      <c r="AK15" s="1642">
        <v>8</v>
      </c>
      <c r="AL15" s="1642">
        <v>8</v>
      </c>
      <c r="AM15" s="1642">
        <v>8</v>
      </c>
      <c r="AN15" s="1642">
        <v>8</v>
      </c>
      <c r="AO15" s="1642">
        <v>8</v>
      </c>
      <c r="AP15" s="1642">
        <v>8</v>
      </c>
      <c r="AQ15" s="1642">
        <v>8</v>
      </c>
      <c r="AR15" s="1642">
        <v>8</v>
      </c>
      <c r="AS15" s="1642">
        <v>8</v>
      </c>
      <c r="AT15" s="1642">
        <v>8</v>
      </c>
      <c r="AU15" s="1642">
        <v>8</v>
      </c>
      <c r="AV15" s="1642">
        <v>8</v>
      </c>
      <c r="AW15" s="1642">
        <v>8</v>
      </c>
      <c r="AX15" s="1642">
        <v>8</v>
      </c>
      <c r="AY15" s="1642">
        <v>8</v>
      </c>
      <c r="AZ15" s="1642">
        <v>8</v>
      </c>
      <c r="BA15" s="1642">
        <v>8</v>
      </c>
      <c r="BB15" s="1642">
        <v>8</v>
      </c>
      <c r="BC15" s="1642">
        <v>8</v>
      </c>
      <c r="BD15" s="1642">
        <v>8</v>
      </c>
      <c r="BE15" s="1642">
        <v>8</v>
      </c>
      <c r="BF15" s="1642">
        <v>8</v>
      </c>
      <c r="BG15" s="1642">
        <v>8</v>
      </c>
      <c r="BH15" s="1642">
        <v>8</v>
      </c>
      <c r="BI15" s="1642">
        <v>8</v>
      </c>
      <c r="BJ15" s="1642">
        <v>8</v>
      </c>
      <c r="BK15" s="1642">
        <v>8</v>
      </c>
      <c r="BL15" s="1642">
        <v>8</v>
      </c>
      <c r="BM15" s="1642">
        <v>8</v>
      </c>
      <c r="BN15" s="1642">
        <v>8</v>
      </c>
      <c r="BO15" s="1642">
        <v>8</v>
      </c>
      <c r="BP15" s="1642">
        <v>8</v>
      </c>
      <c r="BQ15" s="1642">
        <v>8</v>
      </c>
      <c r="BR15" s="1642">
        <v>8</v>
      </c>
      <c r="BS15" s="1642">
        <v>8</v>
      </c>
      <c r="BT15" s="1642">
        <v>8</v>
      </c>
      <c r="BU15" s="1642">
        <v>8</v>
      </c>
      <c r="BV15" s="1642">
        <v>8</v>
      </c>
      <c r="BW15" s="1642">
        <v>8</v>
      </c>
      <c r="BX15" s="1642">
        <v>8</v>
      </c>
      <c r="BY15" s="1642">
        <v>8</v>
      </c>
      <c r="BZ15" s="1642">
        <v>8</v>
      </c>
      <c r="CA15" s="1642">
        <v>8</v>
      </c>
      <c r="CB15" s="1642">
        <v>8</v>
      </c>
      <c r="CC15" s="1642">
        <v>8</v>
      </c>
      <c r="CD15" s="1642">
        <v>8</v>
      </c>
      <c r="CE15" s="1642">
        <v>8</v>
      </c>
      <c r="CF15" s="1642">
        <v>8</v>
      </c>
      <c r="CG15" s="1642">
        <v>8</v>
      </c>
      <c r="CH15" s="1642">
        <v>8</v>
      </c>
      <c r="CI15" s="1642">
        <v>8</v>
      </c>
      <c r="CJ15" s="1642">
        <v>8</v>
      </c>
      <c r="CK15" s="1642">
        <v>8</v>
      </c>
      <c r="CL15" s="1642">
        <v>8</v>
      </c>
      <c r="CM15" s="1642">
        <v>8</v>
      </c>
      <c r="CN15" s="1642">
        <v>8</v>
      </c>
      <c r="CO15" s="1642">
        <v>8</v>
      </c>
      <c r="CP15" s="1642">
        <v>8</v>
      </c>
      <c r="CQ15" s="1642">
        <v>8</v>
      </c>
      <c r="CR15" s="1642">
        <v>8</v>
      </c>
      <c r="CS15" s="1642">
        <v>8</v>
      </c>
      <c r="CT15" s="1642">
        <v>8</v>
      </c>
      <c r="CU15" s="1642">
        <v>8</v>
      </c>
      <c r="CV15" s="1642">
        <v>8</v>
      </c>
      <c r="CW15" s="1642">
        <v>8</v>
      </c>
      <c r="CX15" s="1642">
        <v>8</v>
      </c>
      <c r="CY15" s="1642">
        <v>8</v>
      </c>
      <c r="CZ15" s="1642">
        <v>8</v>
      </c>
      <c r="DA15" s="1642">
        <v>8</v>
      </c>
      <c r="DB15" s="1642">
        <v>8</v>
      </c>
      <c r="DC15" s="1642">
        <v>8</v>
      </c>
      <c r="DD15" s="1642">
        <v>8</v>
      </c>
      <c r="DE15" s="1642">
        <v>8</v>
      </c>
      <c r="DF15" s="1642">
        <v>8</v>
      </c>
      <c r="DG15" s="1642">
        <v>8</v>
      </c>
      <c r="DH15" s="1642">
        <v>8</v>
      </c>
      <c r="DI15" s="1642">
        <v>8</v>
      </c>
      <c r="DJ15" s="1642">
        <v>8</v>
      </c>
      <c r="DK15" s="1642">
        <v>8</v>
      </c>
      <c r="DL15" s="1642">
        <v>8</v>
      </c>
      <c r="DM15" s="1642">
        <v>8</v>
      </c>
      <c r="DN15" s="1642">
        <v>8</v>
      </c>
      <c r="DO15" s="1642">
        <v>8</v>
      </c>
      <c r="DP15" s="1642">
        <v>8</v>
      </c>
      <c r="DQ15" s="1642">
        <v>8</v>
      </c>
      <c r="DR15" s="1642">
        <v>8</v>
      </c>
      <c r="DS15" s="1642">
        <v>8</v>
      </c>
      <c r="DT15" s="1642">
        <v>8</v>
      </c>
      <c r="DU15" s="1642">
        <v>8</v>
      </c>
      <c r="DV15" s="1642">
        <v>8</v>
      </c>
      <c r="DW15" s="1642">
        <v>8</v>
      </c>
      <c r="DX15" s="1642">
        <v>8</v>
      </c>
      <c r="DY15" s="1642">
        <v>8</v>
      </c>
      <c r="DZ15" s="1642">
        <v>8</v>
      </c>
      <c r="EA15" s="1642">
        <v>8</v>
      </c>
      <c r="EB15" s="1642">
        <v>8</v>
      </c>
      <c r="EC15" s="1642">
        <v>8</v>
      </c>
      <c r="ED15" s="1642">
        <v>8</v>
      </c>
      <c r="EE15" s="1642">
        <v>8</v>
      </c>
      <c r="EF15" s="1642">
        <v>8</v>
      </c>
      <c r="EG15" s="1642">
        <v>8</v>
      </c>
      <c r="EH15" s="1642">
        <v>8</v>
      </c>
      <c r="EI15" s="1642">
        <v>8</v>
      </c>
      <c r="EJ15" s="1642">
        <v>8</v>
      </c>
      <c r="EK15" s="1642">
        <v>8</v>
      </c>
      <c r="EL15" s="1642">
        <v>8</v>
      </c>
      <c r="EM15" s="1642">
        <v>8</v>
      </c>
      <c r="EN15" s="1642">
        <v>8</v>
      </c>
      <c r="EO15" s="1642">
        <v>8</v>
      </c>
      <c r="EP15" s="1642">
        <v>8</v>
      </c>
      <c r="EQ15" s="1642">
        <v>8</v>
      </c>
      <c r="ER15" s="1642">
        <v>8</v>
      </c>
      <c r="ES15" s="1642">
        <v>8</v>
      </c>
      <c r="ET15" s="1642">
        <v>8</v>
      </c>
      <c r="EU15" s="1642">
        <v>8</v>
      </c>
      <c r="EV15" s="1642">
        <v>8</v>
      </c>
      <c r="EW15" s="1642">
        <v>8</v>
      </c>
      <c r="EX15" s="1642">
        <v>8</v>
      </c>
      <c r="EY15" s="1642">
        <v>8</v>
      </c>
      <c r="EZ15" s="1642">
        <v>8</v>
      </c>
      <c r="FA15" s="1642">
        <v>8</v>
      </c>
      <c r="FB15" s="1642">
        <v>8</v>
      </c>
      <c r="FC15" s="1642">
        <v>8</v>
      </c>
      <c r="FD15" s="1642">
        <v>8</v>
      </c>
      <c r="FE15" s="1642">
        <v>8</v>
      </c>
      <c r="FF15" s="1642">
        <v>8</v>
      </c>
      <c r="FG15" s="1642">
        <v>8</v>
      </c>
      <c r="FH15" s="1642">
        <v>8</v>
      </c>
      <c r="FI15" s="1642">
        <v>8</v>
      </c>
      <c r="FJ15" s="1642">
        <v>8</v>
      </c>
      <c r="FK15" s="1642">
        <v>8</v>
      </c>
      <c r="FL15" s="1642">
        <v>8</v>
      </c>
      <c r="FM15" s="1642">
        <v>8</v>
      </c>
      <c r="FN15" s="1642">
        <v>8</v>
      </c>
      <c r="FO15" s="1642">
        <v>8</v>
      </c>
      <c r="FP15" s="1642">
        <v>8</v>
      </c>
      <c r="FQ15" s="1642">
        <v>8</v>
      </c>
      <c r="FR15" s="1642">
        <v>8</v>
      </c>
      <c r="FS15" s="1642">
        <v>8</v>
      </c>
      <c r="FT15" s="1642">
        <v>8</v>
      </c>
      <c r="FU15" s="1642">
        <v>8</v>
      </c>
      <c r="FV15" s="1642">
        <v>8</v>
      </c>
      <c r="FW15" s="1642">
        <v>8</v>
      </c>
      <c r="FX15" s="1642">
        <v>8</v>
      </c>
      <c r="FY15" s="1642">
        <v>8</v>
      </c>
      <c r="FZ15" s="1642">
        <v>8</v>
      </c>
      <c r="GA15" s="1642">
        <v>8</v>
      </c>
      <c r="GB15" s="1642">
        <v>8</v>
      </c>
      <c r="GC15" s="1642">
        <v>8</v>
      </c>
      <c r="GD15" s="1642">
        <v>8</v>
      </c>
      <c r="GE15" s="1642">
        <v>8</v>
      </c>
      <c r="GF15" s="1642">
        <v>8</v>
      </c>
      <c r="GG15" s="1642">
        <v>8</v>
      </c>
      <c r="GH15" s="1642">
        <v>8</v>
      </c>
      <c r="GI15" s="1642">
        <v>8</v>
      </c>
      <c r="GJ15" s="1642">
        <v>8</v>
      </c>
      <c r="GK15" s="1642">
        <v>8</v>
      </c>
      <c r="GL15" s="1642">
        <v>8</v>
      </c>
      <c r="GM15" s="1642">
        <v>8</v>
      </c>
      <c r="GN15" s="1642">
        <v>8</v>
      </c>
      <c r="GO15" s="1642">
        <v>8</v>
      </c>
      <c r="GP15" s="1642">
        <v>8</v>
      </c>
      <c r="GQ15" s="1642">
        <v>8</v>
      </c>
      <c r="GR15" s="1642">
        <v>8</v>
      </c>
      <c r="GS15" s="1642">
        <v>8</v>
      </c>
      <c r="GT15" s="1642">
        <v>8</v>
      </c>
      <c r="GU15" s="1642">
        <v>8</v>
      </c>
      <c r="GV15" s="1642">
        <v>8</v>
      </c>
      <c r="GW15" s="1642">
        <v>8</v>
      </c>
      <c r="GX15" s="1642">
        <v>8</v>
      </c>
      <c r="GY15" s="1642">
        <v>8</v>
      </c>
      <c r="GZ15" s="1642">
        <v>8</v>
      </c>
      <c r="HA15" s="1642">
        <v>8</v>
      </c>
      <c r="HB15" s="1642">
        <v>8</v>
      </c>
      <c r="HC15" s="1642">
        <v>8</v>
      </c>
      <c r="HD15" s="1642">
        <v>8</v>
      </c>
      <c r="HE15" s="1642">
        <v>8</v>
      </c>
      <c r="HF15" s="1642">
        <v>8</v>
      </c>
      <c r="HG15" s="1642">
        <v>8</v>
      </c>
      <c r="HH15" s="1642">
        <v>8</v>
      </c>
      <c r="HI15" s="1642">
        <v>8</v>
      </c>
      <c r="HJ15" s="1642">
        <v>8</v>
      </c>
      <c r="HK15" s="1642">
        <v>8</v>
      </c>
      <c r="HL15" s="1642">
        <v>8</v>
      </c>
      <c r="HM15" s="1642">
        <v>8</v>
      </c>
      <c r="HN15" s="1642">
        <v>8</v>
      </c>
      <c r="HO15" s="1642">
        <v>8</v>
      </c>
      <c r="HP15" s="1642">
        <v>8</v>
      </c>
      <c r="HQ15" s="1642">
        <v>8</v>
      </c>
      <c r="HR15" s="1642">
        <v>8</v>
      </c>
      <c r="HS15" s="1642">
        <v>8</v>
      </c>
      <c r="HT15" s="1642">
        <v>8</v>
      </c>
      <c r="HU15" s="1642">
        <v>8</v>
      </c>
      <c r="HV15" s="1642">
        <v>8</v>
      </c>
      <c r="HW15" s="1642">
        <v>8</v>
      </c>
      <c r="HX15" s="1642">
        <v>8</v>
      </c>
      <c r="HY15" s="1642">
        <v>8</v>
      </c>
      <c r="HZ15" s="1642">
        <v>8</v>
      </c>
      <c r="IA15" s="1642">
        <v>8</v>
      </c>
      <c r="IB15" s="1642">
        <v>8</v>
      </c>
      <c r="IC15" s="1642">
        <v>8</v>
      </c>
      <c r="ID15" s="1642">
        <v>8</v>
      </c>
      <c r="IE15" s="1642">
        <v>8</v>
      </c>
      <c r="IF15" s="1642">
        <v>8</v>
      </c>
      <c r="IG15" s="1642">
        <v>8</v>
      </c>
      <c r="IH15" s="1642">
        <v>8</v>
      </c>
      <c r="II15" s="1642">
        <v>8</v>
      </c>
      <c r="IJ15" s="1642">
        <v>8</v>
      </c>
      <c r="IK15" s="1642">
        <v>8</v>
      </c>
      <c r="IL15" s="1642">
        <v>8</v>
      </c>
      <c r="IM15" s="1642">
        <v>8</v>
      </c>
      <c r="IN15" s="1642">
        <v>8</v>
      </c>
      <c r="IO15" s="1642">
        <v>8</v>
      </c>
      <c r="IP15" s="1642">
        <v>8</v>
      </c>
      <c r="IQ15" s="1642">
        <v>8</v>
      </c>
      <c r="IR15" s="1642">
        <v>8</v>
      </c>
      <c r="IS15" s="1642">
        <v>8</v>
      </c>
      <c r="IT15" s="1642">
        <v>8</v>
      </c>
      <c r="IU15" s="1642">
        <v>8</v>
      </c>
      <c r="IV15" s="1642">
        <v>8</v>
      </c>
      <c r="IW15" s="164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BFA61-C6D6-B898-DC68-FCE21248D68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6" width="9.140625" hidden="1"/>
    <col min="2" max="2" style="1377" width="9.140625" hidden="1"/>
    <col min="3" max="3" style="1646" width="3.7109375" hidden="1" customWidth="1"/>
    <col min="4" max="4" style="1850" width="3.00390625" customWidth="1"/>
    <col min="5" max="5" style="1646" width="6.00390625" customWidth="1"/>
    <col min="6" max="6" style="1646" width="27.00390625" customWidth="1"/>
    <col min="7" max="7" style="1646" width="29.00390625" customWidth="1"/>
    <col min="8" max="8" style="1646" width="25.00390625" customWidth="1"/>
    <col min="9" max="9" style="1646" width="5.00390625" customWidth="1"/>
    <col min="10" max="10" style="1646" width="6.00390625" customWidth="1"/>
    <col min="11" max="11" style="1646" width="41.00390625" customWidth="1"/>
    <col min="12" max="12" style="1646" width="42.00390625" customWidth="1"/>
    <col min="13" max="13" style="1646" width="41.00390625" customWidth="1"/>
    <col min="14" max="14" style="1646" width="89.00390625" customWidth="1"/>
    <col min="15" max="15" style="1635" width="3.00390625" customWidth="1"/>
    <col min="16" max="16" style="1635" width="8.00390625" customWidth="1"/>
    <col min="17" max="17" style="1646" width="9.140625" hidden="1"/>
  </cols>
  <sheetData>
    <row customHeight="1" ht="22.5" hidden="1">
      <c r="Q1" s="1166" t="s">
        <v>14</v>
      </c>
    </row>
    <row s="1858" customFormat="1" customHeight="1" ht="22.5" hidden="1">
      <c r="A2" s="507"/>
      <c r="B2" s="1171">
        <v>1</v>
      </c>
      <c r="C2" s="1171"/>
      <c r="D2" s="1936" t="s">
        <v>105</v>
      </c>
      <c r="E2" s="2157">
        <v>1</v>
      </c>
      <c r="F2" s="2333" t="str">
        <f>IF(region_name="","",region_name)</f>
        <v>Курганская область</v>
      </c>
      <c r="G2" s="2513"/>
      <c r="H2" s="2514"/>
      <c r="I2" s="485"/>
      <c r="J2" s="1918">
        <v>1</v>
      </c>
      <c r="K2" s="1920"/>
      <c r="L2" s="1920"/>
      <c r="M2" s="1920"/>
      <c r="N2" s="503"/>
      <c r="O2" s="1546"/>
      <c r="P2" s="522"/>
      <c r="Q2" s="434">
        <v>0</v>
      </c>
    </row>
    <row s="1858" customFormat="1" customHeight="1" ht="22.5" hidden="1">
      <c r="A3" s="842"/>
      <c r="B3" s="1171"/>
      <c r="C3" s="1171"/>
      <c r="D3" s="812"/>
      <c r="E3" s="2157"/>
      <c r="F3" s="2333"/>
      <c r="G3" s="2513"/>
      <c r="H3" s="2515"/>
      <c r="I3" s="432"/>
      <c r="J3" s="1511"/>
      <c r="K3" s="1511" t="s">
        <v>2106</v>
      </c>
      <c r="L3" s="1554"/>
      <c r="M3" s="1928"/>
      <c r="N3" s="1921"/>
      <c r="O3" s="1546"/>
      <c r="P3" s="522"/>
      <c r="Q3" s="434">
        <v>0</v>
      </c>
    </row>
    <row s="1653" customFormat="1" customHeight="1" ht="5.25" hidden="1">
      <c r="A4" s="507"/>
      <c r="D4" s="505"/>
      <c r="F4" s="258" t="s">
        <v>84</v>
      </c>
      <c r="G4" s="505" t="s">
        <v>85</v>
      </c>
      <c r="H4" s="505"/>
      <c r="I4" s="1931"/>
      <c r="J4" s="1555"/>
      <c r="K4" s="1919"/>
      <c r="L4" s="1919"/>
      <c r="M4" s="1919"/>
      <c r="N4" s="1915"/>
      <c r="O4" s="258" t="s">
        <v>84</v>
      </c>
      <c r="P4" s="258"/>
      <c r="Q4" s="522">
        <v>0</v>
      </c>
    </row>
    <row s="1858" customFormat="1" customHeight="1" ht="22.5" hidden="1">
      <c r="A5" s="1652"/>
      <c r="B5" s="1377">
        <v>1</v>
      </c>
      <c r="C5" s="1377"/>
      <c r="D5" s="812"/>
      <c r="E5" s="1921"/>
      <c r="F5" s="1921"/>
      <c r="G5" s="1921"/>
      <c r="H5" s="1932"/>
      <c r="I5" s="1937" t="s">
        <v>105</v>
      </c>
      <c r="J5" s="1930">
        <v>1</v>
      </c>
      <c r="K5" s="1920"/>
      <c r="L5" s="1920"/>
      <c r="M5" s="1920"/>
      <c r="N5" s="503"/>
      <c r="O5" s="1546"/>
      <c r="P5" s="1647"/>
      <c r="Q5" s="635">
        <v>0</v>
      </c>
    </row>
    <row s="1829" customFormat="1" customHeight="1" ht="14.699999999999998">
      <c r="A6" s="1166"/>
      <c r="B6" s="1171"/>
      <c r="C6" s="1166"/>
      <c r="D6" s="1506"/>
      <c r="E6" s="520"/>
      <c r="F6" s="520"/>
      <c r="G6" s="520"/>
      <c r="H6" s="520"/>
      <c r="I6" s="520"/>
      <c r="J6" s="520"/>
      <c r="K6" s="520"/>
      <c r="L6" s="520"/>
      <c r="M6" s="520"/>
      <c r="N6" s="1646"/>
      <c r="O6" s="258"/>
      <c r="P6" s="511"/>
      <c r="Q6" s="518">
        <v>14</v>
      </c>
    </row>
    <row s="1829" customFormat="1" customHeight="1" ht="27.299999999999997">
      <c r="A7" s="1166"/>
      <c r="B7" s="1171"/>
      <c r="C7" s="1166"/>
      <c r="D7" s="1506"/>
      <c r="E7" s="252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20"/>
      <c r="G7" s="2520"/>
      <c r="H7" s="2520"/>
      <c r="I7" s="2520"/>
      <c r="J7" s="2520"/>
      <c r="K7" s="2520"/>
      <c r="L7" s="2520"/>
      <c r="M7" s="2520"/>
      <c r="N7" s="1263"/>
      <c r="O7" s="258"/>
      <c r="P7" s="511"/>
      <c r="Q7" s="518">
        <v>26</v>
      </c>
    </row>
    <row s="1829" customFormat="1" customHeight="1" ht="14.699999999999998">
      <c r="A8" s="1166"/>
      <c r="B8" s="1171"/>
      <c r="C8" s="1166"/>
      <c r="D8" s="1506"/>
      <c r="E8" s="520"/>
      <c r="F8" s="178"/>
      <c r="G8" s="178"/>
      <c r="H8" s="178"/>
      <c r="I8" s="178"/>
      <c r="J8" s="178"/>
      <c r="K8" s="178"/>
      <c r="L8" s="178"/>
      <c r="M8" s="178"/>
      <c r="N8" s="627"/>
      <c r="O8" s="511"/>
      <c r="P8" s="511"/>
      <c r="Q8" s="518">
        <v>14</v>
      </c>
    </row>
    <row s="1557" customFormat="1" customHeight="1" ht="14.25" hidden="1">
      <c r="A9" s="1479"/>
      <c r="B9" s="1489"/>
      <c r="C9" s="1479"/>
      <c r="D9" s="1506"/>
      <c r="E9" s="1922"/>
      <c r="F9" s="1922"/>
      <c r="G9" s="1922"/>
      <c r="H9" s="1922"/>
      <c r="I9" s="2523"/>
      <c r="J9" s="2523"/>
      <c r="K9" s="2523"/>
      <c r="L9" s="1922"/>
      <c r="M9" s="1923"/>
      <c r="O9" s="1556"/>
      <c r="P9" s="1556"/>
      <c r="Q9" s="1557">
        <v>0</v>
      </c>
    </row>
    <row s="1829" customFormat="1" customHeight="1" ht="14.699999999999998">
      <c r="A10" s="1166"/>
      <c r="B10" s="1171"/>
      <c r="C10" s="1166"/>
      <c r="D10" s="1506"/>
      <c r="E10" s="2157" t="s">
        <v>314</v>
      </c>
      <c r="F10" s="2157"/>
      <c r="G10" s="2157"/>
      <c r="H10" s="2157"/>
      <c r="I10" s="2157"/>
      <c r="J10" s="2157"/>
      <c r="K10" s="2157"/>
      <c r="L10" s="2157"/>
      <c r="M10" s="2131"/>
      <c r="N10" s="2508" t="s">
        <v>315</v>
      </c>
      <c r="O10" s="511"/>
      <c r="P10" s="511"/>
      <c r="Q10" s="518">
        <v>14</v>
      </c>
    </row>
    <row s="1829" customFormat="1" customHeight="1" ht="44.25">
      <c r="A11" s="1642"/>
      <c r="B11" s="1377"/>
      <c r="C11" s="1642"/>
      <c r="D11" s="1526"/>
      <c r="E11" s="2522" t="s">
        <v>89</v>
      </c>
      <c r="F11" s="2522" t="s">
        <v>318</v>
      </c>
      <c r="G11" s="2522" t="s">
        <v>2107</v>
      </c>
      <c r="H11" s="2522"/>
      <c r="I11" s="2522" t="s">
        <v>2108</v>
      </c>
      <c r="J11" s="2522"/>
      <c r="K11" s="2522"/>
      <c r="L11" s="2522" t="s">
        <v>2109</v>
      </c>
      <c r="M11" s="2510" t="s">
        <v>2110</v>
      </c>
      <c r="N11" s="2521"/>
      <c r="O11" s="1635"/>
      <c r="P11" s="1635"/>
      <c r="Q11" s="1620">
        <v>42</v>
      </c>
    </row>
    <row s="1829" customFormat="1" customHeight="1" ht="29.25">
      <c r="A12" s="1166"/>
      <c r="B12" s="1171"/>
      <c r="C12" s="1166"/>
      <c r="D12" s="1506"/>
      <c r="E12" s="2508"/>
      <c r="F12" s="2522"/>
      <c r="G12" s="1917" t="s">
        <v>2111</v>
      </c>
      <c r="H12" s="1917" t="s">
        <v>322</v>
      </c>
      <c r="I12" s="2522"/>
      <c r="J12" s="2522"/>
      <c r="K12" s="2522"/>
      <c r="L12" s="2522"/>
      <c r="M12" s="2510"/>
      <c r="N12" s="2509"/>
      <c r="O12" s="511"/>
      <c r="P12" s="511"/>
      <c r="Q12" s="518">
        <v>28</v>
      </c>
    </row>
    <row s="1858" customFormat="1" customHeight="1" ht="23.25">
      <c r="A13" s="2129">
        <v>26379339</v>
      </c>
      <c r="B13" s="1171">
        <v>1</v>
      </c>
      <c r="C13" s="1171"/>
      <c r="D13" s="812"/>
      <c r="E13" s="2157">
        <v>1</v>
      </c>
      <c r="F13" s="2516" t="str">
        <f>IF(region_name="","",region_name)</f>
        <v>Курганская область</v>
      </c>
      <c r="G13" s="2517"/>
      <c r="H13" s="2524"/>
      <c r="I13" s="485"/>
      <c r="J13" s="1913">
        <v>1</v>
      </c>
      <c r="K13" s="1926"/>
      <c r="L13" s="1927"/>
      <c r="M13" s="1927"/>
      <c r="N13" s="2518" t="s">
        <v>2112</v>
      </c>
      <c r="O13" s="1546"/>
      <c r="P13" s="522"/>
      <c r="Q13" s="434">
        <v>22</v>
      </c>
    </row>
    <row s="1858" customFormat="1" customHeight="1" ht="23.25">
      <c r="A14" s="2129"/>
      <c r="B14" s="1171"/>
      <c r="C14" s="1171"/>
      <c r="D14" s="812"/>
      <c r="E14" s="2157"/>
      <c r="F14" s="2516"/>
      <c r="G14" s="2517"/>
      <c r="H14" s="2525"/>
      <c r="I14" s="432"/>
      <c r="J14" s="1511"/>
      <c r="K14" s="1511" t="s">
        <v>2106</v>
      </c>
      <c r="L14" s="1554"/>
      <c r="M14" s="1554"/>
      <c r="N14" s="2519"/>
      <c r="O14" s="1546"/>
      <c r="P14" s="522"/>
      <c r="Q14" s="434">
        <v>22</v>
      </c>
    </row>
    <row s="1858" customFormat="1" customHeight="1" ht="23.25">
      <c r="A15" s="2129"/>
      <c r="B15" s="1171"/>
      <c r="C15" s="423"/>
      <c r="D15" s="812"/>
      <c r="E15" s="432"/>
      <c r="F15" s="1511" t="s">
        <v>2098</v>
      </c>
      <c r="G15" s="1553"/>
      <c r="H15" s="1553"/>
      <c r="I15" s="198"/>
      <c r="J15" s="198"/>
      <c r="K15" s="198"/>
      <c r="L15" s="198"/>
      <c r="M15" s="198"/>
      <c r="N15" s="2519"/>
      <c r="O15" s="1547"/>
      <c r="P15" s="522"/>
      <c r="Q15" s="434">
        <v>22</v>
      </c>
    </row>
    <row s="1829" customFormat="1" customHeight="1" ht="22.049999999999997">
      <c r="A16" s="1166"/>
      <c r="B16" s="1171"/>
      <c r="C16" s="1166"/>
      <c r="D16" s="462"/>
      <c r="E16" s="191"/>
      <c r="F16" s="191"/>
      <c r="G16" s="191"/>
      <c r="H16" s="191"/>
      <c r="I16" s="191"/>
      <c r="J16" s="191"/>
      <c r="K16" s="191"/>
      <c r="L16" s="191"/>
      <c r="M16" s="520"/>
      <c r="N16" s="1646"/>
      <c r="O16" s="511"/>
      <c r="P16" s="511"/>
      <c r="Q16" s="518">
        <v>21</v>
      </c>
    </row>
    <row s="1829" customFormat="1" customHeight="1" ht="14.699999999999998">
      <c r="A17" s="1166"/>
      <c r="B17" s="1171"/>
      <c r="C17" s="1166"/>
      <c r="D17" s="462"/>
      <c r="E17" s="1166"/>
      <c r="F17" s="1166"/>
      <c r="G17" s="1166"/>
      <c r="H17" s="1166"/>
      <c r="I17" s="1166"/>
      <c r="J17" s="1166"/>
      <c r="K17" s="1166"/>
      <c r="L17" s="1166"/>
      <c r="M17" s="1166"/>
      <c r="N17" s="1642"/>
      <c r="O17" s="511"/>
      <c r="P17" s="511"/>
      <c r="Q17" s="518">
        <v>14</v>
      </c>
    </row>
    <row s="1829" customFormat="1" customHeight="1" ht="1.05">
      <c r="A18" s="1166"/>
      <c r="B18" s="1171"/>
      <c r="C18" s="1166"/>
      <c r="D18" s="462"/>
      <c r="E18" s="1166"/>
      <c r="F18" s="1166"/>
      <c r="G18" s="1166"/>
      <c r="H18" s="1166"/>
      <c r="I18" s="1166"/>
      <c r="J18" s="1166"/>
      <c r="K18" s="1166"/>
      <c r="L18" s="1166"/>
      <c r="M18" s="1166"/>
      <c r="N18" s="1642"/>
      <c r="O18" s="511"/>
      <c r="P18" s="511"/>
      <c r="Q18" s="518">
        <v>1</v>
      </c>
    </row>
    <row customHeight="1" ht="22.5" hidden="1">
      <c r="A19" s="1166" t="s">
        <v>83</v>
      </c>
      <c r="B19" s="1171">
        <v>0</v>
      </c>
      <c r="C19" s="1166">
        <v>0</v>
      </c>
      <c r="D19" s="462">
        <v>3</v>
      </c>
      <c r="E19" s="1166">
        <v>6</v>
      </c>
      <c r="F19" s="1166">
        <v>27</v>
      </c>
      <c r="G19" s="1166">
        <v>29</v>
      </c>
      <c r="H19" s="1166">
        <v>25</v>
      </c>
      <c r="I19" s="1166">
        <v>5</v>
      </c>
      <c r="J19" s="1166">
        <v>6</v>
      </c>
      <c r="K19" s="1166">
        <v>41</v>
      </c>
      <c r="L19" s="1166">
        <v>42</v>
      </c>
      <c r="M19" s="1166">
        <v>41</v>
      </c>
      <c r="N19" s="1642">
        <v>89</v>
      </c>
      <c r="O19" s="511">
        <v>3</v>
      </c>
      <c r="P19" s="511">
        <v>8</v>
      </c>
      <c r="Q19" s="116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056F5-4582-3CED-C0E8-B6480A97194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9" width="9.140625" hidden="1"/>
    <col min="2" max="2" style="1833" width="9.140625" hidden="1"/>
    <col min="3" max="3" style="131"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2" t="s">
        <v>14</v>
      </c>
    </row>
    <row customHeight="1" ht="14.25" hidden="1">
      <c r="M2" s="132">
        <v>0</v>
      </c>
    </row>
    <row customHeight="1" ht="14.25" hidden="1">
      <c r="M3" s="132">
        <v>0</v>
      </c>
    </row>
    <row customHeight="1" ht="3">
      <c r="M4" s="132">
        <v>3</v>
      </c>
    </row>
    <row s="1646" customFormat="1" customHeight="1" ht="31.5">
      <c r="A5" s="126"/>
      <c r="C5" s="101"/>
      <c r="D5" s="2130" t="s">
        <v>2113</v>
      </c>
      <c r="E5" s="2130"/>
      <c r="F5" s="2130"/>
      <c r="G5" s="2130"/>
      <c r="H5" s="2130"/>
      <c r="I5" s="276"/>
      <c r="M5" s="94">
        <v>30</v>
      </c>
    </row>
    <row customHeight="1" ht="3" hidden="1">
      <c r="D6" s="133"/>
      <c r="E6" s="133"/>
      <c r="F6" s="133"/>
      <c r="G6" s="133"/>
      <c r="H6" s="133"/>
      <c r="I6" s="133"/>
      <c r="M6" s="132">
        <v>0</v>
      </c>
    </row>
    <row s="369" customFormat="1" customHeight="1" ht="14.699999999999998">
      <c r="B7" s="130"/>
      <c r="C7" s="131"/>
      <c r="D7" s="134"/>
      <c r="E7" s="134"/>
      <c r="F7" s="134"/>
      <c r="G7" s="134"/>
      <c r="H7" s="763"/>
      <c r="I7" s="134"/>
      <c r="J7" s="135"/>
      <c r="M7" s="129">
        <v>14</v>
      </c>
    </row>
    <row customHeight="1" ht="14.699999999999998">
      <c r="D8" s="2239" t="s">
        <v>314</v>
      </c>
      <c r="E8" s="2239"/>
      <c r="F8" s="2239"/>
      <c r="G8" s="2239"/>
      <c r="H8" s="2239"/>
      <c r="I8" s="2239" t="s">
        <v>315</v>
      </c>
      <c r="M8" s="132">
        <v>14</v>
      </c>
    </row>
    <row customHeight="1" ht="29.25">
      <c r="D9" s="2239" t="s">
        <v>89</v>
      </c>
      <c r="E9" s="2239" t="s">
        <v>2114</v>
      </c>
      <c r="F9" s="2239"/>
      <c r="G9" s="2239"/>
      <c r="H9" s="2239"/>
      <c r="I9" s="2239"/>
      <c r="M9" s="132">
        <v>28</v>
      </c>
    </row>
    <row customHeight="1" ht="24">
      <c r="D10" s="2239"/>
      <c r="E10" s="138" t="s">
        <v>2115</v>
      </c>
      <c r="F10" s="138" t="s">
        <v>2116</v>
      </c>
      <c r="G10" s="138" t="s">
        <v>2117</v>
      </c>
      <c r="H10" s="138" t="s">
        <v>404</v>
      </c>
      <c r="I10" s="2239"/>
      <c r="M10" s="132">
        <v>23</v>
      </c>
    </row>
    <row customHeight="1" ht="12" hidden="1">
      <c r="D11" s="98" t="s">
        <v>120</v>
      </c>
      <c r="E11" s="98" t="s">
        <v>92</v>
      </c>
      <c r="F11" s="98" t="s">
        <v>121</v>
      </c>
      <c r="G11" s="98" t="s">
        <v>93</v>
      </c>
      <c r="H11" s="98" t="s">
        <v>94</v>
      </c>
      <c r="I11" s="98" t="s">
        <v>122</v>
      </c>
      <c r="M11" s="132">
        <v>0</v>
      </c>
    </row>
    <row s="1833" customFormat="1" customHeight="1" ht="26.25">
      <c r="A12" s="156" t="s">
        <v>91</v>
      </c>
      <c r="B12" s="136" t="s">
        <v>22</v>
      </c>
      <c r="C12" s="137"/>
      <c r="D12" s="139" t="s">
        <v>120</v>
      </c>
      <c r="E12" s="392"/>
      <c r="F12" s="392"/>
      <c r="G12" s="1744" t="s">
        <v>22</v>
      </c>
      <c r="H12" s="393"/>
      <c r="I12" s="2199" t="s">
        <v>2118</v>
      </c>
      <c r="K12" s="283"/>
      <c r="L12" s="284"/>
      <c r="M12" s="128">
        <v>25</v>
      </c>
    </row>
    <row customHeight="1" ht="15.75">
      <c r="A13" s="132"/>
      <c r="B13" s="132"/>
      <c r="C13" s="132"/>
      <c r="D13" s="120"/>
      <c r="E13" s="141" t="s">
        <v>478</v>
      </c>
      <c r="F13" s="140"/>
      <c r="G13" s="140"/>
      <c r="H13" s="225"/>
      <c r="I13" s="2201"/>
      <c r="M13" s="132">
        <v>15</v>
      </c>
    </row>
    <row customHeight="1" ht="3">
      <c r="A14" s="132"/>
      <c r="B14" s="132"/>
      <c r="C14" s="132"/>
      <c r="M14" s="132">
        <v>3</v>
      </c>
    </row>
    <row customHeight="1" ht="29.25">
      <c r="E15" s="2526" t="s">
        <v>2119</v>
      </c>
      <c r="F15" s="2526"/>
      <c r="G15" s="2526"/>
      <c r="H15" s="2526"/>
      <c r="M15" s="132">
        <v>28</v>
      </c>
    </row>
    <row customHeight="1" ht="14.25" hidden="1">
      <c r="A16" s="129" t="s">
        <v>83</v>
      </c>
      <c r="B16" s="130">
        <v>0</v>
      </c>
      <c r="C16" s="131">
        <v>3</v>
      </c>
      <c r="D16" s="132">
        <v>6</v>
      </c>
      <c r="E16" s="132">
        <v>22</v>
      </c>
      <c r="F16" s="132">
        <v>15</v>
      </c>
      <c r="G16" s="132">
        <v>14</v>
      </c>
      <c r="H16" s="132">
        <v>47</v>
      </c>
      <c r="I16" s="132">
        <v>115</v>
      </c>
      <c r="J16" s="132">
        <v>3</v>
      </c>
      <c r="K16" s="132">
        <v>8</v>
      </c>
      <c r="L16" s="132">
        <v>8</v>
      </c>
      <c r="M16" s="13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958B8-4963-B88B-CC98-7A2690B1EB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5" width="9.140625" hidden="1"/>
    <col min="3" max="3" style="102" width="3.00390625" customWidth="1"/>
    <col min="4" max="4" style="275" width="6.00390625" customWidth="1"/>
    <col min="5" max="5" style="275" width="94.00390625" customWidth="1"/>
    <col min="6" max="9" style="275" width="8.00390625" customWidth="1"/>
    <col min="10" max="10" style="275" width="9.140625" hidden="1"/>
  </cols>
  <sheetData>
    <row customHeight="1" ht="14.25" hidden="1">
      <c r="J1" s="80" t="s">
        <v>14</v>
      </c>
    </row>
    <row customHeight="1" ht="14.25" hidden="1">
      <c r="J2" s="80">
        <v>0</v>
      </c>
    </row>
    <row customHeight="1" ht="14.25" hidden="1">
      <c r="J3" s="80">
        <v>0</v>
      </c>
    </row>
    <row customHeight="1" ht="14.25" hidden="1">
      <c r="J4" s="80">
        <v>0</v>
      </c>
    </row>
    <row customHeight="1" ht="14.25" hidden="1">
      <c r="J5" s="80">
        <v>0</v>
      </c>
    </row>
    <row customHeight="1" ht="3">
      <c r="C6" s="103"/>
      <c r="D6" s="81"/>
      <c r="E6" s="81"/>
      <c r="J6" s="80">
        <v>3</v>
      </c>
    </row>
    <row customHeight="1" ht="23.25">
      <c r="C7" s="103"/>
      <c r="D7" s="2527" t="s">
        <v>2120</v>
      </c>
      <c r="E7" s="2528"/>
      <c r="F7" s="278"/>
      <c r="J7" s="80">
        <v>22</v>
      </c>
    </row>
    <row customHeight="1" ht="3">
      <c r="C8" s="103"/>
      <c r="D8" s="81"/>
      <c r="E8" s="81"/>
      <c r="J8" s="80">
        <v>3</v>
      </c>
    </row>
    <row customHeight="1" ht="16.8">
      <c r="C9" s="103"/>
      <c r="D9" s="116" t="s">
        <v>89</v>
      </c>
      <c r="E9" s="271" t="s">
        <v>2121</v>
      </c>
      <c r="J9" s="80">
        <v>16</v>
      </c>
    </row>
    <row customHeight="1" ht="1.05">
      <c r="C10" s="103"/>
      <c r="D10" s="98"/>
      <c r="E10" s="98"/>
      <c r="J10" s="80">
        <v>1</v>
      </c>
    </row>
    <row customHeight="1" ht="11.25" hidden="1">
      <c r="C11" s="103"/>
      <c r="D11" s="161">
        <v>0</v>
      </c>
      <c r="E11" s="272"/>
      <c r="J11" s="80">
        <v>0</v>
      </c>
    </row>
    <row customHeight="1" ht="15.75">
      <c r="C12" s="147"/>
      <c r="D12" s="124">
        <v>1</v>
      </c>
      <c r="E12" s="388"/>
      <c r="J12" s="80">
        <v>15</v>
      </c>
    </row>
    <row customHeight="1" ht="12.75">
      <c r="C13" s="103"/>
      <c r="D13" s="273"/>
      <c r="E13" s="274" t="s">
        <v>2122</v>
      </c>
      <c r="J13" s="80">
        <v>12</v>
      </c>
    </row>
    <row customHeight="1" ht="3">
      <c r="J14" s="80">
        <v>3</v>
      </c>
    </row>
    <row customHeight="1" ht="23.25">
      <c r="C15" s="148"/>
      <c r="D15" s="2529" t="s">
        <v>2123</v>
      </c>
      <c r="E15" s="2529"/>
      <c r="F15" s="149"/>
      <c r="G15" s="149"/>
      <c r="H15" s="149"/>
      <c r="I15" s="149"/>
      <c r="J15" s="80">
        <v>22</v>
      </c>
    </row>
    <row customHeight="1" ht="14.25" hidden="1">
      <c r="A16" s="80" t="s">
        <v>83</v>
      </c>
      <c r="B16" s="80">
        <v>0</v>
      </c>
      <c r="C16" s="102">
        <v>3</v>
      </c>
      <c r="D16" s="80">
        <v>6</v>
      </c>
      <c r="E16" s="80">
        <v>94</v>
      </c>
      <c r="F16" s="80">
        <v>8</v>
      </c>
      <c r="G16" s="80">
        <v>8</v>
      </c>
      <c r="H16" s="80">
        <v>8</v>
      </c>
      <c r="I16" s="80">
        <v>8</v>
      </c>
      <c r="J16" s="8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31403-4ACB-EC28-3EAB-95D285B1C04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5" width="9.140625" hidden="1"/>
    <col min="3" max="3" style="102" width="3.00390625" customWidth="1"/>
    <col min="4" max="4" style="275" width="6.00390625" customWidth="1"/>
    <col min="5" max="5" style="275" width="94.00390625" customWidth="1"/>
    <col min="6" max="12" style="275" width="8.00390625" customWidth="1"/>
    <col min="13" max="13" style="275" width="9.140625" hidden="1"/>
  </cols>
  <sheetData>
    <row customHeight="1" ht="14.25" hidden="1">
      <c r="L1" s="275"/>
      <c r="M1" s="80" t="s">
        <v>14</v>
      </c>
    </row>
    <row customHeight="1" ht="14.25" hidden="1">
      <c r="M2" s="80">
        <v>0</v>
      </c>
    </row>
    <row customHeight="1" ht="14.25" hidden="1">
      <c r="M3" s="80">
        <v>0</v>
      </c>
    </row>
    <row customHeight="1" ht="14.25" hidden="1">
      <c r="M4" s="80">
        <v>0</v>
      </c>
    </row>
    <row customHeight="1" ht="14.25" hidden="1">
      <c r="M5" s="80">
        <v>0</v>
      </c>
    </row>
    <row customHeight="1" ht="3">
      <c r="C6" s="103"/>
      <c r="D6" s="81"/>
      <c r="E6" s="81"/>
      <c r="M6" s="80">
        <v>3</v>
      </c>
    </row>
    <row customHeight="1" ht="23.25">
      <c r="C7" s="103"/>
      <c r="D7" s="2130" t="s">
        <v>2124</v>
      </c>
      <c r="E7" s="2130"/>
      <c r="F7" s="278"/>
      <c r="M7" s="80">
        <v>22</v>
      </c>
    </row>
    <row customHeight="1" ht="3">
      <c r="C8" s="103"/>
      <c r="D8" s="81"/>
      <c r="E8" s="81"/>
      <c r="M8" s="80">
        <v>3</v>
      </c>
    </row>
    <row customHeight="1" ht="16.8">
      <c r="C9" s="103"/>
      <c r="D9" s="116" t="s">
        <v>89</v>
      </c>
      <c r="E9" s="119" t="s">
        <v>301</v>
      </c>
      <c r="M9" s="80">
        <v>16</v>
      </c>
    </row>
    <row customHeight="1" ht="12.75">
      <c r="C10" s="103"/>
      <c r="D10" s="98" t="s">
        <v>120</v>
      </c>
      <c r="E10" s="98" t="s">
        <v>104</v>
      </c>
      <c r="M10" s="80">
        <v>12</v>
      </c>
    </row>
    <row customHeight="1" ht="15" hidden="1">
      <c r="C11" s="103"/>
      <c r="D11" s="124">
        <v>0</v>
      </c>
      <c r="E11" s="160"/>
      <c r="M11" s="80">
        <v>0</v>
      </c>
    </row>
    <row customHeight="1" ht="14.699999999999998">
      <c r="C12" s="103"/>
      <c r="D12" s="120"/>
      <c r="E12" s="118" t="s">
        <v>2122</v>
      </c>
      <c r="M12" s="80">
        <v>14</v>
      </c>
    </row>
    <row customHeight="1" ht="14.25" hidden="1">
      <c r="A13" s="80" t="s">
        <v>83</v>
      </c>
      <c r="B13" s="80">
        <v>0</v>
      </c>
      <c r="C13" s="102">
        <v>3</v>
      </c>
      <c r="D13" s="80">
        <v>6</v>
      </c>
      <c r="E13" s="80">
        <v>94</v>
      </c>
      <c r="F13" s="80">
        <v>8</v>
      </c>
      <c r="G13" s="80">
        <v>8</v>
      </c>
      <c r="H13" s="80">
        <v>8</v>
      </c>
      <c r="I13" s="80">
        <v>8</v>
      </c>
      <c r="J13" s="80">
        <v>8</v>
      </c>
      <c r="K13" s="80">
        <v>8</v>
      </c>
      <c r="L13" s="80">
        <v>8</v>
      </c>
      <c r="M13" s="8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2FCD8-3F38-50F8-CD48-45547344195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9" width="8.00390625" customWidth="1"/>
    <col min="38" max="64" style="1858" width="8.00390625" customWidth="1"/>
    <col min="65" max="65" style="1858" width="9.140625" hidden="1"/>
  </cols>
  <sheetData>
    <row s="1327" customFormat="1" customHeight="1" ht="11.25" hidden="1">
      <c r="AJ1" s="433"/>
      <c r="AK1" s="433"/>
      <c r="AL1" s="433"/>
      <c r="AM1" s="433"/>
      <c r="AN1" s="433"/>
      <c r="AO1" s="433"/>
      <c r="AP1" s="433"/>
      <c r="AQ1" s="433"/>
      <c r="AR1" s="433"/>
      <c r="AS1" s="433"/>
      <c r="AT1" s="433"/>
      <c r="AU1" s="433"/>
      <c r="AV1" s="433"/>
      <c r="AW1" s="433"/>
      <c r="AX1" s="433"/>
      <c r="AY1" s="433"/>
      <c r="AZ1" s="433"/>
      <c r="BA1" s="433"/>
      <c r="BB1" s="433"/>
      <c r="BC1" s="433"/>
      <c r="BD1" s="433"/>
      <c r="BE1" s="433"/>
      <c r="BF1" s="433"/>
      <c r="BG1" s="433"/>
      <c r="BH1" s="433"/>
      <c r="BI1" s="433"/>
      <c r="BJ1" s="433"/>
      <c r="BK1" s="433"/>
      <c r="BL1" s="433"/>
      <c r="BM1" s="430" t="s">
        <v>14</v>
      </c>
    </row>
    <row s="1564" customFormat="1" customHeight="1" ht="11.25" hidden="1">
      <c r="L2" s="1564" t="s">
        <v>293</v>
      </c>
      <c r="M2" s="1564" t="s">
        <v>294</v>
      </c>
      <c r="R2" s="1564" t="s">
        <v>295</v>
      </c>
      <c r="S2" s="1564" t="s">
        <v>294</v>
      </c>
      <c r="X2" s="1564" t="s">
        <v>293</v>
      </c>
      <c r="Y2" s="1564" t="s">
        <v>294</v>
      </c>
      <c r="AD2" s="1564" t="s">
        <v>293</v>
      </c>
      <c r="AE2" s="1564" t="s">
        <v>294</v>
      </c>
      <c r="AJ2" s="1586"/>
      <c r="AK2" s="1586"/>
      <c r="AL2" s="1586"/>
      <c r="AM2" s="1586"/>
      <c r="AN2" s="1586"/>
      <c r="AO2" s="1586"/>
      <c r="AP2" s="1586"/>
      <c r="AQ2" s="1586"/>
      <c r="AR2" s="1586"/>
      <c r="AS2" s="1586"/>
      <c r="AT2" s="1586"/>
      <c r="AU2" s="1586"/>
      <c r="AV2" s="1586"/>
      <c r="AW2" s="1586"/>
      <c r="AX2" s="1586"/>
      <c r="AY2" s="1586"/>
      <c r="AZ2" s="1586"/>
      <c r="BA2" s="1586"/>
      <c r="BB2" s="1586"/>
      <c r="BC2" s="1586"/>
      <c r="BD2" s="1586"/>
      <c r="BE2" s="1586"/>
      <c r="BF2" s="1586"/>
      <c r="BG2" s="1586"/>
      <c r="BH2" s="1586"/>
      <c r="BI2" s="1586"/>
      <c r="BJ2" s="1586"/>
      <c r="BK2" s="1586"/>
      <c r="BL2" s="1586"/>
      <c r="BM2" s="1564">
        <v>0</v>
      </c>
    </row>
    <row s="1565" customFormat="1" customHeight="1" ht="11.549999999999999">
      <c r="AJ3" s="1585"/>
      <c r="AK3" s="317"/>
      <c r="AL3" s="1585"/>
      <c r="AM3" s="1585"/>
      <c r="AN3" s="1585"/>
      <c r="AO3" s="1585"/>
      <c r="AP3" s="1585"/>
      <c r="AQ3" s="1585"/>
      <c r="AR3" s="1585"/>
      <c r="AS3" s="1585"/>
      <c r="AT3" s="1585"/>
      <c r="AU3" s="1585"/>
      <c r="AV3" s="1585"/>
      <c r="AW3" s="1585"/>
      <c r="AX3" s="1585"/>
      <c r="AY3" s="1585"/>
      <c r="AZ3" s="1585"/>
      <c r="BA3" s="1585"/>
      <c r="BB3" s="1585"/>
      <c r="BC3" s="1585"/>
      <c r="BD3" s="1585"/>
      <c r="BE3" s="1585"/>
      <c r="BF3" s="1585"/>
      <c r="BG3" s="1585"/>
      <c r="BH3" s="1585"/>
      <c r="BI3" s="1585"/>
      <c r="BJ3" s="1585"/>
      <c r="BK3" s="1585"/>
      <c r="BL3" s="1585"/>
      <c r="BM3" s="1565">
        <v>11</v>
      </c>
    </row>
    <row s="1829" customFormat="1" customHeight="1" ht="34.5">
      <c r="A4" s="1167"/>
      <c r="B4" s="1166"/>
      <c r="C4" s="1526"/>
      <c r="D4" s="2221" t="s">
        <v>296</v>
      </c>
      <c r="E4" s="2221"/>
      <c r="F4" s="2221"/>
      <c r="G4" s="2221"/>
      <c r="H4" s="2221"/>
      <c r="I4" s="2221"/>
      <c r="J4" s="2221"/>
      <c r="K4" s="710"/>
      <c r="T4" s="1566"/>
      <c r="AJ4" s="1587"/>
      <c r="AK4" s="1588"/>
      <c r="AL4" s="1587"/>
      <c r="AM4" s="1587"/>
      <c r="AN4" s="1587"/>
      <c r="AO4" s="1587"/>
      <c r="AP4" s="1587"/>
      <c r="AQ4" s="1587"/>
      <c r="AR4" s="1587"/>
      <c r="AS4" s="1587"/>
      <c r="AT4" s="1587"/>
      <c r="AU4" s="1587"/>
      <c r="AV4" s="1587"/>
      <c r="AW4" s="1587"/>
      <c r="AX4" s="1587"/>
      <c r="AY4" s="1587"/>
      <c r="AZ4" s="1587"/>
      <c r="BA4" s="1587"/>
      <c r="BB4" s="1587"/>
      <c r="BC4" s="1587"/>
      <c r="BD4" s="1587"/>
      <c r="BE4" s="1587"/>
      <c r="BF4" s="1587"/>
      <c r="BG4" s="1587"/>
      <c r="BH4" s="1587"/>
      <c r="BI4" s="1587"/>
      <c r="BJ4" s="1587"/>
      <c r="BK4" s="1587"/>
      <c r="BL4" s="1587"/>
      <c r="BM4" s="518">
        <v>33</v>
      </c>
    </row>
    <row s="1829" customFormat="1" customHeight="1" ht="14.699999999999998">
      <c r="A5" s="1643"/>
      <c r="B5" s="1642"/>
      <c r="C5" s="1526"/>
      <c r="D5" s="2206" t="str">
        <f>IF(org=0,"Не определено",org)</f>
        <v>ПАО "КГК"</v>
      </c>
      <c r="E5" s="2206"/>
      <c r="F5" s="2206"/>
      <c r="G5" s="2206"/>
      <c r="H5" s="2206"/>
      <c r="I5" s="2206"/>
      <c r="J5" s="2206"/>
      <c r="K5" s="710"/>
      <c r="T5" s="1566"/>
      <c r="AJ5" s="1587"/>
      <c r="AK5" s="1588"/>
      <c r="AL5" s="1587"/>
      <c r="AM5" s="1587"/>
      <c r="AN5" s="1587"/>
      <c r="AO5" s="1587"/>
      <c r="AP5" s="1587"/>
      <c r="AQ5" s="1587"/>
      <c r="AR5" s="1587"/>
      <c r="AS5" s="1587"/>
      <c r="AT5" s="1587"/>
      <c r="AU5" s="1587"/>
      <c r="AV5" s="1587"/>
      <c r="AW5" s="1587"/>
      <c r="AX5" s="1587"/>
      <c r="AY5" s="1587"/>
      <c r="AZ5" s="1587"/>
      <c r="BA5" s="1587"/>
      <c r="BB5" s="1587"/>
      <c r="BC5" s="1587"/>
      <c r="BD5" s="1587"/>
      <c r="BE5" s="1587"/>
      <c r="BF5" s="1587"/>
      <c r="BG5" s="1587"/>
      <c r="BH5" s="1587"/>
      <c r="BI5" s="1587"/>
      <c r="BJ5" s="1587"/>
      <c r="BK5" s="1587"/>
      <c r="BL5" s="1587"/>
      <c r="BM5" s="1620">
        <v>14</v>
      </c>
    </row>
    <row s="1829" customFormat="1" customHeight="1" ht="14.699999999999998">
      <c r="A6" s="1167"/>
      <c r="B6" s="1166"/>
      <c r="C6" s="1526"/>
      <c r="D6" s="710"/>
      <c r="E6" s="710"/>
      <c r="F6" s="710"/>
      <c r="G6" s="710"/>
      <c r="H6" s="710"/>
      <c r="I6" s="710"/>
      <c r="J6" s="710"/>
      <c r="K6" s="710"/>
      <c r="T6" s="1566"/>
      <c r="AJ6" s="1587"/>
      <c r="AK6" s="1588"/>
      <c r="AL6" s="1587"/>
      <c r="AM6" s="1587"/>
      <c r="AN6" s="1587"/>
      <c r="AO6" s="1587"/>
      <c r="AP6" s="1587"/>
      <c r="AQ6" s="1587"/>
      <c r="AR6" s="1587"/>
      <c r="AS6" s="1587"/>
      <c r="AT6" s="1587"/>
      <c r="AU6" s="1587"/>
      <c r="AV6" s="1587"/>
      <c r="AW6" s="1587"/>
      <c r="AX6" s="1587"/>
      <c r="AY6" s="1587"/>
      <c r="AZ6" s="1587"/>
      <c r="BA6" s="1587"/>
      <c r="BB6" s="1587"/>
      <c r="BC6" s="1587"/>
      <c r="BD6" s="1587"/>
      <c r="BE6" s="1587"/>
      <c r="BF6" s="1587"/>
      <c r="BG6" s="1587"/>
      <c r="BH6" s="1587"/>
      <c r="BI6" s="1587"/>
      <c r="BJ6" s="1587"/>
      <c r="BK6" s="1587"/>
      <c r="BL6" s="1587"/>
      <c r="BM6" s="518">
        <v>14</v>
      </c>
    </row>
    <row s="1327" customFormat="1" customHeight="1" ht="1.05">
      <c r="AJ7" s="433"/>
      <c r="AK7" s="433"/>
      <c r="AL7" s="433"/>
      <c r="AM7" s="433"/>
      <c r="AN7" s="433"/>
      <c r="AO7" s="433"/>
      <c r="AP7" s="433"/>
      <c r="AQ7" s="433"/>
      <c r="AR7" s="433"/>
      <c r="AS7" s="433"/>
      <c r="AT7" s="433"/>
      <c r="AU7" s="433"/>
      <c r="AV7" s="433"/>
      <c r="AW7" s="433"/>
      <c r="AX7" s="433"/>
      <c r="AY7" s="433"/>
      <c r="AZ7" s="433"/>
      <c r="BA7" s="433"/>
      <c r="BB7" s="433"/>
      <c r="BC7" s="433"/>
      <c r="BD7" s="433"/>
      <c r="BE7" s="433"/>
      <c r="BF7" s="433"/>
      <c r="BG7" s="433"/>
      <c r="BH7" s="433"/>
      <c r="BI7" s="433"/>
      <c r="BJ7" s="433"/>
      <c r="BK7" s="433"/>
      <c r="BL7" s="433"/>
      <c r="BM7" s="430">
        <v>1</v>
      </c>
    </row>
    <row customHeight="1" ht="33.75">
      <c r="D8" s="2157" t="s">
        <v>89</v>
      </c>
      <c r="E8" s="2157" t="s">
        <v>116</v>
      </c>
      <c r="F8" s="2222" t="s">
        <v>138</v>
      </c>
      <c r="G8" s="2223"/>
      <c r="H8" s="2222" t="s">
        <v>89</v>
      </c>
      <c r="I8" s="2223"/>
      <c r="J8" s="2157" t="s">
        <v>139</v>
      </c>
      <c r="K8" s="1567"/>
      <c r="L8" s="2226" t="s">
        <v>297</v>
      </c>
      <c r="M8" s="2226"/>
      <c r="N8" s="2226"/>
      <c r="O8" s="2226"/>
      <c r="P8" s="2226"/>
      <c r="Q8" s="1568"/>
      <c r="R8" s="2126" t="s">
        <v>298</v>
      </c>
      <c r="S8" s="2227"/>
      <c r="T8" s="2227"/>
      <c r="U8" s="2227"/>
      <c r="V8" s="2227"/>
      <c r="W8" s="1568"/>
      <c r="X8" s="2228" t="s">
        <v>299</v>
      </c>
      <c r="Y8" s="2228"/>
      <c r="Z8" s="2228"/>
      <c r="AA8" s="2228"/>
      <c r="AB8" s="2228"/>
      <c r="AC8" s="1569"/>
      <c r="AD8" s="2157" t="s">
        <v>300</v>
      </c>
      <c r="AE8" s="2157"/>
      <c r="AF8" s="2157"/>
      <c r="AG8" s="2157"/>
      <c r="AH8" s="2131"/>
      <c r="AI8" s="2157" t="s">
        <v>301</v>
      </c>
      <c r="AJ8" s="1585"/>
      <c r="BM8" s="304">
        <v>32</v>
      </c>
    </row>
    <row customHeight="1" ht="23.25">
      <c r="D9" s="2157"/>
      <c r="E9" s="2157"/>
      <c r="F9" s="2205" t="s">
        <v>90</v>
      </c>
      <c r="G9" s="2205" t="s">
        <v>144</v>
      </c>
      <c r="H9" s="2224"/>
      <c r="I9" s="2225"/>
      <c r="J9" s="2131"/>
      <c r="K9" s="1570"/>
      <c r="L9" s="2157" t="s">
        <v>302</v>
      </c>
      <c r="M9" s="2131"/>
      <c r="N9" s="2222" t="s">
        <v>89</v>
      </c>
      <c r="O9" s="2223"/>
      <c r="P9" s="2157" t="s">
        <v>145</v>
      </c>
      <c r="Q9" s="1567"/>
      <c r="R9" s="2157" t="s">
        <v>302</v>
      </c>
      <c r="S9" s="2131"/>
      <c r="T9" s="2222" t="s">
        <v>89</v>
      </c>
      <c r="U9" s="2223"/>
      <c r="V9" s="2157" t="s">
        <v>145</v>
      </c>
      <c r="W9" s="1567"/>
      <c r="X9" s="2157" t="s">
        <v>302</v>
      </c>
      <c r="Y9" s="2131"/>
      <c r="Z9" s="2222" t="s">
        <v>89</v>
      </c>
      <c r="AA9" s="2223"/>
      <c r="AB9" s="2157" t="s">
        <v>303</v>
      </c>
      <c r="AC9" s="1567"/>
      <c r="AD9" s="2157" t="s">
        <v>302</v>
      </c>
      <c r="AE9" s="2131"/>
      <c r="AF9" s="2222" t="s">
        <v>89</v>
      </c>
      <c r="AG9" s="2223"/>
      <c r="AH9" s="2131" t="s">
        <v>303</v>
      </c>
      <c r="AI9" s="2157"/>
      <c r="AJ9" s="1585"/>
      <c r="BM9" s="304">
        <v>22</v>
      </c>
    </row>
    <row customHeight="1" ht="24">
      <c r="D10" s="2205"/>
      <c r="E10" s="2205"/>
      <c r="F10" s="2229"/>
      <c r="G10" s="2229"/>
      <c r="H10" s="2230"/>
      <c r="I10" s="2231"/>
      <c r="J10" s="2222"/>
      <c r="K10" s="1570"/>
      <c r="L10" s="1589" t="s">
        <v>304</v>
      </c>
      <c r="M10" s="1584" t="s">
        <v>305</v>
      </c>
      <c r="N10" s="2224"/>
      <c r="O10" s="2225"/>
      <c r="P10" s="2205"/>
      <c r="Q10" s="1567"/>
      <c r="R10" s="1589" t="s">
        <v>304</v>
      </c>
      <c r="S10" s="1584" t="s">
        <v>305</v>
      </c>
      <c r="T10" s="2224"/>
      <c r="U10" s="2225"/>
      <c r="V10" s="2205"/>
      <c r="W10" s="1567"/>
      <c r="X10" s="1589" t="s">
        <v>304</v>
      </c>
      <c r="Y10" s="1584" t="s">
        <v>305</v>
      </c>
      <c r="Z10" s="2224"/>
      <c r="AA10" s="2225"/>
      <c r="AB10" s="2205"/>
      <c r="AC10" s="1567"/>
      <c r="AD10" s="1589" t="s">
        <v>304</v>
      </c>
      <c r="AE10" s="1584" t="s">
        <v>305</v>
      </c>
      <c r="AF10" s="2224"/>
      <c r="AG10" s="2225"/>
      <c r="AH10" s="2222"/>
      <c r="AI10" s="2205"/>
      <c r="AJ10" s="1585"/>
      <c r="AK10" s="265" t="s">
        <v>306</v>
      </c>
      <c r="AL10" s="265" t="s">
        <v>146</v>
      </c>
      <c r="BM10" s="304">
        <v>23</v>
      </c>
    </row>
    <row customHeight="1" ht="15">
      <c r="D11" s="2213" t="s">
        <v>120</v>
      </c>
      <c r="E11" s="2209" t="s">
        <v>307</v>
      </c>
      <c r="F11" s="2209" t="s">
        <v>308</v>
      </c>
      <c r="G11" s="2215" t="s">
        <v>19</v>
      </c>
      <c r="H11" s="1610"/>
      <c r="I11" s="2211"/>
      <c r="J11" s="2182"/>
      <c r="K11" s="1525"/>
      <c r="L11" s="2167"/>
      <c r="M11" s="2167"/>
      <c r="N11" s="1595"/>
      <c r="O11" s="2167"/>
      <c r="P11" s="2182"/>
      <c r="Q11" s="1596"/>
      <c r="R11" s="2167"/>
      <c r="S11" s="2167"/>
      <c r="T11" s="1597"/>
      <c r="U11" s="2167"/>
      <c r="V11" s="2182"/>
      <c r="W11" s="1598"/>
      <c r="X11" s="2167"/>
      <c r="Y11" s="2167"/>
      <c r="Z11" s="1595"/>
      <c r="AA11" s="2167"/>
      <c r="AB11" s="2182"/>
      <c r="AC11" s="1599"/>
      <c r="AD11" s="2167"/>
      <c r="AE11" s="2167"/>
      <c r="AF11" s="1524"/>
      <c r="AG11" s="1524"/>
      <c r="AH11" s="1600"/>
      <c r="AI11" s="1307"/>
      <c r="AJ11" s="1585"/>
      <c r="BM11" s="304">
        <v>14</v>
      </c>
    </row>
    <row customHeight="1" ht="14.699999999999998">
      <c r="D12" s="2213"/>
      <c r="E12" s="2209"/>
      <c r="F12" s="2209"/>
      <c r="G12" s="2216"/>
      <c r="H12" s="1611"/>
      <c r="I12" s="2212"/>
      <c r="J12" s="2183"/>
      <c r="K12" s="1621"/>
      <c r="L12" s="2168"/>
      <c r="M12" s="2168"/>
      <c r="N12" s="1601"/>
      <c r="O12" s="2168"/>
      <c r="P12" s="2183"/>
      <c r="Q12" s="1602"/>
      <c r="R12" s="2168"/>
      <c r="S12" s="2168"/>
      <c r="T12" s="1603"/>
      <c r="U12" s="2168"/>
      <c r="V12" s="2183"/>
      <c r="W12" s="1604"/>
      <c r="X12" s="2168"/>
      <c r="Y12" s="2168"/>
      <c r="Z12" s="1601"/>
      <c r="AA12" s="2168"/>
      <c r="AB12" s="2183"/>
      <c r="AC12" s="1605"/>
      <c r="AD12" s="2168"/>
      <c r="AE12" s="2168"/>
      <c r="AF12" s="1606"/>
      <c r="AG12" s="1606"/>
      <c r="AH12" s="2207"/>
      <c r="AI12" s="2208"/>
      <c r="AJ12" s="1585"/>
      <c r="BM12" s="304">
        <v>14</v>
      </c>
    </row>
    <row customHeight="1" ht="14.699999999999998">
      <c r="D13" s="2213"/>
      <c r="E13" s="2209"/>
      <c r="F13" s="2209"/>
      <c r="G13" s="2216"/>
      <c r="H13" s="1611"/>
      <c r="I13" s="2212"/>
      <c r="J13" s="2183"/>
      <c r="K13" s="1621"/>
      <c r="L13" s="2168"/>
      <c r="M13" s="2168"/>
      <c r="N13" s="1601"/>
      <c r="O13" s="2168"/>
      <c r="P13" s="2183"/>
      <c r="Q13" s="1602"/>
      <c r="R13" s="2168"/>
      <c r="S13" s="2168"/>
      <c r="T13" s="1603"/>
      <c r="U13" s="2168"/>
      <c r="V13" s="2183"/>
      <c r="W13" s="1604"/>
      <c r="X13" s="2168"/>
      <c r="Y13" s="2168"/>
      <c r="Z13" s="1523"/>
      <c r="AA13" s="1606"/>
      <c r="AB13" s="2207"/>
      <c r="AC13" s="2207"/>
      <c r="AD13" s="2207"/>
      <c r="AE13" s="2207"/>
      <c r="AF13" s="2207"/>
      <c r="AG13" s="2207"/>
      <c r="AH13" s="2207"/>
      <c r="AI13" s="2208"/>
      <c r="AJ13" s="1585"/>
      <c r="BM13" s="304">
        <v>14</v>
      </c>
    </row>
    <row customHeight="1" ht="14.699999999999998">
      <c r="D14" s="2213"/>
      <c r="E14" s="2209"/>
      <c r="F14" s="2209"/>
      <c r="G14" s="2216"/>
      <c r="H14" s="1611"/>
      <c r="I14" s="2212"/>
      <c r="J14" s="2183"/>
      <c r="K14" s="1621"/>
      <c r="L14" s="2168"/>
      <c r="M14" s="2168"/>
      <c r="N14" s="1601"/>
      <c r="O14" s="2168"/>
      <c r="P14" s="2183"/>
      <c r="Q14" s="1602"/>
      <c r="R14" s="2168"/>
      <c r="S14" s="2168"/>
      <c r="T14" s="1607"/>
      <c r="U14" s="1608"/>
      <c r="V14" s="2207"/>
      <c r="W14" s="2207"/>
      <c r="X14" s="2207"/>
      <c r="Y14" s="2207"/>
      <c r="Z14" s="2207"/>
      <c r="AA14" s="2207"/>
      <c r="AB14" s="2207"/>
      <c r="AC14" s="2207"/>
      <c r="AD14" s="2207"/>
      <c r="AE14" s="2207"/>
      <c r="AF14" s="2207"/>
      <c r="AG14" s="2207"/>
      <c r="AH14" s="2207"/>
      <c r="AI14" s="2208"/>
      <c r="AJ14" s="1585"/>
      <c r="BM14" s="304">
        <v>14</v>
      </c>
    </row>
    <row customHeight="1" ht="11.549999999999999">
      <c r="D15" s="2213"/>
      <c r="E15" s="2209"/>
      <c r="F15" s="2209"/>
      <c r="G15" s="2216"/>
      <c r="H15" s="1612"/>
      <c r="I15" s="2212"/>
      <c r="J15" s="2183"/>
      <c r="K15" s="1621"/>
      <c r="L15" s="2168"/>
      <c r="M15" s="2168"/>
      <c r="N15" s="1606"/>
      <c r="O15" s="1606"/>
      <c r="P15" s="2207"/>
      <c r="Q15" s="2207"/>
      <c r="R15" s="2207"/>
      <c r="S15" s="2207"/>
      <c r="T15" s="2207"/>
      <c r="U15" s="2207"/>
      <c r="V15" s="2207"/>
      <c r="W15" s="2207"/>
      <c r="X15" s="2207"/>
      <c r="Y15" s="2207"/>
      <c r="Z15" s="2207"/>
      <c r="AA15" s="2207"/>
      <c r="AB15" s="2207"/>
      <c r="AC15" s="2207"/>
      <c r="AD15" s="2207"/>
      <c r="AE15" s="2207"/>
      <c r="AF15" s="2207"/>
      <c r="AG15" s="2207"/>
      <c r="AH15" s="2207"/>
      <c r="AI15" s="2208"/>
      <c r="AJ15" s="1585"/>
      <c r="BM15" s="304">
        <v>11</v>
      </c>
    </row>
    <row s="1565" customFormat="1" customHeight="1" ht="11.549999999999999">
      <c r="D16" s="2219"/>
      <c r="E16" s="2220"/>
      <c r="F16" s="2210"/>
      <c r="G16" s="2142"/>
      <c r="H16" s="1609"/>
      <c r="I16" s="1613"/>
      <c r="J16" s="2217"/>
      <c r="K16" s="2217"/>
      <c r="L16" s="2217"/>
      <c r="M16" s="2217"/>
      <c r="N16" s="2217"/>
      <c r="O16" s="2217"/>
      <c r="P16" s="2217"/>
      <c r="Q16" s="2217"/>
      <c r="R16" s="2217"/>
      <c r="S16" s="2217"/>
      <c r="T16" s="2217"/>
      <c r="U16" s="2217"/>
      <c r="V16" s="2217"/>
      <c r="W16" s="2217"/>
      <c r="X16" s="2217"/>
      <c r="Y16" s="2217"/>
      <c r="Z16" s="2217"/>
      <c r="AA16" s="2217"/>
      <c r="AB16" s="2217"/>
      <c r="AC16" s="2217"/>
      <c r="AD16" s="2217"/>
      <c r="AE16" s="2217"/>
      <c r="AF16" s="2217"/>
      <c r="AG16" s="2217"/>
      <c r="AH16" s="2217"/>
      <c r="AI16" s="2218"/>
      <c r="AJ16" s="1585"/>
      <c r="AK16" s="317"/>
      <c r="AL16" s="1585"/>
      <c r="AM16" s="1585"/>
      <c r="AN16" s="1585"/>
      <c r="AO16" s="1585"/>
      <c r="AP16" s="1585"/>
      <c r="AQ16" s="1585"/>
      <c r="AR16" s="1585"/>
      <c r="AS16" s="1585"/>
      <c r="AT16" s="1585"/>
      <c r="AU16" s="1585"/>
      <c r="AV16" s="1585"/>
      <c r="AW16" s="1585"/>
      <c r="AX16" s="1585"/>
      <c r="AY16" s="1585"/>
      <c r="AZ16" s="1585"/>
      <c r="BA16" s="1585"/>
      <c r="BB16" s="1585"/>
      <c r="BC16" s="1585"/>
      <c r="BD16" s="1585"/>
      <c r="BE16" s="1585"/>
      <c r="BF16" s="1585"/>
      <c r="BG16" s="1585"/>
      <c r="BH16" s="1585"/>
      <c r="BI16" s="1585"/>
      <c r="BJ16" s="1585"/>
      <c r="BK16" s="1585"/>
      <c r="BL16" s="1585"/>
      <c r="BM16" s="1565">
        <v>11</v>
      </c>
    </row>
    <row customHeight="1" ht="15">
      <c r="D17" s="2213" t="s">
        <v>104</v>
      </c>
      <c r="E17" s="2209" t="s">
        <v>307</v>
      </c>
      <c r="F17" s="2209" t="s">
        <v>309</v>
      </c>
      <c r="G17" s="2215" t="s">
        <v>19</v>
      </c>
      <c r="H17" s="1610"/>
      <c r="I17" s="2211"/>
      <c r="J17" s="2182"/>
      <c r="K17" s="1525"/>
      <c r="L17" s="2167"/>
      <c r="M17" s="2167"/>
      <c r="N17" s="1595"/>
      <c r="O17" s="2167"/>
      <c r="P17" s="2182"/>
      <c r="Q17" s="1596"/>
      <c r="R17" s="2167"/>
      <c r="S17" s="2167"/>
      <c r="T17" s="1597"/>
      <c r="U17" s="2167"/>
      <c r="V17" s="2182"/>
      <c r="W17" s="1598"/>
      <c r="X17" s="2167"/>
      <c r="Y17" s="2167"/>
      <c r="Z17" s="1595"/>
      <c r="AA17" s="2167"/>
      <c r="AB17" s="2182"/>
      <c r="AC17" s="1599"/>
      <c r="AD17" s="2167"/>
      <c r="AE17" s="2167"/>
      <c r="AF17" s="1524"/>
      <c r="AG17" s="1524"/>
      <c r="AH17" s="1600"/>
      <c r="AI17" s="1307"/>
      <c r="AJ17" s="1585"/>
      <c r="BM17" s="304">
        <v>14</v>
      </c>
    </row>
    <row customHeight="1" ht="14.699999999999998">
      <c r="D18" s="2213"/>
      <c r="E18" s="2209"/>
      <c r="F18" s="2209"/>
      <c r="G18" s="2216"/>
      <c r="H18" s="1611"/>
      <c r="I18" s="2212"/>
      <c r="J18" s="2183"/>
      <c r="K18" s="1594"/>
      <c r="L18" s="2168"/>
      <c r="M18" s="2168"/>
      <c r="N18" s="1601"/>
      <c r="O18" s="2168"/>
      <c r="P18" s="2183"/>
      <c r="Q18" s="1602"/>
      <c r="R18" s="2168"/>
      <c r="S18" s="2168"/>
      <c r="T18" s="1603"/>
      <c r="U18" s="2168"/>
      <c r="V18" s="2183"/>
      <c r="W18" s="1604"/>
      <c r="X18" s="2168"/>
      <c r="Y18" s="2168"/>
      <c r="Z18" s="1601"/>
      <c r="AA18" s="2168"/>
      <c r="AB18" s="2183"/>
      <c r="AC18" s="1605"/>
      <c r="AD18" s="2168"/>
      <c r="AE18" s="2168"/>
      <c r="AF18" s="1606"/>
      <c r="AG18" s="1606"/>
      <c r="AH18" s="2207"/>
      <c r="AI18" s="2208"/>
      <c r="AJ18" s="1585"/>
      <c r="BM18" s="304">
        <v>14</v>
      </c>
    </row>
    <row customHeight="1" ht="14.699999999999998">
      <c r="D19" s="2213"/>
      <c r="E19" s="2209"/>
      <c r="F19" s="2209"/>
      <c r="G19" s="2216"/>
      <c r="H19" s="1611"/>
      <c r="I19" s="2212"/>
      <c r="J19" s="2183"/>
      <c r="K19" s="1594"/>
      <c r="L19" s="2168"/>
      <c r="M19" s="2168"/>
      <c r="N19" s="1601"/>
      <c r="O19" s="2168"/>
      <c r="P19" s="2183"/>
      <c r="Q19" s="1602"/>
      <c r="R19" s="2168"/>
      <c r="S19" s="2168"/>
      <c r="T19" s="1603"/>
      <c r="U19" s="2168"/>
      <c r="V19" s="2183"/>
      <c r="W19" s="1604"/>
      <c r="X19" s="2168"/>
      <c r="Y19" s="2168"/>
      <c r="Z19" s="1523"/>
      <c r="AA19" s="1606"/>
      <c r="AB19" s="2207"/>
      <c r="AC19" s="2207"/>
      <c r="AD19" s="2207"/>
      <c r="AE19" s="2207"/>
      <c r="AF19" s="2207"/>
      <c r="AG19" s="2207"/>
      <c r="AH19" s="2207"/>
      <c r="AI19" s="2208"/>
      <c r="AJ19" s="1585"/>
      <c r="BM19" s="304">
        <v>14</v>
      </c>
    </row>
    <row customHeight="1" ht="14.699999999999998">
      <c r="D20" s="2213"/>
      <c r="E20" s="2209"/>
      <c r="F20" s="2209"/>
      <c r="G20" s="2216"/>
      <c r="H20" s="1611"/>
      <c r="I20" s="2212"/>
      <c r="J20" s="2183"/>
      <c r="K20" s="1594"/>
      <c r="L20" s="2168"/>
      <c r="M20" s="2168"/>
      <c r="N20" s="1601"/>
      <c r="O20" s="2168"/>
      <c r="P20" s="2183"/>
      <c r="Q20" s="1602"/>
      <c r="R20" s="2168"/>
      <c r="S20" s="2168"/>
      <c r="T20" s="1607"/>
      <c r="U20" s="1608"/>
      <c r="V20" s="2207"/>
      <c r="W20" s="2207"/>
      <c r="X20" s="2207"/>
      <c r="Y20" s="2207"/>
      <c r="Z20" s="2207"/>
      <c r="AA20" s="2207"/>
      <c r="AB20" s="2207"/>
      <c r="AC20" s="2207"/>
      <c r="AD20" s="2207"/>
      <c r="AE20" s="2207"/>
      <c r="AF20" s="2207"/>
      <c r="AG20" s="2207"/>
      <c r="AH20" s="2207"/>
      <c r="AI20" s="2208"/>
      <c r="AJ20" s="1585"/>
      <c r="BM20" s="304">
        <v>14</v>
      </c>
    </row>
    <row customHeight="1" ht="11.549999999999999">
      <c r="D21" s="2213"/>
      <c r="E21" s="2209"/>
      <c r="F21" s="2209"/>
      <c r="G21" s="2216"/>
      <c r="H21" s="1612"/>
      <c r="I21" s="2212"/>
      <c r="J21" s="2183"/>
      <c r="K21" s="1594"/>
      <c r="L21" s="2168"/>
      <c r="M21" s="2168"/>
      <c r="N21" s="1606"/>
      <c r="O21" s="1606"/>
      <c r="P21" s="2207"/>
      <c r="Q21" s="2207"/>
      <c r="R21" s="2207"/>
      <c r="S21" s="2207"/>
      <c r="T21" s="2207"/>
      <c r="U21" s="2207"/>
      <c r="V21" s="2207"/>
      <c r="W21" s="2207"/>
      <c r="X21" s="2207"/>
      <c r="Y21" s="2207"/>
      <c r="Z21" s="2207"/>
      <c r="AA21" s="2207"/>
      <c r="AB21" s="2207"/>
      <c r="AC21" s="2207"/>
      <c r="AD21" s="2207"/>
      <c r="AE21" s="2207"/>
      <c r="AF21" s="2207"/>
      <c r="AG21" s="2207"/>
      <c r="AH21" s="2207"/>
      <c r="AI21" s="2208"/>
      <c r="AJ21" s="1585"/>
      <c r="BM21" s="304">
        <v>11</v>
      </c>
    </row>
    <row s="1565" customFormat="1" customHeight="1" ht="11.549999999999999">
      <c r="D22" s="2219"/>
      <c r="E22" s="2220"/>
      <c r="F22" s="2210"/>
      <c r="G22" s="2142"/>
      <c r="H22" s="1609"/>
      <c r="I22" s="1613"/>
      <c r="J22" s="2217"/>
      <c r="K22" s="2217"/>
      <c r="L22" s="2217"/>
      <c r="M22" s="2217"/>
      <c r="N22" s="2217"/>
      <c r="O22" s="2217"/>
      <c r="P22" s="2217"/>
      <c r="Q22" s="2217"/>
      <c r="R22" s="2217"/>
      <c r="S22" s="2217"/>
      <c r="T22" s="2217"/>
      <c r="U22" s="2217"/>
      <c r="V22" s="2217"/>
      <c r="W22" s="2217"/>
      <c r="X22" s="2217"/>
      <c r="Y22" s="2217"/>
      <c r="Z22" s="2217"/>
      <c r="AA22" s="2217"/>
      <c r="AB22" s="2217"/>
      <c r="AC22" s="2217"/>
      <c r="AD22" s="2217"/>
      <c r="AE22" s="2217"/>
      <c r="AF22" s="2217"/>
      <c r="AG22" s="2217"/>
      <c r="AH22" s="2217"/>
      <c r="AI22" s="2218"/>
      <c r="AJ22" s="1585"/>
      <c r="AK22" s="317"/>
      <c r="AL22" s="1585"/>
      <c r="AM22" s="1585"/>
      <c r="AN22" s="1585"/>
      <c r="AO22" s="1585"/>
      <c r="AP22" s="1585"/>
      <c r="AQ22" s="1585"/>
      <c r="AR22" s="1585"/>
      <c r="AS22" s="1585"/>
      <c r="AT22" s="1585"/>
      <c r="AU22" s="1585"/>
      <c r="AV22" s="1585"/>
      <c r="AW22" s="1585"/>
      <c r="AX22" s="1585"/>
      <c r="AY22" s="1585"/>
      <c r="AZ22" s="1585"/>
      <c r="BA22" s="1585"/>
      <c r="BB22" s="1585"/>
      <c r="BC22" s="1585"/>
      <c r="BD22" s="1585"/>
      <c r="BE22" s="1585"/>
      <c r="BF22" s="1585"/>
      <c r="BG22" s="1585"/>
      <c r="BH22" s="1585"/>
      <c r="BI22" s="1585"/>
      <c r="BJ22" s="1585"/>
      <c r="BK22" s="1585"/>
      <c r="BL22" s="1585"/>
      <c r="BM22" s="1565">
        <v>11</v>
      </c>
    </row>
    <row customHeight="1" ht="15">
      <c r="D23" s="2213" t="s">
        <v>91</v>
      </c>
      <c r="E23" s="2209" t="s">
        <v>307</v>
      </c>
      <c r="F23" s="2209" t="s">
        <v>310</v>
      </c>
      <c r="G23" s="2215" t="s">
        <v>19</v>
      </c>
      <c r="H23" s="1610"/>
      <c r="I23" s="2211"/>
      <c r="J23" s="2182"/>
      <c r="K23" s="1525"/>
      <c r="L23" s="2167"/>
      <c r="M23" s="2167"/>
      <c r="N23" s="1595"/>
      <c r="O23" s="2167"/>
      <c r="P23" s="2182"/>
      <c r="Q23" s="1596"/>
      <c r="R23" s="2167"/>
      <c r="S23" s="2167"/>
      <c r="T23" s="1597"/>
      <c r="U23" s="2167"/>
      <c r="V23" s="2182"/>
      <c r="W23" s="1598"/>
      <c r="X23" s="2167"/>
      <c r="Y23" s="2167"/>
      <c r="Z23" s="1595"/>
      <c r="AA23" s="2167"/>
      <c r="AB23" s="2182"/>
      <c r="AC23" s="1599"/>
      <c r="AD23" s="2167"/>
      <c r="AE23" s="2167"/>
      <c r="AF23" s="1524"/>
      <c r="AG23" s="1524"/>
      <c r="AH23" s="1600"/>
      <c r="AI23" s="1307"/>
      <c r="AJ23" s="1585"/>
      <c r="AK23" s="317" t="s">
        <v>99</v>
      </c>
      <c r="BM23" s="304">
        <v>14</v>
      </c>
    </row>
    <row customHeight="1" ht="14.699999999999998">
      <c r="D24" s="2213"/>
      <c r="E24" s="2209"/>
      <c r="F24" s="2209"/>
      <c r="G24" s="2216"/>
      <c r="H24" s="1611"/>
      <c r="I24" s="2212"/>
      <c r="J24" s="2183"/>
      <c r="K24" s="1621"/>
      <c r="L24" s="2168"/>
      <c r="M24" s="2168"/>
      <c r="N24" s="1601"/>
      <c r="O24" s="2168"/>
      <c r="P24" s="2183"/>
      <c r="Q24" s="1602"/>
      <c r="R24" s="2168"/>
      <c r="S24" s="2168"/>
      <c r="T24" s="1603"/>
      <c r="U24" s="2168"/>
      <c r="V24" s="2183"/>
      <c r="W24" s="1604"/>
      <c r="X24" s="2168"/>
      <c r="Y24" s="2168"/>
      <c r="Z24" s="1601"/>
      <c r="AA24" s="2168"/>
      <c r="AB24" s="2183"/>
      <c r="AC24" s="1605"/>
      <c r="AD24" s="2168"/>
      <c r="AE24" s="2168"/>
      <c r="AF24" s="1606"/>
      <c r="AG24" s="1606"/>
      <c r="AH24" s="2207"/>
      <c r="AI24" s="2208"/>
      <c r="AJ24" s="1585"/>
      <c r="BM24" s="304">
        <v>14</v>
      </c>
    </row>
    <row customHeight="1" ht="14.699999999999998">
      <c r="D25" s="2213"/>
      <c r="E25" s="2209"/>
      <c r="F25" s="2209"/>
      <c r="G25" s="2216"/>
      <c r="H25" s="1611"/>
      <c r="I25" s="2212"/>
      <c r="J25" s="2183"/>
      <c r="K25" s="1621"/>
      <c r="L25" s="2168"/>
      <c r="M25" s="2168"/>
      <c r="N25" s="1601"/>
      <c r="O25" s="2168"/>
      <c r="P25" s="2183"/>
      <c r="Q25" s="1602"/>
      <c r="R25" s="2168"/>
      <c r="S25" s="2168"/>
      <c r="T25" s="1603"/>
      <c r="U25" s="2168"/>
      <c r="V25" s="2183"/>
      <c r="W25" s="1604"/>
      <c r="X25" s="2168"/>
      <c r="Y25" s="2168"/>
      <c r="Z25" s="1523"/>
      <c r="AA25" s="1606"/>
      <c r="AB25" s="2207"/>
      <c r="AC25" s="2207"/>
      <c r="AD25" s="2207"/>
      <c r="AE25" s="2207"/>
      <c r="AF25" s="2207"/>
      <c r="AG25" s="2207"/>
      <c r="AH25" s="2207"/>
      <c r="AI25" s="2208"/>
      <c r="AJ25" s="1585"/>
      <c r="BM25" s="304">
        <v>14</v>
      </c>
    </row>
    <row customHeight="1" ht="14.699999999999998">
      <c r="D26" s="2213"/>
      <c r="E26" s="2209"/>
      <c r="F26" s="2209"/>
      <c r="G26" s="2216"/>
      <c r="H26" s="1611"/>
      <c r="I26" s="2212"/>
      <c r="J26" s="2183"/>
      <c r="K26" s="1621"/>
      <c r="L26" s="2168"/>
      <c r="M26" s="2168"/>
      <c r="N26" s="1601"/>
      <c r="O26" s="2168"/>
      <c r="P26" s="2183"/>
      <c r="Q26" s="1602"/>
      <c r="R26" s="2168"/>
      <c r="S26" s="2168"/>
      <c r="T26" s="1607"/>
      <c r="U26" s="1608"/>
      <c r="V26" s="2207"/>
      <c r="W26" s="2207"/>
      <c r="X26" s="2207"/>
      <c r="Y26" s="2207"/>
      <c r="Z26" s="2207"/>
      <c r="AA26" s="2207"/>
      <c r="AB26" s="2207"/>
      <c r="AC26" s="2207"/>
      <c r="AD26" s="2207"/>
      <c r="AE26" s="2207"/>
      <c r="AF26" s="2207"/>
      <c r="AG26" s="2207"/>
      <c r="AH26" s="2207"/>
      <c r="AI26" s="2208"/>
      <c r="AJ26" s="1585"/>
      <c r="BM26" s="304">
        <v>14</v>
      </c>
    </row>
    <row customHeight="1" ht="11.549999999999999">
      <c r="D27" s="2213"/>
      <c r="E27" s="2209"/>
      <c r="F27" s="2209"/>
      <c r="G27" s="2216"/>
      <c r="H27" s="1612"/>
      <c r="I27" s="2212"/>
      <c r="J27" s="2183"/>
      <c r="K27" s="1621"/>
      <c r="L27" s="2168"/>
      <c r="M27" s="2168"/>
      <c r="N27" s="1606"/>
      <c r="O27" s="1606"/>
      <c r="P27" s="2207"/>
      <c r="Q27" s="2207"/>
      <c r="R27" s="2207"/>
      <c r="S27" s="2207"/>
      <c r="T27" s="2207"/>
      <c r="U27" s="2207"/>
      <c r="V27" s="2207"/>
      <c r="W27" s="2207"/>
      <c r="X27" s="2207"/>
      <c r="Y27" s="2207"/>
      <c r="Z27" s="2207"/>
      <c r="AA27" s="2207"/>
      <c r="AB27" s="2207"/>
      <c r="AC27" s="2207"/>
      <c r="AD27" s="2207"/>
      <c r="AE27" s="2207"/>
      <c r="AF27" s="2207"/>
      <c r="AG27" s="2207"/>
      <c r="AH27" s="2207"/>
      <c r="AI27" s="2208"/>
      <c r="AJ27" s="1585"/>
      <c r="BM27" s="304">
        <v>11</v>
      </c>
    </row>
    <row s="1565" customFormat="1" customHeight="1" ht="11.549999999999999">
      <c r="D28" s="2219"/>
      <c r="E28" s="2220"/>
      <c r="F28" s="2210"/>
      <c r="G28" s="2142"/>
      <c r="H28" s="1609"/>
      <c r="I28" s="1613"/>
      <c r="J28" s="2217"/>
      <c r="K28" s="2217"/>
      <c r="L28" s="2217"/>
      <c r="M28" s="2217"/>
      <c r="N28" s="2217"/>
      <c r="O28" s="2217"/>
      <c r="P28" s="2217"/>
      <c r="Q28" s="2217"/>
      <c r="R28" s="2217"/>
      <c r="S28" s="2217"/>
      <c r="T28" s="2217"/>
      <c r="U28" s="2217"/>
      <c r="V28" s="2217"/>
      <c r="W28" s="2217"/>
      <c r="X28" s="2217"/>
      <c r="Y28" s="2217"/>
      <c r="Z28" s="2217"/>
      <c r="AA28" s="2217"/>
      <c r="AB28" s="2217"/>
      <c r="AC28" s="2217"/>
      <c r="AD28" s="2217"/>
      <c r="AE28" s="2217"/>
      <c r="AF28" s="2217"/>
      <c r="AG28" s="2217"/>
      <c r="AH28" s="2217"/>
      <c r="AI28" s="2218"/>
      <c r="AJ28" s="1585"/>
      <c r="AK28" s="317"/>
      <c r="AL28" s="1585"/>
      <c r="AM28" s="1585"/>
      <c r="AN28" s="1585"/>
      <c r="AO28" s="1585"/>
      <c r="AP28" s="1585"/>
      <c r="AQ28" s="1585"/>
      <c r="AR28" s="1585"/>
      <c r="AS28" s="1585"/>
      <c r="AT28" s="1585"/>
      <c r="AU28" s="1585"/>
      <c r="AV28" s="1585"/>
      <c r="AW28" s="1585"/>
      <c r="AX28" s="1585"/>
      <c r="AY28" s="1585"/>
      <c r="AZ28" s="1585"/>
      <c r="BA28" s="1585"/>
      <c r="BB28" s="1585"/>
      <c r="BC28" s="1585"/>
      <c r="BD28" s="1585"/>
      <c r="BE28" s="1585"/>
      <c r="BF28" s="1585"/>
      <c r="BG28" s="1585"/>
      <c r="BH28" s="1585"/>
      <c r="BI28" s="1585"/>
      <c r="BJ28" s="1585"/>
      <c r="BK28" s="1585"/>
      <c r="BL28" s="1585"/>
      <c r="BM28" s="1565">
        <v>11</v>
      </c>
    </row>
    <row customHeight="1" ht="15">
      <c r="D29" s="2213" t="s">
        <v>92</v>
      </c>
      <c r="E29" s="2209" t="s">
        <v>307</v>
      </c>
      <c r="F29" s="2209" t="s">
        <v>311</v>
      </c>
      <c r="G29" s="2215" t="s">
        <v>19</v>
      </c>
      <c r="H29" s="1610"/>
      <c r="I29" s="2211"/>
      <c r="J29" s="2182"/>
      <c r="K29" s="1525"/>
      <c r="L29" s="2167"/>
      <c r="M29" s="2167"/>
      <c r="N29" s="1595"/>
      <c r="O29" s="2167"/>
      <c r="P29" s="2182"/>
      <c r="Q29" s="1596"/>
      <c r="R29" s="2167"/>
      <c r="S29" s="2167"/>
      <c r="T29" s="1597"/>
      <c r="U29" s="2167"/>
      <c r="V29" s="2182"/>
      <c r="W29" s="1598"/>
      <c r="X29" s="2167"/>
      <c r="Y29" s="2167"/>
      <c r="Z29" s="1595"/>
      <c r="AA29" s="2167"/>
      <c r="AB29" s="2182"/>
      <c r="AC29" s="1599"/>
      <c r="AD29" s="2167"/>
      <c r="AE29" s="2167"/>
      <c r="AF29" s="1524"/>
      <c r="AG29" s="1524"/>
      <c r="AH29" s="1600"/>
      <c r="AI29" s="1307"/>
      <c r="AJ29" s="1585"/>
      <c r="BM29" s="304">
        <v>14</v>
      </c>
    </row>
    <row customHeight="1" ht="14.699999999999998">
      <c r="D30" s="2213"/>
      <c r="E30" s="2209"/>
      <c r="F30" s="2209"/>
      <c r="G30" s="2216"/>
      <c r="H30" s="1611"/>
      <c r="I30" s="2212"/>
      <c r="J30" s="2183"/>
      <c r="K30" s="1594"/>
      <c r="L30" s="2168"/>
      <c r="M30" s="2168"/>
      <c r="N30" s="1601"/>
      <c r="O30" s="2168"/>
      <c r="P30" s="2183"/>
      <c r="Q30" s="1602"/>
      <c r="R30" s="2168"/>
      <c r="S30" s="2168"/>
      <c r="T30" s="1603"/>
      <c r="U30" s="2168"/>
      <c r="V30" s="2183"/>
      <c r="W30" s="1604"/>
      <c r="X30" s="2168"/>
      <c r="Y30" s="2168"/>
      <c r="Z30" s="1601"/>
      <c r="AA30" s="2168"/>
      <c r="AB30" s="2183"/>
      <c r="AC30" s="1605"/>
      <c r="AD30" s="2168"/>
      <c r="AE30" s="2168"/>
      <c r="AF30" s="1606"/>
      <c r="AG30" s="1606"/>
      <c r="AH30" s="2207"/>
      <c r="AI30" s="2208"/>
      <c r="AJ30" s="1585"/>
      <c r="BM30" s="304">
        <v>14</v>
      </c>
    </row>
    <row customHeight="1" ht="14.699999999999998">
      <c r="D31" s="2213"/>
      <c r="E31" s="2209"/>
      <c r="F31" s="2209"/>
      <c r="G31" s="2216"/>
      <c r="H31" s="1611"/>
      <c r="I31" s="2212"/>
      <c r="J31" s="2183"/>
      <c r="K31" s="1594"/>
      <c r="L31" s="2168"/>
      <c r="M31" s="2168"/>
      <c r="N31" s="1601"/>
      <c r="O31" s="2168"/>
      <c r="P31" s="2183"/>
      <c r="Q31" s="1602"/>
      <c r="R31" s="2168"/>
      <c r="S31" s="2168"/>
      <c r="T31" s="1603"/>
      <c r="U31" s="2168"/>
      <c r="V31" s="2183"/>
      <c r="W31" s="1604"/>
      <c r="X31" s="2168"/>
      <c r="Y31" s="2168"/>
      <c r="Z31" s="1523"/>
      <c r="AA31" s="1606"/>
      <c r="AB31" s="2207"/>
      <c r="AC31" s="2207"/>
      <c r="AD31" s="2207"/>
      <c r="AE31" s="2207"/>
      <c r="AF31" s="2207"/>
      <c r="AG31" s="2207"/>
      <c r="AH31" s="2207"/>
      <c r="AI31" s="2208"/>
      <c r="AJ31" s="1585"/>
      <c r="BM31" s="304">
        <v>14</v>
      </c>
    </row>
    <row customHeight="1" ht="14.699999999999998">
      <c r="D32" s="2213"/>
      <c r="E32" s="2209"/>
      <c r="F32" s="2209"/>
      <c r="G32" s="2216"/>
      <c r="H32" s="1611"/>
      <c r="I32" s="2212"/>
      <c r="J32" s="2183"/>
      <c r="K32" s="1594"/>
      <c r="L32" s="2168"/>
      <c r="M32" s="2168"/>
      <c r="N32" s="1601"/>
      <c r="O32" s="2168"/>
      <c r="P32" s="2183"/>
      <c r="Q32" s="1602"/>
      <c r="R32" s="2168"/>
      <c r="S32" s="2168"/>
      <c r="T32" s="1607"/>
      <c r="U32" s="1608"/>
      <c r="V32" s="2207"/>
      <c r="W32" s="2207"/>
      <c r="X32" s="2207"/>
      <c r="Y32" s="2207"/>
      <c r="Z32" s="2207"/>
      <c r="AA32" s="2207"/>
      <c r="AB32" s="2207"/>
      <c r="AC32" s="2207"/>
      <c r="AD32" s="2207"/>
      <c r="AE32" s="2207"/>
      <c r="AF32" s="2207"/>
      <c r="AG32" s="2207"/>
      <c r="AH32" s="2207"/>
      <c r="AI32" s="2208"/>
      <c r="AJ32" s="1585"/>
      <c r="BM32" s="304">
        <v>14</v>
      </c>
    </row>
    <row customHeight="1" ht="11.549999999999999">
      <c r="D33" s="2213"/>
      <c r="E33" s="2209"/>
      <c r="F33" s="2209"/>
      <c r="G33" s="2216"/>
      <c r="H33" s="1612"/>
      <c r="I33" s="2212"/>
      <c r="J33" s="2183"/>
      <c r="K33" s="1594"/>
      <c r="L33" s="2168"/>
      <c r="M33" s="2168"/>
      <c r="N33" s="1606"/>
      <c r="O33" s="1606"/>
      <c r="P33" s="2207"/>
      <c r="Q33" s="2207"/>
      <c r="R33" s="2207"/>
      <c r="S33" s="2207"/>
      <c r="T33" s="2207"/>
      <c r="U33" s="2207"/>
      <c r="V33" s="2207"/>
      <c r="W33" s="2207"/>
      <c r="X33" s="2207"/>
      <c r="Y33" s="2207"/>
      <c r="Z33" s="2207"/>
      <c r="AA33" s="2207"/>
      <c r="AB33" s="2207"/>
      <c r="AC33" s="2207"/>
      <c r="AD33" s="2207"/>
      <c r="AE33" s="2207"/>
      <c r="AF33" s="2207"/>
      <c r="AG33" s="2207"/>
      <c r="AH33" s="2207"/>
      <c r="AI33" s="2208"/>
      <c r="AJ33" s="1585"/>
      <c r="BM33" s="304">
        <v>11</v>
      </c>
    </row>
    <row s="1565" customFormat="1" customHeight="1" ht="11.549999999999999">
      <c r="D34" s="2219"/>
      <c r="E34" s="2220"/>
      <c r="F34" s="2210"/>
      <c r="G34" s="2142"/>
      <c r="H34" s="1609"/>
      <c r="I34" s="1613"/>
      <c r="J34" s="2217"/>
      <c r="K34" s="2217"/>
      <c r="L34" s="2217"/>
      <c r="M34" s="2217"/>
      <c r="N34" s="2217"/>
      <c r="O34" s="2217"/>
      <c r="P34" s="2217"/>
      <c r="Q34" s="2217"/>
      <c r="R34" s="2217"/>
      <c r="S34" s="2217"/>
      <c r="T34" s="2217"/>
      <c r="U34" s="2217"/>
      <c r="V34" s="2217"/>
      <c r="W34" s="2217"/>
      <c r="X34" s="2217"/>
      <c r="Y34" s="2217"/>
      <c r="Z34" s="2217"/>
      <c r="AA34" s="2217"/>
      <c r="AB34" s="2217"/>
      <c r="AC34" s="2217"/>
      <c r="AD34" s="2217"/>
      <c r="AE34" s="2217"/>
      <c r="AF34" s="2217"/>
      <c r="AG34" s="2217"/>
      <c r="AH34" s="2217"/>
      <c r="AI34" s="2218"/>
      <c r="AJ34" s="1585"/>
      <c r="AK34" s="317"/>
      <c r="AL34" s="1585"/>
      <c r="AM34" s="1585"/>
      <c r="AN34" s="1585"/>
      <c r="AO34" s="1585"/>
      <c r="AP34" s="1585"/>
      <c r="AQ34" s="1585"/>
      <c r="AR34" s="1585"/>
      <c r="AS34" s="1585"/>
      <c r="AT34" s="1585"/>
      <c r="AU34" s="1585"/>
      <c r="AV34" s="1585"/>
      <c r="AW34" s="1585"/>
      <c r="AX34" s="1585"/>
      <c r="AY34" s="1585"/>
      <c r="AZ34" s="1585"/>
      <c r="BA34" s="1585"/>
      <c r="BB34" s="1585"/>
      <c r="BC34" s="1585"/>
      <c r="BD34" s="1585"/>
      <c r="BE34" s="1585"/>
      <c r="BF34" s="1585"/>
      <c r="BG34" s="1585"/>
      <c r="BH34" s="1585"/>
      <c r="BI34" s="1585"/>
      <c r="BJ34" s="1585"/>
      <c r="BK34" s="1585"/>
      <c r="BL34" s="1585"/>
      <c r="BM34" s="1565">
        <v>11</v>
      </c>
    </row>
    <row customHeight="1" ht="15">
      <c r="D35" s="2213" t="s">
        <v>121</v>
      </c>
      <c r="E35" s="2209" t="s">
        <v>307</v>
      </c>
      <c r="F35" s="2209" t="s">
        <v>312</v>
      </c>
      <c r="G35" s="2215" t="s">
        <v>19</v>
      </c>
      <c r="H35" s="1610"/>
      <c r="I35" s="2211"/>
      <c r="J35" s="2182"/>
      <c r="K35" s="1525"/>
      <c r="L35" s="2167"/>
      <c r="M35" s="2167"/>
      <c r="N35" s="1595"/>
      <c r="O35" s="2167"/>
      <c r="P35" s="2182"/>
      <c r="Q35" s="1596"/>
      <c r="R35" s="2167"/>
      <c r="S35" s="2167"/>
      <c r="T35" s="1597"/>
      <c r="U35" s="2167"/>
      <c r="V35" s="2182"/>
      <c r="W35" s="1598"/>
      <c r="X35" s="2167"/>
      <c r="Y35" s="2167"/>
      <c r="Z35" s="1595"/>
      <c r="AA35" s="2167"/>
      <c r="AB35" s="2182"/>
      <c r="AC35" s="1599"/>
      <c r="AD35" s="2167"/>
      <c r="AE35" s="2167"/>
      <c r="AF35" s="1524"/>
      <c r="AG35" s="1524"/>
      <c r="AH35" s="1600"/>
      <c r="AI35" s="1307"/>
      <c r="AJ35" s="1585"/>
      <c r="BM35" s="304">
        <v>14</v>
      </c>
    </row>
    <row customHeight="1" ht="14.699999999999998">
      <c r="D36" s="2213"/>
      <c r="E36" s="2209"/>
      <c r="F36" s="2209"/>
      <c r="G36" s="2216"/>
      <c r="H36" s="1611"/>
      <c r="I36" s="2212"/>
      <c r="J36" s="2183"/>
      <c r="K36" s="1594"/>
      <c r="L36" s="2168"/>
      <c r="M36" s="2168"/>
      <c r="N36" s="1601"/>
      <c r="O36" s="2168"/>
      <c r="P36" s="2183"/>
      <c r="Q36" s="1602"/>
      <c r="R36" s="2168"/>
      <c r="S36" s="2168"/>
      <c r="T36" s="1603"/>
      <c r="U36" s="2168"/>
      <c r="V36" s="2183"/>
      <c r="W36" s="1604"/>
      <c r="X36" s="2168"/>
      <c r="Y36" s="2168"/>
      <c r="Z36" s="1601"/>
      <c r="AA36" s="2168"/>
      <c r="AB36" s="2183"/>
      <c r="AC36" s="1605"/>
      <c r="AD36" s="2168"/>
      <c r="AE36" s="2168"/>
      <c r="AF36" s="1606"/>
      <c r="AG36" s="1606"/>
      <c r="AH36" s="2207"/>
      <c r="AI36" s="2208"/>
      <c r="AJ36" s="1585"/>
      <c r="BM36" s="304">
        <v>14</v>
      </c>
    </row>
    <row customHeight="1" ht="14.699999999999998">
      <c r="D37" s="2213"/>
      <c r="E37" s="2209"/>
      <c r="F37" s="2209"/>
      <c r="G37" s="2216"/>
      <c r="H37" s="1611"/>
      <c r="I37" s="2212"/>
      <c r="J37" s="2183"/>
      <c r="K37" s="1594"/>
      <c r="L37" s="2168"/>
      <c r="M37" s="2168"/>
      <c r="N37" s="1601"/>
      <c r="O37" s="2168"/>
      <c r="P37" s="2183"/>
      <c r="Q37" s="1602"/>
      <c r="R37" s="2168"/>
      <c r="S37" s="2168"/>
      <c r="T37" s="1603"/>
      <c r="U37" s="2168"/>
      <c r="V37" s="2183"/>
      <c r="W37" s="1604"/>
      <c r="X37" s="2168"/>
      <c r="Y37" s="2168"/>
      <c r="Z37" s="1523"/>
      <c r="AA37" s="1606"/>
      <c r="AB37" s="2207"/>
      <c r="AC37" s="2207"/>
      <c r="AD37" s="2207"/>
      <c r="AE37" s="2207"/>
      <c r="AF37" s="2207"/>
      <c r="AG37" s="2207"/>
      <c r="AH37" s="2207"/>
      <c r="AI37" s="2208"/>
      <c r="AJ37" s="1585"/>
      <c r="BM37" s="304">
        <v>14</v>
      </c>
    </row>
    <row customHeight="1" ht="14.699999999999998">
      <c r="D38" s="2213"/>
      <c r="E38" s="2209"/>
      <c r="F38" s="2209"/>
      <c r="G38" s="2216"/>
      <c r="H38" s="1611"/>
      <c r="I38" s="2212"/>
      <c r="J38" s="2183"/>
      <c r="K38" s="1594"/>
      <c r="L38" s="2168"/>
      <c r="M38" s="2168"/>
      <c r="N38" s="1601"/>
      <c r="O38" s="2168"/>
      <c r="P38" s="2183"/>
      <c r="Q38" s="1602"/>
      <c r="R38" s="2168"/>
      <c r="S38" s="2168"/>
      <c r="T38" s="1607"/>
      <c r="U38" s="1608"/>
      <c r="V38" s="2207"/>
      <c r="W38" s="2207"/>
      <c r="X38" s="2207"/>
      <c r="Y38" s="2207"/>
      <c r="Z38" s="2207"/>
      <c r="AA38" s="2207"/>
      <c r="AB38" s="2207"/>
      <c r="AC38" s="2207"/>
      <c r="AD38" s="2207"/>
      <c r="AE38" s="2207"/>
      <c r="AF38" s="2207"/>
      <c r="AG38" s="2207"/>
      <c r="AH38" s="2207"/>
      <c r="AI38" s="2208"/>
      <c r="AJ38" s="1585"/>
      <c r="BM38" s="304">
        <v>14</v>
      </c>
    </row>
    <row customHeight="1" ht="11.549999999999999">
      <c r="D39" s="2213"/>
      <c r="E39" s="2209"/>
      <c r="F39" s="2209"/>
      <c r="G39" s="2216"/>
      <c r="H39" s="1612"/>
      <c r="I39" s="2212"/>
      <c r="J39" s="2183"/>
      <c r="K39" s="1594"/>
      <c r="L39" s="2168"/>
      <c r="M39" s="2168"/>
      <c r="N39" s="1606"/>
      <c r="O39" s="1606"/>
      <c r="P39" s="2207"/>
      <c r="Q39" s="2207"/>
      <c r="R39" s="2207"/>
      <c r="S39" s="2207"/>
      <c r="T39" s="2207"/>
      <c r="U39" s="2207"/>
      <c r="V39" s="2207"/>
      <c r="W39" s="2207"/>
      <c r="X39" s="2207"/>
      <c r="Y39" s="2207"/>
      <c r="Z39" s="2207"/>
      <c r="AA39" s="2207"/>
      <c r="AB39" s="2207"/>
      <c r="AC39" s="2207"/>
      <c r="AD39" s="2207"/>
      <c r="AE39" s="2207"/>
      <c r="AF39" s="2207"/>
      <c r="AG39" s="2207"/>
      <c r="AH39" s="2207"/>
      <c r="AI39" s="2208"/>
      <c r="AJ39" s="1585"/>
      <c r="BM39" s="304">
        <v>11</v>
      </c>
    </row>
    <row s="1565" customFormat="1" customHeight="1" ht="11.549999999999999">
      <c r="D40" s="2213"/>
      <c r="E40" s="2209"/>
      <c r="F40" s="2214"/>
      <c r="G40" s="2142"/>
      <c r="H40" s="1609"/>
      <c r="I40" s="1613"/>
      <c r="J40" s="2217"/>
      <c r="K40" s="2217"/>
      <c r="L40" s="2217"/>
      <c r="M40" s="2217"/>
      <c r="N40" s="2217"/>
      <c r="O40" s="2217"/>
      <c r="P40" s="2217"/>
      <c r="Q40" s="2217"/>
      <c r="R40" s="2217"/>
      <c r="S40" s="2217"/>
      <c r="T40" s="2217"/>
      <c r="U40" s="2217"/>
      <c r="V40" s="2217"/>
      <c r="W40" s="2217"/>
      <c r="X40" s="2217"/>
      <c r="Y40" s="2217"/>
      <c r="Z40" s="2217"/>
      <c r="AA40" s="2217"/>
      <c r="AB40" s="2217"/>
      <c r="AC40" s="2217"/>
      <c r="AD40" s="2217"/>
      <c r="AE40" s="2217"/>
      <c r="AF40" s="2217"/>
      <c r="AG40" s="2217"/>
      <c r="AH40" s="2217"/>
      <c r="AI40" s="2218"/>
      <c r="AJ40" s="1585"/>
      <c r="AK40" s="317"/>
      <c r="AL40" s="1585"/>
      <c r="AM40" s="1585"/>
      <c r="AN40" s="1585"/>
      <c r="AO40" s="1585"/>
      <c r="AP40" s="1585"/>
      <c r="AQ40" s="1585"/>
      <c r="AR40" s="1585"/>
      <c r="AS40" s="1585"/>
      <c r="AT40" s="1585"/>
      <c r="AU40" s="1585"/>
      <c r="AV40" s="1585"/>
      <c r="AW40" s="1585"/>
      <c r="AX40" s="1585"/>
      <c r="AY40" s="1585"/>
      <c r="AZ40" s="1585"/>
      <c r="BA40" s="1585"/>
      <c r="BB40" s="1585"/>
      <c r="BC40" s="1585"/>
      <c r="BD40" s="1585"/>
      <c r="BE40" s="1585"/>
      <c r="BF40" s="1585"/>
      <c r="BG40" s="1585"/>
      <c r="BH40" s="1585"/>
      <c r="BI40" s="1585"/>
      <c r="BJ40" s="1585"/>
      <c r="BK40" s="1585"/>
      <c r="BL40" s="1585"/>
      <c r="BM40" s="1565">
        <v>11</v>
      </c>
    </row>
    <row customHeight="1" ht="11.549999999999999">
      <c r="AK41" s="434"/>
      <c r="BM41" s="304">
        <v>11</v>
      </c>
    </row>
    <row customHeight="1" ht="11.549999999999999">
      <c r="AK42" s="434"/>
      <c r="BM42" s="304">
        <v>11</v>
      </c>
    </row>
    <row customHeight="1" ht="11.549999999999999">
      <c r="AK43" s="434"/>
      <c r="BM43" s="304">
        <v>11</v>
      </c>
    </row>
    <row customHeight="1" ht="11.549999999999999">
      <c r="AK44" s="434"/>
      <c r="BM44" s="304">
        <v>11</v>
      </c>
    </row>
    <row customHeight="1" ht="11.549999999999999">
      <c r="AK45" s="434"/>
      <c r="BM45" s="304">
        <v>11</v>
      </c>
    </row>
    <row customHeight="1" ht="11.549999999999999">
      <c r="AK46" s="434"/>
      <c r="BM46" s="304">
        <v>11</v>
      </c>
    </row>
    <row customHeight="1" ht="11.549999999999999">
      <c r="AK47" s="434"/>
      <c r="BM47" s="304">
        <v>11</v>
      </c>
    </row>
    <row customHeight="1" ht="11.549999999999999">
      <c r="AK48" s="434"/>
      <c r="BM48" s="304">
        <v>11</v>
      </c>
    </row>
    <row customHeight="1" ht="11.549999999999999">
      <c r="AK49" s="434"/>
      <c r="BM49" s="304">
        <v>11</v>
      </c>
    </row>
    <row customHeight="1" ht="11.25" hidden="1">
      <c r="A50" s="304" t="s">
        <v>83</v>
      </c>
      <c r="B50" s="304">
        <v>0</v>
      </c>
      <c r="C50" s="304">
        <v>3</v>
      </c>
      <c r="D50" s="304">
        <v>3</v>
      </c>
      <c r="E50" s="304">
        <v>15</v>
      </c>
      <c r="F50" s="304">
        <v>15</v>
      </c>
      <c r="G50" s="304">
        <v>11</v>
      </c>
      <c r="H50" s="304">
        <v>3</v>
      </c>
      <c r="I50" s="304">
        <v>3</v>
      </c>
      <c r="J50" s="304">
        <v>12</v>
      </c>
      <c r="K50" s="304">
        <v>0</v>
      </c>
      <c r="L50" s="304">
        <v>10</v>
      </c>
      <c r="M50" s="304">
        <v>10</v>
      </c>
      <c r="N50" s="304">
        <v>3</v>
      </c>
      <c r="O50" s="304">
        <v>3</v>
      </c>
      <c r="P50" s="304">
        <v>19</v>
      </c>
      <c r="Q50" s="304">
        <v>0</v>
      </c>
      <c r="R50" s="304">
        <v>10</v>
      </c>
      <c r="S50" s="304">
        <v>10</v>
      </c>
      <c r="T50" s="304">
        <v>3</v>
      </c>
      <c r="U50" s="304">
        <v>3</v>
      </c>
      <c r="V50" s="304">
        <v>25</v>
      </c>
      <c r="W50" s="304">
        <v>0</v>
      </c>
      <c r="X50" s="304">
        <v>10</v>
      </c>
      <c r="Y50" s="304">
        <v>10</v>
      </c>
      <c r="Z50" s="304">
        <v>3</v>
      </c>
      <c r="AA50" s="304">
        <v>3</v>
      </c>
      <c r="AB50" s="304">
        <v>16</v>
      </c>
      <c r="AC50" s="304">
        <v>0</v>
      </c>
      <c r="AD50" s="304">
        <v>10</v>
      </c>
      <c r="AE50" s="304">
        <v>10</v>
      </c>
      <c r="AF50" s="304">
        <v>3</v>
      </c>
      <c r="AG50" s="304">
        <v>3</v>
      </c>
      <c r="AH50" s="304">
        <v>8</v>
      </c>
      <c r="AI50" s="304">
        <v>21</v>
      </c>
      <c r="AJ50" s="434">
        <v>8</v>
      </c>
      <c r="AK50" s="317">
        <v>8</v>
      </c>
      <c r="AL50" s="434">
        <v>8</v>
      </c>
      <c r="AM50" s="434">
        <v>8</v>
      </c>
      <c r="AN50" s="434">
        <v>8</v>
      </c>
      <c r="AO50" s="434">
        <v>8</v>
      </c>
      <c r="AP50" s="434">
        <v>8</v>
      </c>
      <c r="AQ50" s="434">
        <v>8</v>
      </c>
      <c r="AR50" s="434">
        <v>8</v>
      </c>
      <c r="AS50" s="434">
        <v>8</v>
      </c>
      <c r="AT50" s="434">
        <v>8</v>
      </c>
      <c r="AU50" s="434">
        <v>8</v>
      </c>
      <c r="AV50" s="434">
        <v>8</v>
      </c>
      <c r="AW50" s="434">
        <v>8</v>
      </c>
      <c r="AX50" s="434">
        <v>8</v>
      </c>
      <c r="AY50" s="434">
        <v>8</v>
      </c>
      <c r="AZ50" s="434">
        <v>8</v>
      </c>
      <c r="BA50" s="434">
        <v>8</v>
      </c>
      <c r="BB50" s="434">
        <v>8</v>
      </c>
      <c r="BC50" s="434">
        <v>8</v>
      </c>
      <c r="BD50" s="434">
        <v>8</v>
      </c>
      <c r="BE50" s="434">
        <v>8</v>
      </c>
      <c r="BF50" s="434">
        <v>8</v>
      </c>
      <c r="BG50" s="434">
        <v>8</v>
      </c>
      <c r="BH50" s="434">
        <v>8</v>
      </c>
      <c r="BI50" s="434">
        <v>8</v>
      </c>
      <c r="BJ50" s="434">
        <v>8</v>
      </c>
      <c r="BK50" s="434">
        <v>8</v>
      </c>
      <c r="BL50" s="434">
        <v>8</v>
      </c>
      <c r="BM50" s="30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0AEA8-8A68-1494-C789-BE23379DBD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100" t="s">
        <v>14</v>
      </c>
    </row>
    <row customHeight="1" ht="22.5">
      <c r="B2" s="2647" t="s">
        <v>2125</v>
      </c>
      <c r="C2" s="2530"/>
      <c r="D2" s="2530"/>
      <c r="E2" s="279"/>
      <c r="F2" s="100">
        <v>22</v>
      </c>
    </row>
    <row customHeight="1" ht="3">
      <c r="F3" s="100">
        <v>3</v>
      </c>
    </row>
    <row customHeight="1" ht="23.25">
      <c r="B4" s="2648" t="s">
        <v>2126</v>
      </c>
      <c r="C4" s="394" t="s">
        <v>2127</v>
      </c>
      <c r="D4" s="394" t="s">
        <v>2128</v>
      </c>
      <c r="F4" s="100">
        <v>22</v>
      </c>
    </row>
    <row customHeight="1" ht="11.25" hidden="1">
      <c r="A5" s="100" t="s">
        <v>83</v>
      </c>
      <c r="B5" s="100">
        <v>34</v>
      </c>
      <c r="C5" s="100">
        <v>85</v>
      </c>
      <c r="D5" s="100">
        <v>17</v>
      </c>
      <c r="E5" s="100">
        <v>8</v>
      </c>
      <c r="F5" s="10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10548-7BED-61D5-ED48-88CCEB4902B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5" customFormat="1" customHeight="1" ht="17.25">
      <c r="A2" s="1825" t="s">
        <v>2129</v>
      </c>
    </row>
    <row r="4" s="275" customFormat="1" customHeight="1" ht="15">
      <c r="C4" s="1826"/>
      <c r="D4" s="124"/>
      <c r="E4" s="388"/>
    </row>
    <row r="6" s="1825" customFormat="1" customHeight="1" ht="17.25">
      <c r="A6" s="1825" t="s">
        <v>2130</v>
      </c>
    </row>
    <row r="8" s="275" customFormat="1" customHeight="1" ht="17.25">
      <c r="C8" s="1827"/>
      <c r="D8" s="124"/>
      <c r="E8" s="125"/>
    </row>
    <row r="11" s="1825" customFormat="1" customHeight="1" ht="17.25">
      <c r="A11" s="1825" t="s">
        <v>2131</v>
      </c>
    </row>
    <row r="13" s="1829" customFormat="1" customHeight="1" ht="15">
      <c r="A13" s="2247">
        <v>1</v>
      </c>
      <c r="B13" s="1171"/>
      <c r="C13" s="812" t="s">
        <v>105</v>
      </c>
      <c r="D13" s="1828"/>
      <c r="E13" s="1815">
        <f>A13</f>
        <v>1</v>
      </c>
      <c r="F13" s="815"/>
      <c r="G13" s="551" t="str">
        <f>"Территория "&amp;E13</f>
        <v>Территория 1</v>
      </c>
      <c r="H13" s="803"/>
      <c r="I13" s="803"/>
      <c r="J13" s="800"/>
      <c r="K13" s="1635"/>
      <c r="L13" s="1635"/>
      <c r="M13" s="1635"/>
      <c r="N13" s="237"/>
      <c r="O13" s="1635"/>
      <c r="P13" s="236"/>
      <c r="Q13" s="236"/>
      <c r="R13" s="236"/>
      <c r="S13" s="236"/>
    </row>
    <row s="1858" customFormat="1" customHeight="1" ht="15">
      <c r="A14" s="2247"/>
      <c r="B14" s="1171">
        <v>1</v>
      </c>
      <c r="C14" s="1171"/>
      <c r="D14" s="811"/>
      <c r="E14" s="1823" t="str">
        <f>A13&amp;"."&amp;B14</f>
        <v>1.1</v>
      </c>
      <c r="F14" s="814">
        <f>$F$20</f>
        <v>0</v>
      </c>
      <c r="G14" s="804"/>
      <c r="H14" s="804"/>
      <c r="I14" s="802"/>
      <c r="J14" s="1635"/>
      <c r="K14" s="1647"/>
      <c r="L14" s="1647"/>
      <c r="M14" s="1635" t="str">
        <f t="array" ref="M14:M14">IF(ISERROR(MATCH(MID(N14,1,250),MID(note_ter,1,250),0)),"n","y")</f>
        <v>n</v>
      </c>
      <c r="N14" s="1647"/>
      <c r="O14" s="1635" t="str">
        <f>H14&amp;"("&amp;I14&amp;")"</f>
        <v>()</v>
      </c>
      <c r="P14" s="1171"/>
      <c r="Q14" s="1171"/>
      <c r="R14" s="431"/>
      <c r="S14" s="1171"/>
      <c r="T14" s="1171"/>
      <c r="U14" s="1171"/>
      <c r="V14" s="433"/>
      <c r="W14" s="433"/>
      <c r="X14" s="430"/>
      <c r="Y14" s="430"/>
      <c r="Z14" s="430"/>
      <c r="AA14" s="430"/>
      <c r="AB14" s="430"/>
      <c r="AC14" s="430"/>
      <c r="AD14" s="430"/>
      <c r="AE14" s="430"/>
      <c r="AF14" s="430"/>
      <c r="AG14" s="430"/>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c r="BN14" s="430"/>
      <c r="BO14" s="430"/>
      <c r="BP14" s="430"/>
      <c r="BQ14" s="430"/>
      <c r="BR14" s="430"/>
      <c r="BS14" s="433"/>
      <c r="BT14" s="433"/>
      <c r="BU14" s="433"/>
      <c r="BV14" s="433"/>
      <c r="BW14" s="433"/>
      <c r="BX14" s="433"/>
      <c r="BY14" s="433"/>
      <c r="BZ14" s="433"/>
      <c r="CA14" s="433"/>
      <c r="CB14" s="433"/>
    </row>
    <row s="1858" customFormat="1" customHeight="1" ht="15">
      <c r="A15" s="2247"/>
      <c r="B15" s="1171"/>
      <c r="C15" s="423"/>
      <c r="D15" s="812"/>
      <c r="E15" s="432"/>
      <c r="F15" s="188"/>
      <c r="G15" s="426" t="s">
        <v>103</v>
      </c>
      <c r="H15" s="198"/>
      <c r="I15" s="435"/>
      <c r="J15" s="1647"/>
      <c r="K15" s="1647"/>
      <c r="L15" s="1647"/>
      <c r="M15" s="1647"/>
      <c r="N15" s="1635"/>
      <c r="O15" s="1647"/>
      <c r="P15" s="1171"/>
      <c r="Q15" s="1171"/>
      <c r="R15" s="431"/>
      <c r="S15" s="1171"/>
      <c r="T15" s="1171"/>
      <c r="U15" s="1171"/>
      <c r="V15" s="433"/>
      <c r="W15" s="433"/>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430"/>
      <c r="BP15" s="430"/>
      <c r="BQ15" s="430"/>
      <c r="BR15" s="430"/>
      <c r="BS15" s="433"/>
      <c r="BT15" s="433"/>
      <c r="BU15" s="433"/>
      <c r="BV15" s="433"/>
      <c r="BW15" s="433"/>
      <c r="BX15" s="433"/>
      <c r="BY15" s="433"/>
      <c r="BZ15" s="433"/>
      <c r="CA15" s="433"/>
      <c r="CB15" s="433"/>
    </row>
    <row r="17" s="1825" customFormat="1" customHeight="1" ht="17.25">
      <c r="A17" s="1825" t="s">
        <v>2132</v>
      </c>
    </row>
    <row r="19" s="1858" customFormat="1" customHeight="1" ht="15">
      <c r="A19" s="1890"/>
      <c r="B19" s="1377">
        <v>1</v>
      </c>
      <c r="C19" s="1377"/>
      <c r="D19" s="811" t="s">
        <v>105</v>
      </c>
      <c r="E19" s="1886"/>
      <c r="F19" s="1891">
        <f>$F$20</f>
        <v>0</v>
      </c>
      <c r="G19" s="1895"/>
      <c r="H19" s="1895"/>
      <c r="I19" s="1893"/>
      <c r="J19" s="1635"/>
      <c r="K19" s="1647"/>
      <c r="L19" s="1647"/>
      <c r="M19" s="1635" t="str">
        <f t="array" ref="M19:M19">IF(ISERROR(MATCH(MID(N19,1,250),MID(note_ter,1,250),0)),"n","y")</f>
        <v>n</v>
      </c>
      <c r="N19" s="1647"/>
      <c r="O19" s="1635" t="str">
        <f>H19&amp;"("&amp;I19&amp;")"</f>
        <v>()</v>
      </c>
      <c r="P19" s="1377"/>
      <c r="Q19" s="1377"/>
      <c r="R19" s="431"/>
      <c r="S19" s="1377"/>
      <c r="T19" s="1377"/>
      <c r="U19" s="1377"/>
      <c r="V19" s="844"/>
      <c r="W19" s="844"/>
      <c r="X19" s="638"/>
      <c r="Y19" s="638"/>
      <c r="Z19" s="638"/>
      <c r="AA19" s="638"/>
      <c r="AB19" s="638"/>
      <c r="AC19" s="638"/>
      <c r="AD19" s="638"/>
      <c r="AE19" s="638"/>
      <c r="AF19" s="638"/>
      <c r="AG19" s="638"/>
      <c r="AH19" s="638"/>
      <c r="AI19" s="638"/>
      <c r="AJ19" s="638"/>
      <c r="AK19" s="638"/>
      <c r="AL19" s="638"/>
      <c r="AM19" s="638"/>
      <c r="AN19" s="638"/>
      <c r="AO19" s="638"/>
      <c r="AP19" s="638"/>
      <c r="AQ19" s="638"/>
      <c r="AR19" s="638"/>
      <c r="AS19" s="638"/>
      <c r="AT19" s="638"/>
      <c r="AU19" s="638"/>
      <c r="AV19" s="638"/>
      <c r="AW19" s="638"/>
      <c r="AX19" s="638"/>
      <c r="AY19" s="638"/>
      <c r="AZ19" s="638"/>
      <c r="BA19" s="638"/>
      <c r="BB19" s="638"/>
      <c r="BC19" s="638"/>
      <c r="BD19" s="638"/>
      <c r="BE19" s="638"/>
      <c r="BF19" s="638"/>
      <c r="BG19" s="638"/>
      <c r="BH19" s="638"/>
      <c r="BI19" s="638"/>
      <c r="BJ19" s="638"/>
      <c r="BK19" s="638"/>
      <c r="BL19" s="638"/>
      <c r="BM19" s="638"/>
      <c r="BN19" s="638"/>
      <c r="BO19" s="638"/>
      <c r="BP19" s="638"/>
      <c r="BQ19" s="638"/>
      <c r="BR19" s="638"/>
      <c r="BS19" s="844"/>
      <c r="BT19" s="844"/>
      <c r="BU19" s="844"/>
      <c r="BV19" s="844"/>
      <c r="BW19" s="844"/>
      <c r="BX19" s="844"/>
      <c r="BY19" s="844"/>
      <c r="BZ19" s="844"/>
      <c r="CA19" s="844"/>
      <c r="CB19" s="844"/>
    </row>
    <row r="21" s="1858" customFormat="1" customHeight="1" ht="15">
      <c r="A21" s="1825" t="s">
        <v>2133</v>
      </c>
      <c r="B21" s="1825"/>
      <c r="C21" s="1825"/>
      <c r="D21" s="1825"/>
      <c r="E21" s="1825"/>
      <c r="F21" s="1825"/>
      <c r="G21" s="1825"/>
      <c r="H21" s="1825"/>
      <c r="I21" s="1825"/>
      <c r="J21" s="1825"/>
      <c r="K21" s="1825"/>
      <c r="L21" s="1825"/>
      <c r="M21" s="1825"/>
      <c r="N21" s="1825"/>
      <c r="O21" s="1825"/>
      <c r="P21" s="1825"/>
      <c r="Q21" s="1825"/>
      <c r="R21" s="1825"/>
      <c r="S21" s="1825"/>
      <c r="T21" s="1825"/>
      <c r="U21" s="195"/>
      <c r="V21" s="1825"/>
      <c r="W21" s="1825"/>
    </row>
    <row s="1858" customFormat="1" customHeight="1" ht="15">
      <c r="U22" s="196"/>
    </row>
    <row s="1861" customFormat="1" customHeight="1" ht="15">
      <c r="A23" s="434"/>
      <c r="B23" s="434"/>
      <c r="C23" s="1738" t="s">
        <v>105</v>
      </c>
      <c r="D23" s="2138" t="s">
        <v>120</v>
      </c>
      <c r="E23" s="2139"/>
      <c r="F23" s="2137" t="s">
        <v>19</v>
      </c>
      <c r="G23" s="2587"/>
      <c r="H23" s="2157">
        <v>1</v>
      </c>
      <c r="I23" s="2589" t="str">
        <f>IF(U23="","",INDEX(TERRITORY_MR_LIST,MATCH(U23,TERRITORY_LIST_ID,0)))</f>
        <v/>
      </c>
      <c r="J23" s="2137" t="s">
        <v>19</v>
      </c>
      <c r="K23" s="843"/>
      <c r="L23" s="1792" t="s">
        <v>120</v>
      </c>
      <c r="M23" s="614"/>
      <c r="N23" s="615"/>
      <c r="O23" s="615"/>
      <c r="P23" s="615"/>
      <c r="Q23" s="615"/>
      <c r="R23" s="615"/>
      <c r="S23" s="615"/>
      <c r="T23" s="615"/>
      <c r="U23" s="616"/>
      <c r="V23" s="615"/>
      <c r="W23" s="615"/>
      <c r="X23" s="606"/>
      <c r="Y23" s="606" t="s">
        <v>130</v>
      </c>
      <c r="Z23" s="606">
        <v>1705000</v>
      </c>
      <c r="AA23" s="606"/>
      <c r="AB23" s="606"/>
      <c r="AC23" s="606"/>
      <c r="AD23" s="606"/>
      <c r="AE23" s="606"/>
      <c r="AF23" s="606"/>
      <c r="AG23" s="606"/>
      <c r="AH23" s="606"/>
      <c r="AI23" s="606"/>
      <c r="AJ23" s="606"/>
      <c r="AK23" s="606"/>
      <c r="AL23" s="606"/>
    </row>
    <row s="1861" customFormat="1" customHeight="1" ht="15">
      <c r="A24" s="434"/>
      <c r="B24" s="434"/>
      <c r="C24" s="187"/>
      <c r="D24" s="2138"/>
      <c r="E24" s="2140"/>
      <c r="F24" s="2137"/>
      <c r="G24" s="2588"/>
      <c r="H24" s="2157"/>
      <c r="I24" s="2590"/>
      <c r="J24" s="2137"/>
      <c r="K24" s="432"/>
      <c r="L24" s="188"/>
      <c r="M24" s="618" t="s">
        <v>133</v>
      </c>
      <c r="N24" s="615"/>
      <c r="O24" s="615"/>
      <c r="P24" s="615"/>
      <c r="Q24" s="615"/>
      <c r="R24" s="615"/>
      <c r="S24" s="615"/>
      <c r="T24" s="615"/>
      <c r="U24" s="616"/>
      <c r="V24" s="615"/>
      <c r="W24" s="615"/>
      <c r="X24" s="606"/>
      <c r="Y24" s="606"/>
      <c r="Z24" s="606"/>
      <c r="AA24" s="606"/>
      <c r="AB24" s="606"/>
      <c r="AC24" s="606"/>
      <c r="AD24" s="606"/>
      <c r="AE24" s="606"/>
      <c r="AF24" s="606"/>
      <c r="AG24" s="606"/>
      <c r="AH24" s="606"/>
      <c r="AI24" s="606"/>
      <c r="AJ24" s="606"/>
      <c r="AK24" s="606"/>
      <c r="AL24" s="606"/>
    </row>
    <row s="1861" customFormat="1" customHeight="1" ht="15">
      <c r="A25" s="434"/>
      <c r="B25" s="434"/>
      <c r="C25" s="187"/>
      <c r="D25" s="2138"/>
      <c r="E25" s="2141"/>
      <c r="F25" s="2137"/>
      <c r="G25" s="432"/>
      <c r="H25" s="188"/>
      <c r="I25" s="591" t="s">
        <v>136</v>
      </c>
      <c r="J25" s="188"/>
      <c r="K25" s="188"/>
      <c r="L25" s="188"/>
      <c r="M25" s="619"/>
      <c r="N25" s="615"/>
      <c r="O25" s="615"/>
      <c r="P25" s="615"/>
      <c r="Q25" s="615"/>
      <c r="R25" s="615"/>
      <c r="S25" s="615"/>
      <c r="T25" s="615"/>
      <c r="U25" s="616"/>
      <c r="V25" s="615"/>
      <c r="W25" s="615"/>
      <c r="X25" s="606"/>
      <c r="Y25" s="606"/>
      <c r="Z25" s="606"/>
      <c r="AA25" s="606"/>
      <c r="AB25" s="606"/>
      <c r="AC25" s="606"/>
      <c r="AD25" s="606"/>
      <c r="AE25" s="606"/>
      <c r="AF25" s="606"/>
      <c r="AG25" s="606"/>
      <c r="AH25" s="606"/>
      <c r="AI25" s="606"/>
      <c r="AJ25" s="606"/>
      <c r="AK25" s="606"/>
      <c r="AL25" s="606"/>
    </row>
    <row s="1858" customFormat="1" customHeight="1" ht="15">
      <c r="U26" s="196"/>
    </row>
    <row s="1858" customFormat="1" customHeight="1" ht="15">
      <c r="A27" s="1825" t="s">
        <v>2134</v>
      </c>
      <c r="B27" s="1825"/>
      <c r="C27" s="1825"/>
      <c r="D27" s="1825"/>
      <c r="E27" s="1825"/>
      <c r="F27" s="1825"/>
      <c r="G27" s="1825"/>
      <c r="H27" s="1825"/>
      <c r="I27" s="1825"/>
      <c r="J27" s="1825"/>
      <c r="K27" s="1825"/>
      <c r="L27" s="1825"/>
      <c r="M27" s="1825"/>
      <c r="N27" s="1825"/>
      <c r="O27" s="1825"/>
      <c r="P27" s="1825"/>
      <c r="Q27" s="1825"/>
      <c r="R27" s="1825"/>
      <c r="S27" s="1825"/>
      <c r="T27" s="1825"/>
      <c r="U27" s="195"/>
      <c r="V27" s="1825"/>
      <c r="W27" s="1825"/>
    </row>
    <row s="1858" customFormat="1" customHeight="1" ht="15">
      <c r="U28" s="196"/>
    </row>
    <row s="1861" customFormat="1" customHeight="1" ht="15">
      <c r="A29" s="434"/>
      <c r="B29" s="434"/>
      <c r="C29" s="187"/>
      <c r="D29" s="1831"/>
      <c r="E29" s="1831"/>
      <c r="F29" s="1831"/>
      <c r="G29" s="2591" t="s">
        <v>105</v>
      </c>
      <c r="H29" s="2133">
        <v>1</v>
      </c>
      <c r="I29" s="2592" t="str">
        <f>IF(U29="","",INDEX(TERRITORY_MR_LIST,MATCH(U29,TERRITORY_LIST_ID,0)))</f>
        <v/>
      </c>
      <c r="J29" s="2137" t="s">
        <v>19</v>
      </c>
      <c r="K29" s="843"/>
      <c r="L29" s="1792" t="s">
        <v>120</v>
      </c>
      <c r="M29" s="614"/>
      <c r="N29" s="615"/>
      <c r="O29" s="615"/>
      <c r="P29" s="615"/>
      <c r="Q29" s="615"/>
      <c r="R29" s="615"/>
      <c r="S29" s="615"/>
      <c r="T29" s="615"/>
      <c r="U29" s="616"/>
      <c r="V29" s="615"/>
      <c r="W29" s="615"/>
      <c r="X29" s="606"/>
      <c r="Y29" s="606" t="s">
        <v>130</v>
      </c>
      <c r="Z29" s="606">
        <v>1705000</v>
      </c>
      <c r="AA29" s="606"/>
      <c r="AB29" s="606"/>
      <c r="AC29" s="606"/>
      <c r="AD29" s="606"/>
      <c r="AE29" s="606"/>
      <c r="AF29" s="606"/>
      <c r="AG29" s="606"/>
      <c r="AH29" s="606"/>
      <c r="AI29" s="606"/>
      <c r="AJ29" s="606"/>
      <c r="AK29" s="606"/>
      <c r="AL29" s="606"/>
    </row>
    <row s="1861" customFormat="1" customHeight="1" ht="15">
      <c r="A30" s="434"/>
      <c r="B30" s="434"/>
      <c r="C30" s="187"/>
      <c r="D30" s="1831"/>
      <c r="E30" s="1831"/>
      <c r="F30" s="1831"/>
      <c r="G30" s="2591"/>
      <c r="H30" s="2133"/>
      <c r="I30" s="2592"/>
      <c r="J30" s="2137"/>
      <c r="K30" s="432"/>
      <c r="L30" s="188"/>
      <c r="M30" s="618" t="s">
        <v>133</v>
      </c>
      <c r="N30" s="615"/>
      <c r="O30" s="615"/>
      <c r="P30" s="615"/>
      <c r="Q30" s="615"/>
      <c r="R30" s="615"/>
      <c r="S30" s="615"/>
      <c r="T30" s="615"/>
      <c r="U30" s="616"/>
      <c r="V30" s="615"/>
      <c r="W30" s="615"/>
      <c r="X30" s="606"/>
      <c r="Y30" s="606"/>
      <c r="Z30" s="606"/>
      <c r="AA30" s="606"/>
      <c r="AB30" s="606"/>
      <c r="AC30" s="606"/>
      <c r="AD30" s="606"/>
      <c r="AE30" s="606"/>
      <c r="AF30" s="606"/>
      <c r="AG30" s="606"/>
      <c r="AH30" s="606"/>
      <c r="AI30" s="606"/>
      <c r="AJ30" s="606"/>
      <c r="AK30" s="606"/>
      <c r="AL30" s="606"/>
    </row>
    <row s="1858" customFormat="1" customHeight="1" ht="15">
      <c r="U31" s="196"/>
    </row>
    <row s="1858" customFormat="1" customHeight="1" ht="15">
      <c r="A32" s="1825" t="s">
        <v>2135</v>
      </c>
      <c r="B32" s="1825"/>
      <c r="C32" s="1825"/>
      <c r="D32" s="1825"/>
      <c r="E32" s="1825"/>
      <c r="F32" s="1825"/>
      <c r="G32" s="1825"/>
      <c r="H32" s="1825"/>
      <c r="I32" s="1825"/>
      <c r="J32" s="1825"/>
      <c r="K32" s="1825"/>
      <c r="L32" s="1825"/>
      <c r="M32" s="1825"/>
      <c r="N32" s="1825"/>
      <c r="O32" s="1825"/>
      <c r="P32" s="1825"/>
      <c r="Q32" s="1825"/>
      <c r="R32" s="1825"/>
      <c r="S32" s="1825"/>
      <c r="T32" s="1825"/>
      <c r="U32" s="195"/>
      <c r="V32" s="1825"/>
      <c r="W32" s="1825"/>
    </row>
    <row s="1858" customFormat="1" customHeight="1" ht="15">
      <c r="U33" s="196"/>
    </row>
    <row s="1861" customFormat="1" customHeight="1" ht="15">
      <c r="A34" s="434"/>
      <c r="B34" s="434"/>
      <c r="C34" s="187"/>
      <c r="D34" s="1831"/>
      <c r="E34" s="1831"/>
      <c r="F34" s="1831"/>
      <c r="G34" s="1831"/>
      <c r="H34" s="1831"/>
      <c r="I34" s="1831"/>
      <c r="J34" s="1831"/>
      <c r="K34" s="1809" t="s">
        <v>105</v>
      </c>
      <c r="L34" s="1739" t="s">
        <v>120</v>
      </c>
      <c r="M34" s="822"/>
      <c r="N34" s="823"/>
      <c r="O34" s="615"/>
      <c r="P34" s="615"/>
      <c r="Q34" s="615"/>
      <c r="R34" s="615"/>
      <c r="S34" s="615"/>
      <c r="T34" s="615"/>
      <c r="U34" s="616"/>
      <c r="V34" s="615"/>
      <c r="W34" s="615"/>
      <c r="X34" s="606"/>
      <c r="Y34" s="606" t="s">
        <v>130</v>
      </c>
      <c r="Z34" s="606">
        <v>1705000</v>
      </c>
      <c r="AA34" s="606"/>
      <c r="AB34" s="606"/>
      <c r="AC34" s="606"/>
      <c r="AD34" s="606"/>
      <c r="AE34" s="606"/>
      <c r="AF34" s="606"/>
      <c r="AG34" s="606"/>
      <c r="AH34" s="606"/>
      <c r="AI34" s="606"/>
      <c r="AJ34" s="606"/>
      <c r="AK34" s="606"/>
      <c r="AL34" s="606"/>
    </row>
    <row s="1858" customFormat="1" customHeight="1" ht="15">
      <c r="U35" s="196"/>
    </row>
    <row s="1858" customFormat="1" customHeight="1" ht="15">
      <c r="U36" s="196"/>
    </row>
    <row s="1825" customFormat="1" customHeight="1" ht="11.25">
      <c r="A37" s="1825" t="s">
        <v>2136</v>
      </c>
    </row>
    <row customHeight="1" ht="11.25"/>
    <row s="466" customFormat="1" customHeight="1" ht="22.5">
      <c r="A39" s="1801"/>
      <c r="B39" s="468"/>
      <c r="C39" s="870"/>
      <c r="D39" s="451"/>
      <c r="E39" s="871"/>
      <c r="F39" s="1822"/>
      <c r="G39" s="1832"/>
      <c r="H39" s="486"/>
    </row>
    <row customHeight="1" ht="11.25"/>
    <row s="1825" customFormat="1" customHeight="1" ht="11.25">
      <c r="A41" s="1825" t="s">
        <v>2137</v>
      </c>
    </row>
    <row customHeight="1" ht="11.25"/>
    <row s="466" customFormat="1" customHeight="1" ht="22.5">
      <c r="A43" s="468"/>
      <c r="B43" s="468"/>
      <c r="C43" s="468"/>
      <c r="D43" s="451"/>
      <c r="E43" s="871"/>
      <c r="F43" s="872"/>
      <c r="G43" s="1832"/>
      <c r="H43" s="486"/>
    </row>
    <row customHeight="1" ht="11.25"/>
    <row s="1825" customFormat="1" customHeight="1" ht="11.25">
      <c r="A45" s="1825" t="s">
        <v>2138</v>
      </c>
    </row>
    <row customHeight="1" ht="11.25"/>
    <row s="466" customFormat="1" customHeight="1" ht="24">
      <c r="A47" s="2232" t="s">
        <v>327</v>
      </c>
      <c r="B47" s="513"/>
      <c r="C47" s="2243"/>
      <c r="D47" s="456" t="str">
        <f>A47</f>
        <v>5.1</v>
      </c>
      <c r="E47" s="453" t="s">
        <v>328</v>
      </c>
      <c r="F47" s="1984" t="s">
        <v>320</v>
      </c>
      <c r="G47" s="455" t="s">
        <v>329</v>
      </c>
      <c r="H47" s="486"/>
      <c r="I47" s="863"/>
    </row>
    <row s="466" customFormat="1" customHeight="1" ht="22.5">
      <c r="A48" s="2232"/>
      <c r="B48" s="513"/>
      <c r="C48" s="2243"/>
      <c r="D48" s="451" t="str">
        <f>D47&amp;".1"</f>
        <v>5.1.1</v>
      </c>
      <c r="E48" s="450" t="s">
        <v>330</v>
      </c>
      <c r="F48" s="1985" t="s">
        <v>22</v>
      </c>
      <c r="G48" s="485"/>
      <c r="H48" s="486"/>
      <c r="I48" s="863"/>
    </row>
    <row s="466" customFormat="1" customHeight="1" ht="22.5">
      <c r="A49" s="2232"/>
      <c r="B49" s="513"/>
      <c r="C49" s="2243"/>
      <c r="D49" s="451" t="str">
        <f>D47&amp;".2"</f>
        <v>5.1.2</v>
      </c>
      <c r="E49" s="450" t="s">
        <v>331</v>
      </c>
      <c r="F49" s="1742" t="s">
        <v>22</v>
      </c>
      <c r="G49" s="455" t="s">
        <v>332</v>
      </c>
      <c r="H49" s="486"/>
      <c r="I49" s="863"/>
    </row>
    <row s="466" customFormat="1" customHeight="1" ht="22.5">
      <c r="A50" s="2232"/>
      <c r="B50" s="513"/>
      <c r="C50" s="2243"/>
      <c r="D50" s="451" t="str">
        <f>D47&amp;".3"</f>
        <v>5.1.3</v>
      </c>
      <c r="E50" s="450" t="s">
        <v>333</v>
      </c>
      <c r="F50" s="1985" t="s">
        <v>22</v>
      </c>
      <c r="G50" s="485"/>
      <c r="H50" s="486"/>
      <c r="I50" s="863"/>
    </row>
    <row s="466" customFormat="1" customHeight="1" ht="22.5">
      <c r="A51" s="2232"/>
      <c r="B51" s="513"/>
      <c r="C51" s="2243"/>
      <c r="D51" s="451" t="str">
        <f>D47&amp;".4"</f>
        <v>5.1.4</v>
      </c>
      <c r="E51" s="450" t="s">
        <v>334</v>
      </c>
      <c r="F51" s="1985" t="s">
        <v>22</v>
      </c>
      <c r="G51" s="455" t="s">
        <v>335</v>
      </c>
      <c r="H51" s="486"/>
      <c r="I51" s="863"/>
    </row>
    <row r="54" s="1825" customFormat="1" customHeight="1" ht="17.25">
      <c r="A54" s="1825" t="s">
        <v>2139</v>
      </c>
    </row>
    <row r="56" s="1623" customFormat="1" customHeight="1" ht="18.75">
      <c r="A56" s="100"/>
      <c r="B56" s="1833"/>
      <c r="C56" s="1833"/>
      <c r="D56" s="1834"/>
      <c r="E56" s="1819"/>
      <c r="F56" s="879">
        <v>13</v>
      </c>
      <c r="G56" s="878"/>
      <c r="H56" s="804"/>
      <c r="I56" s="802"/>
      <c r="J56" s="531" t="s">
        <v>63</v>
      </c>
      <c r="K56" s="1835" t="s">
        <v>22</v>
      </c>
      <c r="L56" s="100"/>
      <c r="M56" s="1647"/>
      <c r="N56" s="1647"/>
      <c r="O56" s="1647"/>
      <c r="P56" s="527" t="s">
        <v>406</v>
      </c>
      <c r="Q56" s="527" t="s">
        <v>407</v>
      </c>
      <c r="R56" s="528" t="s">
        <v>408</v>
      </c>
      <c r="S56" s="1647" t="s">
        <v>409</v>
      </c>
      <c r="T56" s="1647"/>
      <c r="U56" s="1647"/>
      <c r="V56" s="1647"/>
    </row>
    <row r="58" s="1825" customFormat="1" customHeight="1" ht="11.25">
      <c r="A58" s="1825" t="s">
        <v>2140</v>
      </c>
    </row>
    <row r="60" s="1646" customFormat="1" customHeight="1" ht="14.25">
      <c r="C60" s="1698"/>
      <c r="D60" s="1877"/>
      <c r="E60" s="1787" t="s">
        <v>22</v>
      </c>
      <c r="F60" s="1876"/>
      <c r="G60" s="867"/>
      <c r="H60" s="1788"/>
      <c r="I60" s="1788"/>
      <c r="J60" s="444"/>
      <c r="K60" s="1871"/>
      <c r="L60" s="443"/>
      <c r="M60" s="1871"/>
      <c r="N60" s="444"/>
      <c r="O60" s="1871"/>
      <c r="P60" s="444"/>
      <c r="Q60" s="1871"/>
      <c r="R60" s="444"/>
      <c r="S60" s="865"/>
      <c r="T60" s="1788"/>
      <c r="U60" s="444"/>
      <c r="V60" s="444"/>
      <c r="W60" s="1875"/>
      <c r="X60" s="1788"/>
      <c r="Y60" s="444"/>
      <c r="Z60" s="444"/>
      <c r="AA60" s="1875"/>
      <c r="AB60" s="1788"/>
      <c r="AC60" s="444"/>
      <c r="AD60" s="1875"/>
      <c r="AE60" s="100"/>
      <c r="AF60" s="100"/>
      <c r="AG60" s="100"/>
      <c r="AH60" s="100"/>
      <c r="AJ60" s="1647"/>
      <c r="AK60" s="1647"/>
      <c r="AL60" s="1647"/>
      <c r="AM60" s="1647"/>
      <c r="AN60" s="1647"/>
      <c r="AO60" s="1647"/>
      <c r="AP60" s="1635" t="s">
        <v>395</v>
      </c>
      <c r="AQ60" s="1635" t="s">
        <v>395</v>
      </c>
      <c r="AR60" s="1647"/>
      <c r="AS60" s="1647"/>
    </row>
    <row r="62" s="1825" customFormat="1" customHeight="1" ht="11.25">
      <c r="A62" s="1825" t="s">
        <v>2141</v>
      </c>
    </row>
    <row r="64" s="1833" customFormat="1" customHeight="1" ht="15">
      <c r="A64" s="156" t="s">
        <v>91</v>
      </c>
      <c r="B64" s="136" t="s">
        <v>22</v>
      </c>
      <c r="C64" s="1836"/>
      <c r="D64" s="139"/>
      <c r="E64" s="392"/>
      <c r="F64" s="392"/>
      <c r="G64" s="1813"/>
      <c r="H64" s="1835"/>
      <c r="I64" s="1814"/>
      <c r="K64" s="283"/>
      <c r="L64" s="284"/>
    </row>
    <row r="66" s="1825" customFormat="1" customHeight="1" ht="11.25">
      <c r="A66" s="1825" t="s">
        <v>2142</v>
      </c>
    </row>
    <row r="68" s="1646" customFormat="1" customHeight="1" ht="14.25">
      <c r="A68" s="354"/>
      <c r="B68" s="1171"/>
      <c r="C68" s="387"/>
      <c r="D68" s="1820"/>
      <c r="E68" s="897"/>
      <c r="F68" s="1835"/>
      <c r="G68" s="100"/>
      <c r="I68" s="1635"/>
      <c r="J68" s="1635"/>
    </row>
    <row r="70" s="1825" customFormat="1" customHeight="1" ht="11.25">
      <c r="A70" s="1825" t="s">
        <v>2143</v>
      </c>
    </row>
    <row r="72" s="1646" customFormat="1" customHeight="1" ht="27">
      <c r="A72" s="1177"/>
      <c r="B72" s="1177"/>
      <c r="C72" s="1177"/>
      <c r="D72" s="1171"/>
      <c r="E72" s="1837"/>
      <c r="F72" s="2611"/>
      <c r="G72" s="2612"/>
      <c r="H72" s="2613" t="s">
        <v>63</v>
      </c>
      <c r="I72" s="2615"/>
      <c r="J72" s="2578"/>
      <c r="K72" s="2617"/>
      <c r="L72" s="2580"/>
      <c r="M72" s="2580"/>
      <c r="N72" s="2581"/>
      <c r="O72" s="2581"/>
      <c r="P72" s="2582">
        <f>DATEDIF(DATEVALUE(N72),DATEVALUE(O72),"y")&amp;"г. "&amp;DATEDIF(DATEVALUE(N72),DATEVALUE(O72),"ym")&amp;"мес. "&amp;DATEVALUE(O72)-DATE(YEAR(DATEVALUE(O72)),MONTH(DATEVALUE(O72)),1)&amp;"дн. "</f>
      </c>
      <c r="Q72" s="2577"/>
      <c r="R72" s="2577"/>
      <c r="S72" s="2577"/>
      <c r="T72" s="2578"/>
      <c r="U72" s="2577"/>
      <c r="V72" s="2577"/>
      <c r="W72" s="2577"/>
      <c r="X72" s="2578"/>
      <c r="Y72" s="2575" t="s">
        <v>63</v>
      </c>
      <c r="Z72" s="1818"/>
      <c r="AA72" s="1802">
        <v>1</v>
      </c>
      <c r="AB72" s="1253"/>
      <c r="AD72" s="1647" t="s">
        <v>2144</v>
      </c>
    </row>
    <row s="1646" customFormat="1" customHeight="1" ht="10.5">
      <c r="A73" s="1177"/>
      <c r="B73" s="1177"/>
      <c r="C73" s="1177"/>
      <c r="D73" s="1171"/>
      <c r="E73" s="958"/>
      <c r="F73" s="2611"/>
      <c r="G73" s="2612"/>
      <c r="H73" s="2614"/>
      <c r="I73" s="2616"/>
      <c r="J73" s="2579"/>
      <c r="K73" s="2617"/>
      <c r="L73" s="2580"/>
      <c r="M73" s="2580"/>
      <c r="N73" s="2581"/>
      <c r="O73" s="2581"/>
      <c r="P73" s="2582"/>
      <c r="Q73" s="2577"/>
      <c r="R73" s="2577"/>
      <c r="S73" s="2577"/>
      <c r="T73" s="2579"/>
      <c r="U73" s="2577"/>
      <c r="V73" s="2577"/>
      <c r="W73" s="2577"/>
      <c r="X73" s="2579"/>
      <c r="Y73" s="2576"/>
      <c r="Z73" s="358"/>
      <c r="AA73" s="583"/>
      <c r="AB73" s="663" t="s">
        <v>1089</v>
      </c>
    </row>
    <row r="75" s="1825" customFormat="1" customHeight="1" ht="11.25">
      <c r="A75" s="1825" t="s">
        <v>2145</v>
      </c>
    </row>
    <row r="77" s="1646" customFormat="1" customHeight="1" ht="27">
      <c r="A77" s="1177"/>
      <c r="B77" s="1177"/>
      <c r="C77" s="1177"/>
      <c r="D77" s="1171"/>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3"/>
      <c r="AD77" s="1647" t="s">
        <v>2144</v>
      </c>
    </row>
    <row r="79" s="1825" customFormat="1" customHeight="1" ht="11.25">
      <c r="A79" s="1825" t="s">
        <v>2146</v>
      </c>
    </row>
    <row customHeight="1" ht="17.25"/>
    <row s="1646" customFormat="1" customHeight="1" ht="21">
      <c r="A81" s="1178"/>
      <c r="B81" s="1177"/>
      <c r="C81" s="1177"/>
      <c r="D81" s="1171"/>
      <c r="E81" s="1181"/>
      <c r="F81" s="1133">
        <f>INDEX(IP_MAIN_LIST_NAME_IP,MATCH(A81,IP_MAIN_LIST_IP_ID,0))&amp;" ("&amp;INDEX(IP_MAIN_START_DATE,MATCH(A81,IP_MAIN_LIST_IP_ID,0))&amp;"-"&amp;INDEX(IP_MAIN_END_DATE,MATCH(A81,IP_MAIN_LIST_IP_ID,0))&amp;")"</f>
      </c>
      <c r="G81" s="1134"/>
      <c r="H81" s="1134"/>
      <c r="I81" s="1196"/>
      <c r="J81" s="1196"/>
      <c r="K81" s="1197"/>
      <c r="L81" s="1197"/>
      <c r="M81" s="1197"/>
      <c r="N81" s="1198"/>
      <c r="O81" s="1198"/>
      <c r="P81" s="1198"/>
      <c r="Q81" s="1198"/>
      <c r="R81" s="1198"/>
      <c r="S81" s="1198"/>
      <c r="T81" s="1198"/>
      <c r="U81" s="1198"/>
      <c r="V81" s="1198"/>
      <c r="W81" s="1198"/>
      <c r="X81" s="1198"/>
      <c r="Y81" s="1198"/>
      <c r="Z81" s="1198"/>
      <c r="AA81" s="1198"/>
      <c r="AB81" s="1198"/>
      <c r="AC81" s="1198"/>
      <c r="AD81" s="1198"/>
      <c r="AE81" s="1199"/>
      <c r="AF81" s="1197"/>
      <c r="AG81" s="1197"/>
      <c r="AH81" s="1197"/>
      <c r="AI81" s="1197"/>
      <c r="AJ81" s="1197"/>
      <c r="AK81" s="1197"/>
      <c r="AL81" s="1996"/>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6" customFormat="1" customHeight="1" ht="0.75">
      <c r="A82" s="1177"/>
      <c r="B82" s="1177"/>
      <c r="C82" s="1177"/>
      <c r="D82" s="1171"/>
      <c r="E82" s="1181"/>
      <c r="F82" s="2566"/>
      <c r="G82" s="2545"/>
      <c r="H82" s="2570" t="s">
        <v>390</v>
      </c>
      <c r="I82" s="2571"/>
      <c r="J82" s="2572"/>
      <c r="K82" s="2572"/>
      <c r="L82" s="2564"/>
      <c r="M82" s="2298"/>
      <c r="N82" s="2044"/>
      <c r="O82" s="2043"/>
      <c r="P82" s="2044"/>
      <c r="Q82" s="2044"/>
      <c r="R82" s="2044"/>
      <c r="S82" s="2044"/>
      <c r="T82" s="2044"/>
      <c r="U82" s="2044"/>
      <c r="V82" s="2044"/>
      <c r="W82" s="2044"/>
      <c r="X82" s="2044"/>
      <c r="Y82" s="2044"/>
      <c r="Z82" s="2044"/>
      <c r="AA82" s="2044"/>
      <c r="AB82" s="2044"/>
      <c r="AC82" s="2044"/>
      <c r="AD82" s="2044"/>
      <c r="AE82" s="2044"/>
      <c r="AF82" s="2568"/>
      <c r="AG82" s="2564"/>
      <c r="AH82" s="2564"/>
      <c r="AI82" s="2568"/>
      <c r="AJ82" s="2564"/>
      <c r="AK82" s="2564"/>
      <c r="AL82" s="1996"/>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6" customFormat="1" customHeight="1" ht="0.75">
      <c r="A83" s="1177"/>
      <c r="B83" s="1177"/>
      <c r="C83" s="1177"/>
      <c r="D83" s="1171"/>
      <c r="E83" s="1181"/>
      <c r="F83" s="2566"/>
      <c r="G83" s="2545"/>
      <c r="H83" s="2570"/>
      <c r="I83" s="2571"/>
      <c r="J83" s="2572"/>
      <c r="K83" s="2572"/>
      <c r="L83" s="2564"/>
      <c r="M83" s="2298"/>
      <c r="N83" s="2573"/>
      <c r="O83" s="2574"/>
      <c r="P83" s="2618"/>
      <c r="Q83" s="2569"/>
      <c r="R83" s="2569"/>
      <c r="S83" s="2569"/>
      <c r="T83" s="2569"/>
      <c r="U83" s="2569"/>
      <c r="V83" s="2569"/>
      <c r="W83" s="2569"/>
      <c r="X83" s="2569"/>
      <c r="Y83" s="2569"/>
      <c r="Z83" s="2045"/>
      <c r="AA83" s="2046"/>
      <c r="AB83" s="2046"/>
      <c r="AC83" s="2047"/>
      <c r="AD83" s="2047"/>
      <c r="AE83" s="2048"/>
      <c r="AF83" s="2568"/>
      <c r="AG83" s="2564"/>
      <c r="AH83" s="2564"/>
      <c r="AI83" s="2568"/>
      <c r="AJ83" s="2564"/>
      <c r="AK83" s="2564"/>
      <c r="AL83" s="1996"/>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6" customFormat="1" customHeight="1" ht="0.75">
      <c r="A84" s="1177"/>
      <c r="B84" s="1177"/>
      <c r="C84" s="1177"/>
      <c r="D84" s="1171"/>
      <c r="E84" s="1181"/>
      <c r="F84" s="2566"/>
      <c r="G84" s="2545"/>
      <c r="H84" s="2570"/>
      <c r="I84" s="2571"/>
      <c r="J84" s="2572"/>
      <c r="K84" s="2572"/>
      <c r="L84" s="2564"/>
      <c r="M84" s="2298"/>
      <c r="N84" s="2573"/>
      <c r="O84" s="2574"/>
      <c r="P84" s="2619"/>
      <c r="Q84" s="2569"/>
      <c r="R84" s="2569"/>
      <c r="S84" s="2569"/>
      <c r="T84" s="2569"/>
      <c r="U84" s="2569"/>
      <c r="V84" s="2569"/>
      <c r="W84" s="2569"/>
      <c r="X84" s="2569"/>
      <c r="Y84" s="2569"/>
      <c r="Z84" s="2049"/>
      <c r="AA84" s="2050"/>
      <c r="AB84" s="2051"/>
      <c r="AC84" s="2052"/>
      <c r="AD84" s="2051"/>
      <c r="AE84" s="2052"/>
      <c r="AF84" s="2568"/>
      <c r="AG84" s="2564"/>
      <c r="AH84" s="2564"/>
      <c r="AI84" s="2568"/>
      <c r="AJ84" s="2564"/>
      <c r="AK84" s="2564"/>
      <c r="AL84" s="1996"/>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6" customFormat="1" customHeight="1" ht="0.75">
      <c r="A85" s="1177"/>
      <c r="B85" s="1177"/>
      <c r="C85" s="1177"/>
      <c r="D85" s="1171"/>
      <c r="E85" s="1181"/>
      <c r="F85" s="2566"/>
      <c r="G85" s="2545"/>
      <c r="H85" s="2570"/>
      <c r="I85" s="2571"/>
      <c r="J85" s="2572"/>
      <c r="K85" s="2572"/>
      <c r="L85" s="2564"/>
      <c r="M85" s="2298"/>
      <c r="N85" s="2573"/>
      <c r="O85" s="2574"/>
      <c r="P85" s="2620"/>
      <c r="Q85" s="2569"/>
      <c r="R85" s="2569"/>
      <c r="S85" s="2569"/>
      <c r="T85" s="2569"/>
      <c r="U85" s="2569"/>
      <c r="V85" s="2569"/>
      <c r="W85" s="2569"/>
      <c r="X85" s="2569"/>
      <c r="Y85" s="2569"/>
      <c r="Z85" s="2045"/>
      <c r="AA85" s="2046"/>
      <c r="AB85" s="2053"/>
      <c r="AC85" s="2047"/>
      <c r="AD85" s="2047"/>
      <c r="AE85" s="2054"/>
      <c r="AF85" s="2568"/>
      <c r="AG85" s="2564"/>
      <c r="AH85" s="2564"/>
      <c r="AI85" s="2568"/>
      <c r="AJ85" s="2564"/>
      <c r="AK85" s="2564"/>
      <c r="AL85" s="1996"/>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6" customFormat="1" customHeight="1" ht="0.75">
      <c r="A86" s="1177"/>
      <c r="B86" s="1177"/>
      <c r="C86" s="1177"/>
      <c r="D86" s="1171"/>
      <c r="E86" s="1181"/>
      <c r="F86" s="2566"/>
      <c r="G86" s="2545"/>
      <c r="H86" s="2570"/>
      <c r="I86" s="2571"/>
      <c r="J86" s="2572"/>
      <c r="K86" s="2572"/>
      <c r="L86" s="2564"/>
      <c r="M86" s="2298"/>
      <c r="N86" s="2046"/>
      <c r="O86" s="2046"/>
      <c r="P86" s="2053"/>
      <c r="Q86" s="2046"/>
      <c r="R86" s="2046"/>
      <c r="S86" s="2046"/>
      <c r="T86" s="2046"/>
      <c r="U86" s="2046"/>
      <c r="V86" s="2046"/>
      <c r="W86" s="2046"/>
      <c r="X86" s="2046"/>
      <c r="Y86" s="2046"/>
      <c r="Z86" s="2046"/>
      <c r="AA86" s="2046"/>
      <c r="AB86" s="2046"/>
      <c r="AC86" s="2046"/>
      <c r="AD86" s="2046"/>
      <c r="AE86" s="2055"/>
      <c r="AF86" s="2568"/>
      <c r="AG86" s="2564"/>
      <c r="AH86" s="2564"/>
      <c r="AI86" s="2568"/>
      <c r="AJ86" s="2564"/>
      <c r="AK86" s="2564"/>
      <c r="AL86" s="1996"/>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6" customFormat="1" customHeight="1" ht="12">
      <c r="A87" s="1177"/>
      <c r="B87" s="1177"/>
      <c r="C87" s="1177"/>
      <c r="D87" s="1171"/>
      <c r="E87" s="1181"/>
      <c r="F87" s="2567"/>
      <c r="G87" s="1201"/>
      <c r="H87" s="1201"/>
      <c r="I87" s="2565" t="s">
        <v>1132</v>
      </c>
      <c r="J87" s="2565"/>
      <c r="K87" s="2565"/>
      <c r="L87" s="1184"/>
      <c r="M87" s="1184"/>
      <c r="N87" s="1185"/>
      <c r="O87" s="1185"/>
      <c r="P87" s="1185"/>
      <c r="Q87" s="1185"/>
      <c r="R87" s="1185"/>
      <c r="S87" s="1185"/>
      <c r="T87" s="1185"/>
      <c r="U87" s="1185"/>
      <c r="V87" s="1185"/>
      <c r="W87" s="1185"/>
      <c r="X87" s="1185"/>
      <c r="Y87" s="1185"/>
      <c r="Z87" s="1185"/>
      <c r="AA87" s="1185"/>
      <c r="AB87" s="1185"/>
      <c r="AC87" s="1185"/>
      <c r="AD87" s="1185"/>
      <c r="AE87" s="1185"/>
      <c r="AF87" s="1185"/>
      <c r="AG87" s="1184"/>
      <c r="AH87" s="1184"/>
      <c r="AI87" s="1185"/>
      <c r="AJ87" s="1184"/>
      <c r="AK87" s="1185"/>
      <c r="AL87" s="1996"/>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2147</v>
      </c>
    </row>
    <row r="91" s="1646" customFormat="1" customHeight="1" ht="11.25">
      <c r="A91" s="1177"/>
      <c r="B91" s="1177"/>
      <c r="C91" s="1177"/>
      <c r="D91" s="1171"/>
      <c r="E91" s="1181"/>
      <c r="F91" s="1839"/>
      <c r="G91" s="1840"/>
      <c r="H91" s="1840"/>
      <c r="I91" s="1774"/>
      <c r="J91" s="1774"/>
      <c r="K91" s="1841"/>
      <c r="L91" s="1774"/>
      <c r="M91" s="1840"/>
      <c r="N91" s="2538"/>
      <c r="O91" s="2621">
        <v>1</v>
      </c>
      <c r="P91" s="2540" t="s">
        <v>19</v>
      </c>
      <c r="Q91" s="2543" t="s">
        <v>22</v>
      </c>
      <c r="R91" s="2543" t="s">
        <v>22</v>
      </c>
      <c r="S91" s="2543" t="s">
        <v>22</v>
      </c>
      <c r="T91" s="2543" t="s">
        <v>22</v>
      </c>
      <c r="U91" s="2543" t="s">
        <v>22</v>
      </c>
      <c r="V91" s="2543" t="s">
        <v>22</v>
      </c>
      <c r="W91" s="2543" t="s">
        <v>22</v>
      </c>
      <c r="X91" s="2543" t="s">
        <v>22</v>
      </c>
      <c r="Y91" s="2543"/>
      <c r="Z91" s="1186"/>
      <c r="AA91" s="1187"/>
      <c r="AB91" s="1187"/>
      <c r="AC91" s="1191"/>
      <c r="AD91" s="1191"/>
      <c r="AE91" s="1191"/>
      <c r="AF91" s="2098"/>
      <c r="AG91" s="1769"/>
      <c r="AH91" s="1769"/>
      <c r="AI91" s="2098"/>
      <c r="AJ91" s="1769"/>
      <c r="AK91" s="1995"/>
      <c r="AL91" s="1996"/>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6" customFormat="1" customHeight="1" ht="11.25">
      <c r="A92" s="1177"/>
      <c r="B92" s="1177"/>
      <c r="C92" s="1177"/>
      <c r="D92" s="1171"/>
      <c r="E92" s="1181"/>
      <c r="F92" s="1839"/>
      <c r="G92" s="1840"/>
      <c r="H92" s="1840"/>
      <c r="I92" s="1775"/>
      <c r="J92" s="1775"/>
      <c r="K92" s="1841"/>
      <c r="L92" s="1775"/>
      <c r="M92" s="1840"/>
      <c r="N92" s="2538"/>
      <c r="O92" s="2621"/>
      <c r="P92" s="2541"/>
      <c r="Q92" s="2543"/>
      <c r="R92" s="2543"/>
      <c r="S92" s="2544"/>
      <c r="T92" s="2543"/>
      <c r="U92" s="2543"/>
      <c r="V92" s="2543"/>
      <c r="W92" s="2543"/>
      <c r="X92" s="2543"/>
      <c r="Y92" s="2543"/>
      <c r="Z92" s="1838"/>
      <c r="AA92" s="1804">
        <v>1</v>
      </c>
      <c r="AB92" s="1190"/>
      <c r="AC92" s="1180"/>
      <c r="AD92" s="1190">
        <f>AB92</f>
        <v>0</v>
      </c>
      <c r="AE92" s="735"/>
      <c r="AF92" s="2099"/>
      <c r="AG92" s="1769"/>
      <c r="AH92" s="1769"/>
      <c r="AI92" s="2099"/>
      <c r="AJ92" s="1769"/>
      <c r="AK92" s="1995"/>
      <c r="AL92" s="1996"/>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6" customFormat="1" customHeight="1" ht="11.25">
      <c r="A93" s="1177"/>
      <c r="B93" s="1177"/>
      <c r="C93" s="1177"/>
      <c r="D93" s="1171"/>
      <c r="E93" s="1181"/>
      <c r="F93" s="1839"/>
      <c r="G93" s="1840"/>
      <c r="H93" s="1840"/>
      <c r="I93" s="1776"/>
      <c r="J93" s="1776"/>
      <c r="K93" s="1841"/>
      <c r="L93" s="1776"/>
      <c r="M93" s="1840"/>
      <c r="N93" s="2538"/>
      <c r="O93" s="2621"/>
      <c r="P93" s="2542"/>
      <c r="Q93" s="2543"/>
      <c r="R93" s="2543"/>
      <c r="S93" s="2544"/>
      <c r="T93" s="2543"/>
      <c r="U93" s="2543"/>
      <c r="V93" s="2543"/>
      <c r="W93" s="2543"/>
      <c r="X93" s="2543"/>
      <c r="Y93" s="2543"/>
      <c r="Z93" s="1186"/>
      <c r="AA93" s="1187"/>
      <c r="AB93" s="1252" t="s">
        <v>1130</v>
      </c>
      <c r="AC93" s="1191"/>
      <c r="AD93" s="1191"/>
      <c r="AE93" s="1191"/>
      <c r="AF93" s="2100"/>
      <c r="AG93" s="1769"/>
      <c r="AH93" s="1769"/>
      <c r="AI93" s="2100"/>
      <c r="AJ93" s="1769"/>
      <c r="AK93" s="1995"/>
      <c r="AL93" s="1996"/>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2148</v>
      </c>
    </row>
    <row r="97" s="1646" customFormat="1" customHeight="1" ht="11.25">
      <c r="A97" s="1177"/>
      <c r="B97" s="1177"/>
      <c r="C97" s="1177"/>
      <c r="D97" s="1171"/>
      <c r="E97" s="1181"/>
      <c r="F97" s="1840"/>
      <c r="G97" s="1840"/>
      <c r="H97" s="1840"/>
      <c r="I97" s="1840"/>
      <c r="J97" s="1840"/>
      <c r="K97" s="1840"/>
      <c r="L97" s="1840"/>
      <c r="M97" s="1840"/>
      <c r="N97" s="1840"/>
      <c r="O97" s="1840"/>
      <c r="P97" s="1840"/>
      <c r="Q97" s="1840"/>
      <c r="R97" s="1840"/>
      <c r="S97" s="1840"/>
      <c r="T97" s="1840"/>
      <c r="U97" s="1840"/>
      <c r="V97" s="1840"/>
      <c r="W97" s="1840"/>
      <c r="X97" s="1840"/>
      <c r="Y97" s="1840"/>
      <c r="Z97" s="1842"/>
      <c r="AA97" s="1824">
        <v>1</v>
      </c>
      <c r="AB97" s="1190"/>
      <c r="AC97" s="1180"/>
      <c r="AD97" s="1190">
        <f>AB97</f>
        <v>0</v>
      </c>
      <c r="AE97" s="1180"/>
      <c r="AF97" s="2097"/>
      <c r="AG97" s="1769"/>
      <c r="AH97" s="1769"/>
      <c r="AI97" s="2097"/>
      <c r="AJ97" s="1769"/>
      <c r="AK97" s="1995"/>
      <c r="AL97" s="1996"/>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2149</v>
      </c>
    </row>
    <row r="101" s="1646" customFormat="1" customHeight="1" ht="11.25">
      <c r="A101" s="1177"/>
      <c r="B101" s="1177"/>
      <c r="C101" s="1177"/>
      <c r="D101" s="1171"/>
      <c r="E101" s="1181"/>
      <c r="F101" s="1839"/>
      <c r="G101" s="1840"/>
      <c r="H101" s="2545" t="s">
        <v>120</v>
      </c>
      <c r="I101" s="2546"/>
      <c r="J101" s="2515"/>
      <c r="K101" s="2547"/>
      <c r="L101" s="2137" t="s">
        <v>19</v>
      </c>
      <c r="M101" s="2138"/>
      <c r="N101" s="1994"/>
      <c r="O101" s="1188" t="s">
        <v>390</v>
      </c>
      <c r="P101" s="1189"/>
      <c r="Q101" s="1189"/>
      <c r="R101" s="1189"/>
      <c r="S101" s="1189"/>
      <c r="T101" s="1189"/>
      <c r="U101" s="1189"/>
      <c r="V101" s="1189"/>
      <c r="W101" s="1189"/>
      <c r="X101" s="1189"/>
      <c r="Y101" s="1189"/>
      <c r="Z101" s="1189"/>
      <c r="AA101" s="1189"/>
      <c r="AB101" s="1189"/>
      <c r="AC101" s="1189"/>
      <c r="AD101" s="1189"/>
      <c r="AE101" s="1189"/>
      <c r="AF101" s="2536"/>
      <c r="AG101" s="2537"/>
      <c r="AH101" s="2537"/>
      <c r="AI101" s="2536"/>
      <c r="AJ101" s="2537"/>
      <c r="AK101" s="2537"/>
      <c r="AL101" s="1996"/>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6" customFormat="1" customHeight="1" ht="11.25">
      <c r="A102" s="1177"/>
      <c r="B102" s="1177"/>
      <c r="C102" s="1177"/>
      <c r="D102" s="1171"/>
      <c r="E102" s="1181"/>
      <c r="F102" s="1839"/>
      <c r="G102" s="1840"/>
      <c r="H102" s="2545"/>
      <c r="I102" s="2546"/>
      <c r="J102" s="2515"/>
      <c r="K102" s="2547"/>
      <c r="L102" s="2137"/>
      <c r="M102" s="2138"/>
      <c r="N102" s="2538"/>
      <c r="O102" s="2539">
        <v>1</v>
      </c>
      <c r="P102" s="2540" t="s">
        <v>19</v>
      </c>
      <c r="Q102" s="2543" t="s">
        <v>22</v>
      </c>
      <c r="R102" s="2543" t="s">
        <v>22</v>
      </c>
      <c r="S102" s="2543" t="s">
        <v>22</v>
      </c>
      <c r="T102" s="2543" t="s">
        <v>22</v>
      </c>
      <c r="U102" s="2543" t="s">
        <v>22</v>
      </c>
      <c r="V102" s="2543" t="s">
        <v>22</v>
      </c>
      <c r="W102" s="2543" t="s">
        <v>22</v>
      </c>
      <c r="X102" s="2543" t="s">
        <v>22</v>
      </c>
      <c r="Y102" s="2543"/>
      <c r="Z102" s="1186"/>
      <c r="AA102" s="1187"/>
      <c r="AB102" s="1187"/>
      <c r="AC102" s="1191"/>
      <c r="AD102" s="1191"/>
      <c r="AE102" s="1192"/>
      <c r="AF102" s="2536"/>
      <c r="AG102" s="2537"/>
      <c r="AH102" s="2537"/>
      <c r="AI102" s="2536"/>
      <c r="AJ102" s="2537"/>
      <c r="AK102" s="2537"/>
      <c r="AL102" s="1996"/>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6" customFormat="1" customHeight="1" ht="11.25">
      <c r="A103" s="1177"/>
      <c r="B103" s="1177"/>
      <c r="C103" s="1177"/>
      <c r="D103" s="1171"/>
      <c r="E103" s="1181"/>
      <c r="F103" s="1839"/>
      <c r="G103" s="1840"/>
      <c r="H103" s="2545"/>
      <c r="I103" s="2546"/>
      <c r="J103" s="2515"/>
      <c r="K103" s="2547"/>
      <c r="L103" s="2137"/>
      <c r="M103" s="2138"/>
      <c r="N103" s="2538"/>
      <c r="O103" s="2539"/>
      <c r="P103" s="2541"/>
      <c r="Q103" s="2543"/>
      <c r="R103" s="2543"/>
      <c r="S103" s="2544"/>
      <c r="T103" s="2543"/>
      <c r="U103" s="2543"/>
      <c r="V103" s="2543"/>
      <c r="W103" s="2543"/>
      <c r="X103" s="2543"/>
      <c r="Y103" s="2543"/>
      <c r="Z103" s="1838"/>
      <c r="AA103" s="1804">
        <v>1</v>
      </c>
      <c r="AB103" s="1190"/>
      <c r="AC103" s="1180"/>
      <c r="AD103" s="1190">
        <f>AB103</f>
        <v>0</v>
      </c>
      <c r="AE103" s="1180"/>
      <c r="AF103" s="2536"/>
      <c r="AG103" s="2537"/>
      <c r="AH103" s="2537"/>
      <c r="AI103" s="2536"/>
      <c r="AJ103" s="2537"/>
      <c r="AK103" s="2537"/>
      <c r="AL103" s="1996"/>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6" customFormat="1" customHeight="1" ht="11.25">
      <c r="A104" s="1177"/>
      <c r="B104" s="1177"/>
      <c r="C104" s="1177"/>
      <c r="D104" s="1171"/>
      <c r="E104" s="1181"/>
      <c r="F104" s="1839"/>
      <c r="G104" s="1840"/>
      <c r="H104" s="2545"/>
      <c r="I104" s="2546"/>
      <c r="J104" s="2515"/>
      <c r="K104" s="2547"/>
      <c r="L104" s="2137"/>
      <c r="M104" s="2138"/>
      <c r="N104" s="2538"/>
      <c r="O104" s="2539"/>
      <c r="P104" s="2542"/>
      <c r="Q104" s="2543"/>
      <c r="R104" s="2543"/>
      <c r="S104" s="2544"/>
      <c r="T104" s="2543"/>
      <c r="U104" s="2543"/>
      <c r="V104" s="2543"/>
      <c r="W104" s="2543"/>
      <c r="X104" s="2543"/>
      <c r="Y104" s="2543"/>
      <c r="Z104" s="1186"/>
      <c r="AA104" s="1187"/>
      <c r="AB104" s="1252" t="s">
        <v>1130</v>
      </c>
      <c r="AC104" s="1191"/>
      <c r="AD104" s="1191"/>
      <c r="AE104" s="1193"/>
      <c r="AF104" s="2536"/>
      <c r="AG104" s="2537"/>
      <c r="AH104" s="2537"/>
      <c r="AI104" s="2536"/>
      <c r="AJ104" s="2537"/>
      <c r="AK104" s="2537"/>
      <c r="AL104" s="1996"/>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6" customFormat="1" customHeight="1" ht="11.25">
      <c r="A105" s="1177"/>
      <c r="B105" s="1177"/>
      <c r="C105" s="1177"/>
      <c r="D105" s="1171"/>
      <c r="E105" s="1181"/>
      <c r="F105" s="1839"/>
      <c r="G105" s="1840"/>
      <c r="H105" s="2545"/>
      <c r="I105" s="2546"/>
      <c r="J105" s="2515"/>
      <c r="K105" s="2547"/>
      <c r="L105" s="2137"/>
      <c r="M105" s="2138"/>
      <c r="N105" s="1186"/>
      <c r="O105" s="1187"/>
      <c r="P105" s="1179" t="s">
        <v>1131</v>
      </c>
      <c r="Q105" s="1187"/>
      <c r="R105" s="1187"/>
      <c r="S105" s="1187"/>
      <c r="T105" s="1187"/>
      <c r="U105" s="1187"/>
      <c r="V105" s="1187"/>
      <c r="W105" s="1187"/>
      <c r="X105" s="1187"/>
      <c r="Y105" s="1187"/>
      <c r="Z105" s="1187"/>
      <c r="AA105" s="1187"/>
      <c r="AB105" s="1187"/>
      <c r="AC105" s="1187"/>
      <c r="AD105" s="1187"/>
      <c r="AE105" s="1194"/>
      <c r="AF105" s="2536"/>
      <c r="AG105" s="2537"/>
      <c r="AH105" s="2537"/>
      <c r="AI105" s="2536"/>
      <c r="AJ105" s="2537"/>
      <c r="AK105" s="2537"/>
      <c r="AL105" s="1996"/>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2150</v>
      </c>
    </row>
    <row customHeight="1" ht="17.25"/>
    <row s="936" customFormat="1" customHeight="1" ht="21">
      <c r="A109" s="1178"/>
      <c r="B109" s="951"/>
      <c r="D109" s="935"/>
      <c r="E109" s="950" t="s">
        <v>22</v>
      </c>
      <c r="F109" s="1132">
        <f>INDEX(IP_MAIN_LIST_NAME_IP,MATCH(A109,IP_MAIN_LIST_IP_ID,0))&amp;" ("&amp;INDEX(IP_MAIN_START_DATE,MATCH(A109,IP_MAIN_LIST_IP_ID,0))&amp;"-"&amp;INDEX(IP_MAIN_END_DATE,MATCH(A109,IP_MAIN_LIST_IP_ID,0))&amp;")"</f>
      </c>
      <c r="G109" s="1214"/>
      <c r="H109" s="1215"/>
      <c r="I109" s="1215"/>
      <c r="J109" s="1215"/>
      <c r="K109" s="1215"/>
      <c r="L109" s="1215"/>
      <c r="M109" s="1215"/>
      <c r="N109" s="1215"/>
      <c r="O109" s="1214"/>
      <c r="P109" s="1214"/>
      <c r="Q109" s="1214"/>
      <c r="R109" s="1214"/>
      <c r="S109" s="1214"/>
      <c r="T109" s="1214"/>
      <c r="U109" s="1216"/>
      <c r="V109" s="1216"/>
      <c r="W109" s="1216"/>
      <c r="X109" s="1216"/>
      <c r="Y109" s="1216"/>
      <c r="Z109" s="1216"/>
      <c r="AA109" s="1216"/>
      <c r="AB109" s="1214"/>
      <c r="AC109" s="1215"/>
      <c r="AD109" s="1215"/>
      <c r="AE109" s="1215"/>
      <c r="AF109" s="1215"/>
      <c r="AG109" s="1215"/>
      <c r="AH109" s="1215"/>
      <c r="AI109" s="1215"/>
      <c r="AJ109" s="1215"/>
      <c r="AK109" s="1215"/>
      <c r="AL109" s="1215"/>
      <c r="AM109" s="1215"/>
      <c r="AN109" s="1215"/>
      <c r="AO109" s="1215"/>
      <c r="AP109" s="1215"/>
      <c r="AQ109" s="1215"/>
      <c r="AR109" s="1215"/>
      <c r="AS109" s="1215"/>
      <c r="AT109" s="1215"/>
      <c r="AU109" s="1215"/>
      <c r="AV109" s="1215"/>
      <c r="AW109" s="1215"/>
      <c r="AX109" s="1215"/>
      <c r="AY109" s="1215"/>
      <c r="AZ109" s="1215"/>
      <c r="BA109" s="1215"/>
      <c r="BB109" s="1215"/>
      <c r="BC109" s="1215"/>
      <c r="BD109" s="1215"/>
      <c r="BE109" s="1215"/>
      <c r="BF109" s="1215"/>
      <c r="BG109" s="1215"/>
      <c r="BH109" s="1215"/>
      <c r="BI109" s="1215"/>
      <c r="BJ109" s="1215"/>
      <c r="BK109" s="1215"/>
      <c r="BL109" s="1215"/>
      <c r="BM109" s="1215"/>
      <c r="BN109" s="1215"/>
      <c r="BO109" s="1215"/>
      <c r="BP109" s="1215"/>
      <c r="BQ109" s="1215"/>
      <c r="BR109" s="1215"/>
      <c r="BS109" s="1215"/>
      <c r="BT109" s="1215"/>
      <c r="BU109" s="1215"/>
      <c r="BV109" s="1215"/>
      <c r="BW109" s="1215"/>
      <c r="BX109" s="1215"/>
      <c r="BY109" s="1215"/>
      <c r="BZ109" s="1215"/>
      <c r="CA109" s="1215"/>
      <c r="CB109" s="1215"/>
      <c r="CC109" s="1215"/>
      <c r="CD109" s="1215"/>
      <c r="CE109" s="1215"/>
      <c r="CF109" s="1215"/>
      <c r="CG109" s="1215"/>
      <c r="CH109" s="1215"/>
      <c r="CI109" s="1215"/>
      <c r="CJ109" s="1215"/>
      <c r="CK109" s="1215"/>
      <c r="CL109" s="1217"/>
      <c r="CM109" s="1217"/>
      <c r="CN109" s="1217"/>
      <c r="CO109" s="1217"/>
      <c r="CP109" s="1217"/>
      <c r="CQ109" s="1217"/>
      <c r="CR109" s="1217"/>
      <c r="CS109" s="1217"/>
      <c r="CT109" s="1217"/>
      <c r="CU109" s="1217"/>
      <c r="CV109" s="1217"/>
      <c r="CW109" s="1217"/>
      <c r="CX109" s="1217"/>
      <c r="CY109" s="1217"/>
      <c r="CZ109" s="1217"/>
      <c r="DA109" s="1217"/>
      <c r="DB109" s="1217"/>
      <c r="DC109" s="1217"/>
      <c r="DD109" s="1217"/>
      <c r="DE109" s="1217"/>
      <c r="DF109" s="1217"/>
      <c r="DG109" s="1217"/>
      <c r="DH109" s="1217"/>
      <c r="DI109" s="1217"/>
      <c r="DJ109" s="1217"/>
      <c r="DK109" s="1217"/>
      <c r="DL109" s="1217"/>
      <c r="DM109" s="1217"/>
      <c r="DN109" s="1217"/>
      <c r="DO109" s="1217"/>
      <c r="DP109" s="1217"/>
      <c r="DQ109" s="1217"/>
      <c r="DR109" s="1217"/>
      <c r="DS109" s="1217"/>
      <c r="DT109" s="1217"/>
      <c r="DU109" s="1217"/>
      <c r="DV109" s="1217"/>
      <c r="DW109" s="1217"/>
      <c r="DX109" s="1217"/>
      <c r="DY109" s="1217"/>
      <c r="DZ109" s="1217"/>
      <c r="EA109" s="1217"/>
      <c r="EB109" s="1217"/>
      <c r="EC109" s="1217"/>
      <c r="ED109" s="1217"/>
      <c r="EE109" s="1217"/>
      <c r="EF109" s="1217"/>
      <c r="EG109" s="1217"/>
      <c r="EH109" s="1217"/>
      <c r="EI109" s="1217"/>
      <c r="EJ109" s="1217"/>
      <c r="EK109" s="1217"/>
      <c r="EL109" s="1217"/>
      <c r="EM109" s="1217"/>
      <c r="EN109" s="1217"/>
      <c r="EO109" s="1217"/>
      <c r="EP109" s="1217"/>
      <c r="EQ109" s="1217"/>
      <c r="ER109" s="1217"/>
      <c r="ES109" s="1217"/>
      <c r="ET109" s="1217"/>
      <c r="EU109" s="1217"/>
      <c r="EV109" s="1217"/>
      <c r="EW109" s="1217"/>
      <c r="EX109" s="1217"/>
      <c r="EY109" s="1217"/>
      <c r="EZ109" s="1217"/>
      <c r="FA109" s="1217"/>
      <c r="FB109" s="1217"/>
      <c r="FC109" s="1217"/>
      <c r="FD109" s="1217"/>
      <c r="FE109" s="1217"/>
      <c r="FF109" s="1217"/>
      <c r="FG109" s="1217"/>
      <c r="FH109" s="1217"/>
      <c r="FI109" s="1217"/>
      <c r="FJ109" s="1217"/>
      <c r="FK109" s="1217"/>
      <c r="FL109" s="1217"/>
      <c r="FM109" s="1217"/>
      <c r="FN109" s="1217"/>
      <c r="FO109" s="1217"/>
      <c r="FP109" s="1217"/>
      <c r="FQ109" s="1217"/>
      <c r="FR109" s="1217"/>
      <c r="FS109" s="1217"/>
      <c r="FT109" s="1217"/>
      <c r="FU109" s="1217"/>
      <c r="FV109" s="1218"/>
      <c r="FW109" s="1212"/>
      <c r="FX109" s="1213"/>
    </row>
    <row s="936" customFormat="1" customHeight="1" ht="24.75">
      <c r="B110" s="934"/>
      <c r="C110" s="935"/>
      <c r="D110" s="935"/>
      <c r="E110" s="1843"/>
      <c r="F110" s="1219">
        <v>1</v>
      </c>
      <c r="G110" s="1220"/>
      <c r="H110" s="1221"/>
      <c r="I110" s="1990"/>
      <c r="J110" s="1222"/>
      <c r="K110" s="1222"/>
      <c r="L110" s="1222"/>
      <c r="M110" s="1222"/>
      <c r="N110" s="1222"/>
      <c r="O110" s="1223"/>
      <c r="P110" s="1223"/>
      <c r="Q110" s="1223"/>
      <c r="R110" s="1223"/>
      <c r="S110" s="1223"/>
      <c r="T110" s="1223"/>
      <c r="U110" s="1223"/>
      <c r="V110" s="1223"/>
      <c r="W110" s="1223"/>
      <c r="X110" s="1223"/>
      <c r="Y110" s="1223"/>
      <c r="Z110" s="1223"/>
      <c r="AA110" s="1223"/>
      <c r="AB110" s="1223"/>
      <c r="AC110" s="1222"/>
      <c r="AD110" s="1222"/>
      <c r="AE110" s="1222"/>
      <c r="AF110" s="1222"/>
      <c r="AG110" s="1222"/>
      <c r="AH110" s="1222"/>
      <c r="AI110" s="1222"/>
      <c r="AJ110" s="1222"/>
      <c r="AK110" s="1222"/>
      <c r="AL110" s="1222"/>
      <c r="AM110" s="1222"/>
      <c r="AN110" s="1222"/>
      <c r="AO110" s="1222"/>
      <c r="AP110" s="1222"/>
      <c r="AQ110" s="1222"/>
      <c r="AR110" s="1222"/>
      <c r="AS110" s="1222"/>
      <c r="AT110" s="1222"/>
      <c r="AU110" s="1222"/>
      <c r="AV110" s="1222"/>
      <c r="AW110" s="1222"/>
      <c r="AX110" s="1222"/>
      <c r="AY110" s="1222"/>
      <c r="AZ110" s="1222"/>
      <c r="BA110" s="1222"/>
      <c r="BB110" s="1222"/>
      <c r="BC110" s="1222"/>
      <c r="BD110" s="1222"/>
      <c r="BE110" s="1222"/>
      <c r="BF110" s="1222"/>
      <c r="BG110" s="1222"/>
      <c r="BH110" s="1222"/>
      <c r="BI110" s="1222"/>
      <c r="BJ110" s="1222"/>
      <c r="BK110" s="1222"/>
      <c r="BL110" s="1222"/>
      <c r="BM110" s="1222"/>
      <c r="BN110" s="1222"/>
      <c r="BO110" s="1222"/>
      <c r="BP110" s="1222"/>
      <c r="BQ110" s="1222"/>
      <c r="BR110" s="1222"/>
      <c r="BS110" s="1222"/>
      <c r="BT110" s="1223"/>
      <c r="BU110" s="1223"/>
      <c r="BV110" s="1223"/>
      <c r="BW110" s="1223"/>
      <c r="BX110" s="1223"/>
      <c r="BY110" s="1223"/>
      <c r="BZ110" s="1223"/>
      <c r="CA110" s="1223"/>
      <c r="CB110" s="1223"/>
      <c r="CC110" s="1223"/>
      <c r="CD110" s="1223"/>
      <c r="CE110" s="1223"/>
      <c r="CF110" s="1223"/>
      <c r="CG110" s="1223"/>
      <c r="CH110" s="1223"/>
      <c r="CI110" s="1223"/>
      <c r="CJ110" s="1223"/>
      <c r="CK110" s="1223"/>
      <c r="CL110" s="1222"/>
      <c r="CM110" s="1222"/>
      <c r="CN110" s="1222"/>
      <c r="CO110" s="1222"/>
      <c r="CP110" s="1222"/>
      <c r="CQ110" s="1222"/>
      <c r="CR110" s="1222"/>
      <c r="CS110" s="1222"/>
      <c r="CT110" s="1222"/>
      <c r="CU110" s="1222"/>
      <c r="CV110" s="1222"/>
      <c r="CW110" s="1222"/>
      <c r="CX110" s="1222"/>
      <c r="CY110" s="1223"/>
      <c r="CZ110" s="1223"/>
      <c r="DA110" s="1223"/>
      <c r="DB110" s="1223"/>
      <c r="DC110" s="1223"/>
      <c r="DD110" s="1223"/>
      <c r="DE110" s="1223"/>
      <c r="DF110" s="1223"/>
      <c r="DG110" s="1223"/>
      <c r="DH110" s="1223"/>
      <c r="DI110" s="1223"/>
      <c r="DJ110" s="1223"/>
      <c r="DK110" s="1222"/>
      <c r="DL110" s="1222"/>
      <c r="DM110" s="1222"/>
      <c r="DN110" s="1222"/>
      <c r="DO110" s="1222"/>
      <c r="DP110" s="1222"/>
      <c r="DQ110" s="1222"/>
      <c r="DR110" s="1222"/>
      <c r="DS110" s="1222"/>
      <c r="DT110" s="1222"/>
      <c r="DU110" s="1222"/>
      <c r="DV110" s="1222"/>
      <c r="DW110" s="1222"/>
      <c r="DX110" s="1222"/>
      <c r="DY110" s="1222"/>
      <c r="DZ110" s="1222"/>
      <c r="EA110" s="1222"/>
      <c r="EB110" s="1222"/>
      <c r="EC110" s="1222"/>
      <c r="ED110" s="1222"/>
      <c r="EE110" s="1222"/>
      <c r="EF110" s="1222"/>
      <c r="EG110" s="1222"/>
      <c r="EH110" s="1222"/>
      <c r="EI110" s="1222"/>
      <c r="EJ110" s="1222"/>
      <c r="EK110" s="1222"/>
      <c r="EL110" s="1222"/>
      <c r="EM110" s="1222"/>
      <c r="EN110" s="1222"/>
      <c r="EO110" s="1222"/>
      <c r="EP110" s="1222"/>
      <c r="EQ110" s="1222"/>
      <c r="ER110" s="1222"/>
      <c r="ES110" s="1222"/>
      <c r="ET110" s="1222"/>
      <c r="EU110" s="1222"/>
      <c r="EV110" s="1222"/>
      <c r="EW110" s="1222"/>
      <c r="EX110" s="1222"/>
      <c r="EY110" s="1222"/>
      <c r="EZ110" s="1222"/>
      <c r="FA110" s="1222"/>
      <c r="FB110" s="1222"/>
      <c r="FC110" s="1222"/>
      <c r="FD110" s="1222"/>
      <c r="FE110" s="1222"/>
      <c r="FF110" s="1222"/>
      <c r="FG110" s="1222"/>
      <c r="FH110" s="1222"/>
      <c r="FI110" s="1222"/>
      <c r="FJ110" s="1222"/>
      <c r="FK110" s="1222"/>
      <c r="FL110" s="1222"/>
      <c r="FM110" s="1222"/>
      <c r="FN110" s="1222"/>
      <c r="FO110" s="1222"/>
      <c r="FP110" s="1222"/>
      <c r="FQ110" s="1222"/>
      <c r="FR110" s="1222"/>
      <c r="FS110" s="1222"/>
      <c r="FT110" s="1222"/>
      <c r="FU110" s="1222"/>
      <c r="FV110" s="1222"/>
      <c r="FW110" s="1222"/>
      <c r="FX110" s="1213"/>
    </row>
    <row s="936" customFormat="1" customHeight="1" ht="12">
      <c r="A111" s="935"/>
      <c r="B111" s="934"/>
      <c r="C111" s="935"/>
      <c r="D111" s="935"/>
      <c r="E111" s="935"/>
      <c r="F111" s="1224"/>
      <c r="G111" s="1810" t="s">
        <v>1387</v>
      </c>
      <c r="H111" s="1225"/>
      <c r="I111" s="1225"/>
      <c r="J111" s="1225"/>
      <c r="K111" s="1225"/>
      <c r="L111" s="1225"/>
      <c r="M111" s="1225"/>
      <c r="N111" s="1225"/>
      <c r="O111" s="1225"/>
      <c r="P111" s="1225"/>
      <c r="Q111" s="1225"/>
      <c r="R111" s="1225"/>
      <c r="S111" s="1225"/>
      <c r="T111" s="1225"/>
      <c r="U111" s="1225"/>
      <c r="V111" s="1225"/>
      <c r="W111" s="1225"/>
      <c r="X111" s="1225"/>
      <c r="Y111" s="1225"/>
      <c r="Z111" s="1225"/>
      <c r="AA111" s="1225"/>
      <c r="AB111" s="1225"/>
      <c r="AC111" s="1225"/>
      <c r="AD111" s="1225"/>
      <c r="AE111" s="1225"/>
      <c r="AF111" s="1225"/>
      <c r="AG111" s="1225"/>
      <c r="AH111" s="1225"/>
      <c r="AI111" s="1225"/>
      <c r="AJ111" s="1225"/>
      <c r="AK111" s="1225"/>
      <c r="AL111" s="1225"/>
      <c r="AM111" s="1225"/>
      <c r="AN111" s="1225"/>
      <c r="AO111" s="1225"/>
      <c r="AP111" s="1225"/>
      <c r="AQ111" s="1225"/>
      <c r="AR111" s="1225"/>
      <c r="AS111" s="1225"/>
      <c r="AT111" s="1225"/>
      <c r="AU111" s="1225"/>
      <c r="AV111" s="1225"/>
      <c r="AW111" s="1225"/>
      <c r="AX111" s="1225"/>
      <c r="AY111" s="1225"/>
      <c r="AZ111" s="1225"/>
      <c r="BA111" s="1225"/>
      <c r="BB111" s="1225"/>
      <c r="BC111" s="1225"/>
      <c r="BD111" s="1225"/>
      <c r="BE111" s="1225"/>
      <c r="BF111" s="1225"/>
      <c r="BG111" s="1225"/>
      <c r="BH111" s="1225"/>
      <c r="BI111" s="1225"/>
      <c r="BJ111" s="1225"/>
      <c r="BK111" s="1225"/>
      <c r="BL111" s="1225"/>
      <c r="BM111" s="1225"/>
      <c r="BN111" s="1225"/>
      <c r="BO111" s="1225"/>
      <c r="BP111" s="1225"/>
      <c r="BQ111" s="1225"/>
      <c r="BR111" s="1225"/>
      <c r="BS111" s="1225"/>
      <c r="BT111" s="1225"/>
      <c r="BU111" s="1225"/>
      <c r="BV111" s="1225"/>
      <c r="BW111" s="1225"/>
      <c r="BX111" s="1225"/>
      <c r="BY111" s="1225"/>
      <c r="BZ111" s="1225"/>
      <c r="CA111" s="1225"/>
      <c r="CB111" s="1225"/>
      <c r="CC111" s="1225"/>
      <c r="CD111" s="1225"/>
      <c r="CE111" s="1225"/>
      <c r="CF111" s="1225"/>
      <c r="CG111" s="1225"/>
      <c r="CH111" s="1225"/>
      <c r="CI111" s="1225"/>
      <c r="CJ111" s="1225"/>
      <c r="CK111" s="1225"/>
      <c r="CL111" s="1225"/>
      <c r="CM111" s="1225"/>
      <c r="CN111" s="1225"/>
      <c r="CO111" s="1225"/>
      <c r="CP111" s="1225"/>
      <c r="CQ111" s="1225"/>
      <c r="CR111" s="1225"/>
      <c r="CS111" s="1225"/>
      <c r="CT111" s="1225"/>
      <c r="CU111" s="1225"/>
      <c r="CV111" s="1225"/>
      <c r="CW111" s="1225"/>
      <c r="CX111" s="1225"/>
      <c r="CY111" s="1225"/>
      <c r="CZ111" s="1225"/>
      <c r="DA111" s="1225"/>
      <c r="DB111" s="1225"/>
      <c r="DC111" s="1225"/>
      <c r="DD111" s="1225"/>
      <c r="DE111" s="1225"/>
      <c r="DF111" s="1225"/>
      <c r="DG111" s="1225"/>
      <c r="DH111" s="1225"/>
      <c r="DI111" s="1225"/>
      <c r="DJ111" s="1225"/>
      <c r="DK111" s="1225"/>
      <c r="DL111" s="1225"/>
      <c r="DM111" s="1225"/>
      <c r="DN111" s="1225"/>
      <c r="DO111" s="1225"/>
      <c r="DP111" s="1225"/>
      <c r="DQ111" s="1225"/>
      <c r="DR111" s="1225"/>
      <c r="DS111" s="1225"/>
      <c r="DT111" s="1225"/>
      <c r="DU111" s="1225"/>
      <c r="DV111" s="1225"/>
      <c r="DW111" s="1225"/>
      <c r="DX111" s="1225"/>
      <c r="DY111" s="1225"/>
      <c r="DZ111" s="1225"/>
      <c r="EA111" s="1225"/>
      <c r="EB111" s="1225"/>
      <c r="EC111" s="1225"/>
      <c r="ED111" s="1225"/>
      <c r="EE111" s="1225"/>
      <c r="EF111" s="1225"/>
      <c r="EG111" s="1225"/>
      <c r="EH111" s="1225"/>
      <c r="EI111" s="1225"/>
      <c r="EJ111" s="1225"/>
      <c r="EK111" s="1225"/>
      <c r="EL111" s="1225"/>
      <c r="EM111" s="1225"/>
      <c r="EN111" s="1225"/>
      <c r="EO111" s="1225"/>
      <c r="EP111" s="1225"/>
      <c r="EQ111" s="1225"/>
      <c r="ER111" s="1225"/>
      <c r="ES111" s="1225"/>
      <c r="ET111" s="1225"/>
      <c r="EU111" s="1225"/>
      <c r="EV111" s="1225"/>
      <c r="EW111" s="1225"/>
      <c r="EX111" s="1225"/>
      <c r="EY111" s="1225"/>
      <c r="EZ111" s="1225"/>
      <c r="FA111" s="1225"/>
      <c r="FB111" s="1225"/>
      <c r="FC111" s="1225"/>
      <c r="FD111" s="1225"/>
      <c r="FE111" s="1225"/>
      <c r="FF111" s="1225"/>
      <c r="FG111" s="1225"/>
      <c r="FH111" s="1225"/>
      <c r="FI111" s="1225"/>
      <c r="FJ111" s="1225"/>
      <c r="FK111" s="1225"/>
      <c r="FL111" s="1225"/>
      <c r="FM111" s="1225"/>
      <c r="FN111" s="1225"/>
      <c r="FO111" s="1225"/>
      <c r="FP111" s="1225"/>
      <c r="FQ111" s="1225"/>
      <c r="FR111" s="1225"/>
      <c r="FS111" s="1225"/>
      <c r="FT111" s="1225"/>
      <c r="FU111" s="1225"/>
      <c r="FV111" s="1225"/>
      <c r="FW111" s="1226"/>
      <c r="FX111" s="1227"/>
      <c r="FY111" s="952"/>
      <c r="FZ111" s="952"/>
      <c r="GA111" s="952"/>
      <c r="GB111" s="952"/>
    </row>
    <row r="113" s="1825" customFormat="1" customHeight="1" ht="11.25">
      <c r="A113" s="1825" t="s">
        <v>2151</v>
      </c>
    </row>
    <row r="115" s="1858" customFormat="1" customHeight="1" ht="15">
      <c r="A115" s="634"/>
      <c r="B115" s="635"/>
      <c r="C115" s="635"/>
      <c r="D115" s="2608" t="s">
        <v>120</v>
      </c>
      <c r="E115" s="2407" t="s">
        <v>116</v>
      </c>
      <c r="F115" s="2408"/>
      <c r="G115" s="2409"/>
      <c r="H115" s="2413" t="str">
        <f>IF(A115="","",INDEX(DIFFERENTIATION_UNMERGE_VD,MATCH(A115,DIFFERENTIATION_ID_DIFF,0)))</f>
        <v/>
      </c>
      <c r="I115" s="2413"/>
      <c r="J115" s="2413"/>
      <c r="K115" s="2413"/>
      <c r="L115" s="2413"/>
      <c r="M115" s="2413"/>
      <c r="N115" s="2413"/>
      <c r="O115" s="2413"/>
      <c r="P115" s="2413"/>
      <c r="Q115" s="2413"/>
      <c r="R115" s="2413"/>
      <c r="S115" s="730"/>
      <c r="T115" s="727"/>
      <c r="U115" s="636"/>
      <c r="V115" s="636"/>
      <c r="W115" s="637"/>
      <c r="X115" s="637"/>
      <c r="Y115" s="637"/>
      <c r="Z115" s="637"/>
      <c r="AA115" s="638"/>
      <c r="AB115" s="639"/>
      <c r="AC115" s="2405"/>
      <c r="AD115" s="640"/>
      <c r="AE115" s="641" t="s">
        <v>22</v>
      </c>
      <c r="AF115" s="641"/>
      <c r="AG115" s="642" t="s">
        <v>669</v>
      </c>
      <c r="AH115" s="643">
        <v>3</v>
      </c>
      <c r="AI115" s="636"/>
      <c r="AJ115" s="636"/>
      <c r="AK115" s="636"/>
      <c r="AL115" s="636"/>
      <c r="AM115" s="636"/>
      <c r="AN115" s="636"/>
      <c r="AO115" s="636"/>
      <c r="AP115" s="636"/>
      <c r="AQ115" s="636"/>
      <c r="AR115" s="636"/>
      <c r="AS115" s="636"/>
      <c r="AT115" s="636"/>
      <c r="AU115" s="636"/>
      <c r="AV115" s="636"/>
      <c r="AW115" s="636"/>
      <c r="AX115" s="636"/>
      <c r="AY115" s="636"/>
      <c r="AZ115" s="636"/>
      <c r="BA115" s="636"/>
      <c r="BB115" s="636"/>
      <c r="BC115" s="636"/>
      <c r="BD115" s="636"/>
      <c r="BE115" s="636"/>
      <c r="BF115" s="636"/>
      <c r="BG115" s="636"/>
      <c r="BH115" s="636"/>
      <c r="BI115" s="636"/>
      <c r="BJ115" s="636"/>
      <c r="BK115" s="636"/>
      <c r="BL115" s="636"/>
      <c r="BM115" s="636"/>
      <c r="BN115" s="636"/>
      <c r="BO115" s="636"/>
      <c r="BP115" s="636"/>
      <c r="BQ115" s="636"/>
      <c r="BR115" s="636"/>
      <c r="BS115" s="636"/>
      <c r="BT115" s="636"/>
      <c r="BU115" s="636"/>
      <c r="BV115" s="637"/>
      <c r="BW115" s="637"/>
      <c r="BX115" s="637"/>
      <c r="BY115" s="637"/>
      <c r="BZ115" s="637"/>
      <c r="CA115" s="637"/>
      <c r="CB115" s="637"/>
      <c r="CC115" s="637"/>
      <c r="CD115" s="637"/>
      <c r="CE115" s="637"/>
    </row>
    <row s="1858" customFormat="1" customHeight="1" ht="15">
      <c r="A116" s="634"/>
      <c r="B116" s="635"/>
      <c r="C116" s="635"/>
      <c r="D116" s="2609"/>
      <c r="E116" s="2407" t="s">
        <v>576</v>
      </c>
      <c r="F116" s="2408"/>
      <c r="G116" s="2409"/>
      <c r="H116" s="2413" t="str">
        <f>IF(A115="","",INDEX(DIFFERENTIATION_UNMERGE_AREA,MATCH(A115,DIFFERENTIATION_ID_DIFF,0)))</f>
        <v/>
      </c>
      <c r="I116" s="2413"/>
      <c r="J116" s="2413"/>
      <c r="K116" s="2413"/>
      <c r="L116" s="2413"/>
      <c r="M116" s="2413"/>
      <c r="N116" s="2413"/>
      <c r="O116" s="2413"/>
      <c r="P116" s="2413"/>
      <c r="Q116" s="2413"/>
      <c r="R116" s="2413"/>
      <c r="S116" s="730"/>
      <c r="T116" s="727"/>
      <c r="U116" s="636"/>
      <c r="V116" s="636"/>
      <c r="W116" s="637"/>
      <c r="X116" s="637"/>
      <c r="Y116" s="637"/>
      <c r="Z116" s="637"/>
      <c r="AA116" s="638"/>
      <c r="AB116" s="639"/>
      <c r="AC116" s="2405"/>
      <c r="AD116" s="640"/>
      <c r="AE116" s="641"/>
      <c r="AF116" s="641"/>
      <c r="AG116" s="642"/>
      <c r="AH116" s="643"/>
      <c r="AI116" s="636"/>
      <c r="AJ116" s="636"/>
      <c r="AK116" s="636"/>
      <c r="AL116" s="636"/>
      <c r="AM116" s="636"/>
      <c r="AN116" s="636"/>
      <c r="AO116" s="636"/>
      <c r="AP116" s="636"/>
      <c r="AQ116" s="636"/>
      <c r="AR116" s="636"/>
      <c r="AS116" s="636"/>
      <c r="AT116" s="636"/>
      <c r="AU116" s="636"/>
      <c r="AV116" s="636"/>
      <c r="AW116" s="636"/>
      <c r="AX116" s="636"/>
      <c r="AY116" s="636"/>
      <c r="AZ116" s="636"/>
      <c r="BA116" s="636"/>
      <c r="BB116" s="636"/>
      <c r="BC116" s="636"/>
      <c r="BD116" s="636"/>
      <c r="BE116" s="636"/>
      <c r="BF116" s="636"/>
      <c r="BG116" s="636"/>
      <c r="BH116" s="636"/>
      <c r="BI116" s="636"/>
      <c r="BJ116" s="636"/>
      <c r="BK116" s="636"/>
      <c r="BL116" s="636"/>
      <c r="BM116" s="636"/>
      <c r="BN116" s="636"/>
      <c r="BO116" s="636"/>
      <c r="BP116" s="636"/>
      <c r="BQ116" s="636"/>
      <c r="BR116" s="636"/>
      <c r="BS116" s="636"/>
      <c r="BT116" s="636"/>
      <c r="BU116" s="636"/>
      <c r="BV116" s="637"/>
      <c r="BW116" s="637"/>
      <c r="BX116" s="637"/>
      <c r="BY116" s="637"/>
      <c r="BZ116" s="637"/>
      <c r="CA116" s="637"/>
      <c r="CB116" s="637"/>
      <c r="CC116" s="637"/>
      <c r="CD116" s="637"/>
      <c r="CE116" s="637"/>
    </row>
    <row s="1858" customFormat="1" customHeight="1" ht="15">
      <c r="A117" s="634"/>
      <c r="B117" s="635"/>
      <c r="C117" s="635"/>
      <c r="D117" s="2609"/>
      <c r="E117" s="2407" t="s">
        <v>577</v>
      </c>
      <c r="F117" s="2408"/>
      <c r="G117" s="2409"/>
      <c r="H117" s="2413" t="str">
        <f>IF(A115="","",INDEX(DIFFERENTIATION_UNMERGE_SYSTEM,MATCH(A115,DIFFERENTIATION_ID_DIFF,0)))</f>
        <v/>
      </c>
      <c r="I117" s="2413"/>
      <c r="J117" s="2413"/>
      <c r="K117" s="2413"/>
      <c r="L117" s="2413"/>
      <c r="M117" s="2413"/>
      <c r="N117" s="2413"/>
      <c r="O117" s="2413"/>
      <c r="P117" s="2413"/>
      <c r="Q117" s="2413"/>
      <c r="R117" s="2413"/>
      <c r="S117" s="730"/>
      <c r="T117" s="727"/>
      <c r="U117" s="636"/>
      <c r="V117" s="636"/>
      <c r="W117" s="637"/>
      <c r="X117" s="637"/>
      <c r="Y117" s="637"/>
      <c r="Z117" s="637"/>
      <c r="AA117" s="638"/>
      <c r="AB117" s="639"/>
      <c r="AC117" s="2405"/>
      <c r="AD117" s="640"/>
      <c r="AE117" s="641"/>
      <c r="AF117" s="641"/>
      <c r="AG117" s="642"/>
      <c r="AH117" s="643"/>
      <c r="AI117" s="636"/>
      <c r="AJ117" s="636"/>
      <c r="AK117" s="636"/>
      <c r="AL117" s="636"/>
      <c r="AM117" s="636"/>
      <c r="AN117" s="636"/>
      <c r="AO117" s="636"/>
      <c r="AP117" s="636"/>
      <c r="AQ117" s="636"/>
      <c r="AR117" s="636"/>
      <c r="AS117" s="636"/>
      <c r="AT117" s="636"/>
      <c r="AU117" s="636"/>
      <c r="AV117" s="636"/>
      <c r="AW117" s="636"/>
      <c r="AX117" s="636"/>
      <c r="AY117" s="636"/>
      <c r="AZ117" s="636"/>
      <c r="BA117" s="636"/>
      <c r="BB117" s="636"/>
      <c r="BC117" s="636"/>
      <c r="BD117" s="636"/>
      <c r="BE117" s="636"/>
      <c r="BF117" s="636"/>
      <c r="BG117" s="636"/>
      <c r="BH117" s="636"/>
      <c r="BI117" s="636"/>
      <c r="BJ117" s="636"/>
      <c r="BK117" s="636"/>
      <c r="BL117" s="636"/>
      <c r="BM117" s="636"/>
      <c r="BN117" s="636"/>
      <c r="BO117" s="636"/>
      <c r="BP117" s="636"/>
      <c r="BQ117" s="636"/>
      <c r="BR117" s="636"/>
      <c r="BS117" s="636"/>
      <c r="BT117" s="636"/>
      <c r="BU117" s="636"/>
      <c r="BV117" s="637"/>
      <c r="BW117" s="637"/>
      <c r="BX117" s="637"/>
      <c r="BY117" s="637"/>
      <c r="BZ117" s="637"/>
      <c r="CA117" s="637"/>
      <c r="CB117" s="637"/>
      <c r="CC117" s="637"/>
      <c r="CD117" s="637"/>
      <c r="CE117" s="637"/>
    </row>
    <row s="1858" customFormat="1" customHeight="1" ht="24.75">
      <c r="A118" s="1816"/>
      <c r="B118" s="1171"/>
      <c r="C118" s="423"/>
      <c r="D118" s="2609"/>
      <c r="E118" s="2406" t="s">
        <v>670</v>
      </c>
      <c r="F118" s="2406"/>
      <c r="G118" s="2406"/>
      <c r="H118" s="2406"/>
      <c r="I118" s="2406"/>
      <c r="J118" s="2406"/>
      <c r="K118" s="2406"/>
      <c r="L118" s="2406"/>
      <c r="M118" s="2406"/>
      <c r="N118" s="2406"/>
      <c r="O118" s="2406"/>
      <c r="P118" s="2406"/>
      <c r="Q118" s="569">
        <f>SUMIF(T119:T120,"i",Q119:Q120)</f>
        <v>0</v>
      </c>
      <c r="R118" s="1028"/>
      <c r="S118" s="1808" t="s">
        <v>671</v>
      </c>
      <c r="T118" s="728" t="s">
        <v>672</v>
      </c>
      <c r="U118" s="2404">
        <v>1</v>
      </c>
      <c r="V118" s="2404">
        <f>INDEX(B_FHD_FLAG_INDEX_1,1,MATCH(A115,B_FHD_FLAG_DIFFERENTIATION,0))</f>
      </c>
      <c r="W118" s="1171"/>
      <c r="X118" s="1171"/>
      <c r="Y118" s="1171"/>
      <c r="Z118" s="1171"/>
      <c r="AA118" s="1647"/>
      <c r="AB118" s="1171"/>
      <c r="AC118" s="2405"/>
      <c r="AD118" s="640"/>
      <c r="AE118" s="1171"/>
      <c r="AF118" s="1171"/>
      <c r="AG118" s="1647"/>
      <c r="AH118" s="1647"/>
      <c r="AI118" s="1647"/>
      <c r="AJ118" s="1647"/>
      <c r="AK118" s="1647"/>
      <c r="AL118" s="1647"/>
      <c r="AM118" s="1647"/>
      <c r="AN118" s="1647"/>
      <c r="AO118" s="1647"/>
      <c r="AP118" s="1647"/>
      <c r="AQ118" s="1647"/>
      <c r="AR118" s="1647"/>
      <c r="AS118" s="1647"/>
      <c r="AT118" s="1647"/>
      <c r="AU118" s="1647"/>
      <c r="AV118" s="1647"/>
      <c r="AW118" s="1647"/>
      <c r="AX118" s="1647"/>
      <c r="AY118" s="1647"/>
      <c r="AZ118" s="1647"/>
      <c r="BA118" s="1647"/>
      <c r="BB118" s="1647"/>
      <c r="BC118" s="1647"/>
      <c r="BD118" s="1647"/>
      <c r="BE118" s="1647"/>
      <c r="BF118" s="1647"/>
      <c r="BG118" s="1647"/>
      <c r="BH118" s="1647"/>
      <c r="BI118" s="1647"/>
      <c r="BJ118" s="1647"/>
      <c r="BK118" s="1647"/>
      <c r="BL118" s="1647"/>
      <c r="BM118" s="1647"/>
      <c r="BN118" s="1647"/>
      <c r="BO118" s="1647"/>
      <c r="BP118" s="1647"/>
      <c r="BQ118" s="1647"/>
      <c r="BR118" s="1647"/>
      <c r="BS118" s="1647"/>
      <c r="BT118" s="1647"/>
      <c r="BU118" s="1647"/>
      <c r="BV118" s="1171"/>
      <c r="BW118" s="1171"/>
      <c r="BX118" s="1171"/>
      <c r="BY118" s="1171"/>
      <c r="BZ118" s="1171"/>
      <c r="CA118" s="1171"/>
      <c r="CB118" s="1171"/>
      <c r="CC118" s="1171"/>
      <c r="CD118" s="1171"/>
      <c r="CE118" s="1171"/>
    </row>
    <row s="1858" customFormat="1" customHeight="1" ht="11.25" hidden="1">
      <c r="A119" s="1803"/>
      <c r="B119" s="1647"/>
      <c r="C119" s="1647"/>
      <c r="D119" s="2609"/>
      <c r="E119" s="646"/>
      <c r="F119" s="646">
        <v>0</v>
      </c>
      <c r="G119" s="646"/>
      <c r="H119" s="646"/>
      <c r="I119" s="646"/>
      <c r="J119" s="646"/>
      <c r="K119" s="646"/>
      <c r="L119" s="646"/>
      <c r="M119" s="646"/>
      <c r="N119" s="646"/>
      <c r="O119" s="646"/>
      <c r="P119" s="646"/>
      <c r="Q119" s="646"/>
      <c r="R119" s="646"/>
      <c r="S119" s="647"/>
      <c r="T119" s="729"/>
      <c r="U119" s="2404"/>
      <c r="V119" s="2404"/>
      <c r="W119" s="1647"/>
      <c r="X119" s="1647"/>
      <c r="Y119" s="1647"/>
      <c r="Z119" s="1647"/>
      <c r="AA119" s="1647"/>
      <c r="AB119" s="1171"/>
      <c r="AC119" s="2405"/>
      <c r="AD119" s="640"/>
      <c r="AE119" s="1171"/>
      <c r="AF119" s="1171"/>
      <c r="AG119" s="1647"/>
      <c r="AH119" s="1647"/>
      <c r="AI119" s="1647"/>
      <c r="AJ119" s="1647"/>
      <c r="AK119" s="1647"/>
      <c r="AL119" s="1647"/>
      <c r="AM119" s="1647"/>
      <c r="AN119" s="1647"/>
      <c r="AO119" s="1647"/>
      <c r="AP119" s="1647"/>
      <c r="AQ119" s="1647"/>
      <c r="AR119" s="1647"/>
      <c r="AS119" s="1647"/>
      <c r="AT119" s="1647"/>
      <c r="AU119" s="1647"/>
      <c r="AV119" s="1647"/>
      <c r="AW119" s="1647"/>
      <c r="AX119" s="1647"/>
      <c r="AY119" s="1647"/>
      <c r="AZ119" s="1647"/>
      <c r="BA119" s="1647"/>
      <c r="BB119" s="1647"/>
      <c r="BC119" s="1647"/>
      <c r="BD119" s="1647"/>
      <c r="BE119" s="1647"/>
      <c r="BF119" s="1647"/>
      <c r="BG119" s="1647"/>
      <c r="BH119" s="1647"/>
      <c r="BI119" s="1647"/>
      <c r="BJ119" s="1647"/>
      <c r="BK119" s="1647"/>
      <c r="BL119" s="1647"/>
      <c r="BM119" s="1647"/>
      <c r="BN119" s="1647"/>
      <c r="BO119" s="1647"/>
      <c r="BP119" s="1647"/>
      <c r="BQ119" s="1647"/>
      <c r="BR119" s="1647"/>
      <c r="BS119" s="1647"/>
      <c r="BT119" s="1647"/>
      <c r="BU119" s="1647"/>
      <c r="BV119" s="1647"/>
      <c r="BW119" s="1647"/>
      <c r="BX119" s="1647"/>
      <c r="BY119" s="1647"/>
      <c r="BZ119" s="1647"/>
      <c r="CA119" s="1647"/>
      <c r="CB119" s="1647"/>
      <c r="CC119" s="1647"/>
      <c r="CD119" s="1647"/>
      <c r="CE119" s="1647"/>
    </row>
    <row s="1858" customFormat="1" customHeight="1" ht="11.25">
      <c r="A120" s="1816"/>
      <c r="B120" s="1171"/>
      <c r="C120" s="423"/>
      <c r="D120" s="2609"/>
      <c r="E120" s="660" t="s">
        <v>22</v>
      </c>
      <c r="F120" s="1179" t="s">
        <v>22</v>
      </c>
      <c r="G120" s="1179" t="s">
        <v>684</v>
      </c>
      <c r="H120" s="662" t="s">
        <v>22</v>
      </c>
      <c r="I120" s="662"/>
      <c r="J120" s="662"/>
      <c r="K120" s="662"/>
      <c r="L120" s="662"/>
      <c r="M120" s="662"/>
      <c r="N120" s="662"/>
      <c r="O120" s="662"/>
      <c r="P120" s="662"/>
      <c r="Q120" s="662"/>
      <c r="R120" s="663"/>
      <c r="S120" s="664"/>
      <c r="T120" s="729"/>
      <c r="U120" s="2404"/>
      <c r="V120" s="2404"/>
      <c r="W120" s="1171"/>
      <c r="X120" s="1171"/>
      <c r="Y120" s="1171"/>
      <c r="Z120" s="1171"/>
      <c r="AA120" s="1647"/>
      <c r="AB120" s="1171"/>
      <c r="AC120" s="2405"/>
      <c r="AD120" s="640"/>
      <c r="AE120" s="1171"/>
      <c r="AF120" s="1171"/>
      <c r="AG120" s="1647"/>
      <c r="AH120" s="1647"/>
      <c r="AI120" s="1647"/>
      <c r="AJ120" s="1647"/>
      <c r="AK120" s="1647"/>
      <c r="AL120" s="1647"/>
      <c r="AM120" s="1647"/>
      <c r="AN120" s="1647"/>
      <c r="AO120" s="1647"/>
      <c r="AP120" s="1647"/>
      <c r="AQ120" s="1647"/>
      <c r="AR120" s="1647"/>
      <c r="AS120" s="1647"/>
      <c r="AT120" s="1647"/>
      <c r="AU120" s="1647"/>
      <c r="AV120" s="1647"/>
      <c r="AW120" s="1647"/>
      <c r="AX120" s="1647"/>
      <c r="AY120" s="1647"/>
      <c r="AZ120" s="1647"/>
      <c r="BA120" s="1647"/>
      <c r="BB120" s="1647"/>
      <c r="BC120" s="1647"/>
      <c r="BD120" s="1647"/>
      <c r="BE120" s="1647"/>
      <c r="BF120" s="1647"/>
      <c r="BG120" s="1647"/>
      <c r="BH120" s="1647"/>
      <c r="BI120" s="1647"/>
      <c r="BJ120" s="1647"/>
      <c r="BK120" s="1647"/>
      <c r="BL120" s="1647"/>
      <c r="BM120" s="1647"/>
      <c r="BN120" s="1647"/>
      <c r="BO120" s="1647"/>
      <c r="BP120" s="1647"/>
      <c r="BQ120" s="1647"/>
      <c r="BR120" s="1647"/>
      <c r="BS120" s="1647"/>
      <c r="BT120" s="1647"/>
      <c r="BU120" s="1647"/>
      <c r="BV120" s="1171"/>
      <c r="BW120" s="1171"/>
      <c r="BX120" s="1171"/>
      <c r="BY120" s="1171"/>
      <c r="BZ120" s="1171"/>
      <c r="CA120" s="1171"/>
      <c r="CB120" s="1171"/>
      <c r="CC120" s="1171"/>
      <c r="CD120" s="1171"/>
      <c r="CE120" s="1171"/>
    </row>
    <row s="1858" customFormat="1" customHeight="1" ht="24.75">
      <c r="A121" s="1816"/>
      <c r="B121" s="1171"/>
      <c r="C121" s="423"/>
      <c r="D121" s="2609"/>
      <c r="E121" s="2406" t="s">
        <v>685</v>
      </c>
      <c r="F121" s="2406"/>
      <c r="G121" s="2406"/>
      <c r="H121" s="2406"/>
      <c r="I121" s="2406"/>
      <c r="J121" s="2406"/>
      <c r="K121" s="2406"/>
      <c r="L121" s="2406"/>
      <c r="M121" s="2406"/>
      <c r="N121" s="2406"/>
      <c r="O121" s="2406"/>
      <c r="P121" s="2406"/>
      <c r="Q121" s="569">
        <f>SUMIF(T122:T123,"i",Q122:Q123)</f>
        <v>0</v>
      </c>
      <c r="R121" s="1028"/>
      <c r="S121" s="1808" t="s">
        <v>686</v>
      </c>
      <c r="T121" s="728" t="s">
        <v>672</v>
      </c>
      <c r="U121" s="2404">
        <v>1</v>
      </c>
      <c r="V121" s="2404">
        <f>INDEX(B_FHD_FLAG_INDEX_2,1,MATCH(A115,B_FHD_FLAG_DIFFERENTIATION,0))</f>
      </c>
      <c r="W121" s="1171"/>
      <c r="X121" s="1171"/>
      <c r="Y121" s="1171"/>
      <c r="Z121" s="1171"/>
      <c r="AA121" s="1647"/>
      <c r="AB121" s="1171"/>
      <c r="AC121" s="1806"/>
      <c r="AD121" s="640"/>
      <c r="AE121" s="1171"/>
      <c r="AF121" s="1171"/>
      <c r="AG121" s="1647"/>
      <c r="AH121" s="1647"/>
      <c r="AI121" s="1647"/>
      <c r="AJ121" s="1647"/>
      <c r="AK121" s="1647"/>
      <c r="AL121" s="1647"/>
      <c r="AM121" s="1647"/>
      <c r="AN121" s="1647"/>
      <c r="AO121" s="1647"/>
      <c r="AP121" s="1647"/>
      <c r="AQ121" s="1647"/>
      <c r="AR121" s="1647"/>
      <c r="AS121" s="1647"/>
      <c r="AT121" s="1647"/>
      <c r="AU121" s="1647"/>
      <c r="AV121" s="1647"/>
      <c r="AW121" s="1647"/>
      <c r="AX121" s="1647"/>
      <c r="AY121" s="1647"/>
      <c r="AZ121" s="1647"/>
      <c r="BA121" s="1647"/>
      <c r="BB121" s="1647"/>
      <c r="BC121" s="1647"/>
      <c r="BD121" s="1647"/>
      <c r="BE121" s="1647"/>
      <c r="BF121" s="1647"/>
      <c r="BG121" s="1647"/>
      <c r="BH121" s="1647"/>
      <c r="BI121" s="1647"/>
      <c r="BJ121" s="1647"/>
      <c r="BK121" s="1647"/>
      <c r="BL121" s="1647"/>
      <c r="BM121" s="1647"/>
      <c r="BN121" s="1647"/>
      <c r="BO121" s="1647"/>
      <c r="BP121" s="1647"/>
      <c r="BQ121" s="1647"/>
      <c r="BR121" s="1647"/>
      <c r="BS121" s="1647"/>
      <c r="BT121" s="1647"/>
      <c r="BU121" s="1647"/>
      <c r="BV121" s="1171"/>
      <c r="BW121" s="1171"/>
      <c r="BX121" s="1171"/>
      <c r="BY121" s="1171"/>
      <c r="BZ121" s="1171"/>
      <c r="CA121" s="1171"/>
      <c r="CB121" s="1171"/>
      <c r="CC121" s="1171"/>
      <c r="CD121" s="1171"/>
      <c r="CE121" s="1171"/>
    </row>
    <row s="1858" customFormat="1" customHeight="1" ht="11.25" hidden="1">
      <c r="A122" s="1803"/>
      <c r="B122" s="1647"/>
      <c r="C122" s="1647"/>
      <c r="D122" s="2609"/>
      <c r="E122" s="646"/>
      <c r="F122" s="646">
        <v>0</v>
      </c>
      <c r="G122" s="646"/>
      <c r="H122" s="646"/>
      <c r="I122" s="646"/>
      <c r="J122" s="646"/>
      <c r="K122" s="646"/>
      <c r="L122" s="646"/>
      <c r="M122" s="646"/>
      <c r="N122" s="646"/>
      <c r="O122" s="646"/>
      <c r="P122" s="646"/>
      <c r="Q122" s="646"/>
      <c r="R122" s="646"/>
      <c r="S122" s="647"/>
      <c r="T122" s="729"/>
      <c r="U122" s="2404"/>
      <c r="V122" s="2404"/>
      <c r="W122" s="1647"/>
      <c r="X122" s="1647"/>
      <c r="Y122" s="1647"/>
      <c r="Z122" s="1647"/>
      <c r="AA122" s="1647"/>
      <c r="AB122" s="1171"/>
      <c r="AC122" s="1806"/>
      <c r="AD122" s="640"/>
      <c r="AE122" s="1171"/>
      <c r="AF122" s="1171"/>
      <c r="AG122" s="1647"/>
      <c r="AH122" s="1647"/>
      <c r="AI122" s="1647"/>
      <c r="AJ122" s="1647"/>
      <c r="AK122" s="1647"/>
      <c r="AL122" s="1647"/>
      <c r="AM122" s="1647"/>
      <c r="AN122" s="1647"/>
      <c r="AO122" s="1647"/>
      <c r="AP122" s="1647"/>
      <c r="AQ122" s="1647"/>
      <c r="AR122" s="1647"/>
      <c r="AS122" s="1647"/>
      <c r="AT122" s="1647"/>
      <c r="AU122" s="1647"/>
      <c r="AV122" s="1647"/>
      <c r="AW122" s="1647"/>
      <c r="AX122" s="1647"/>
      <c r="AY122" s="1647"/>
      <c r="AZ122" s="1647"/>
      <c r="BA122" s="1647"/>
      <c r="BB122" s="1647"/>
      <c r="BC122" s="1647"/>
      <c r="BD122" s="1647"/>
      <c r="BE122" s="1647"/>
      <c r="BF122" s="1647"/>
      <c r="BG122" s="1647"/>
      <c r="BH122" s="1647"/>
      <c r="BI122" s="1647"/>
      <c r="BJ122" s="1647"/>
      <c r="BK122" s="1647"/>
      <c r="BL122" s="1647"/>
      <c r="BM122" s="1647"/>
      <c r="BN122" s="1647"/>
      <c r="BO122" s="1647"/>
      <c r="BP122" s="1647"/>
      <c r="BQ122" s="1647"/>
      <c r="BR122" s="1647"/>
      <c r="BS122" s="1647"/>
      <c r="BT122" s="1647"/>
      <c r="BU122" s="1647"/>
      <c r="BV122" s="1647"/>
      <c r="BW122" s="1647"/>
      <c r="BX122" s="1647"/>
      <c r="BY122" s="1647"/>
      <c r="BZ122" s="1647"/>
      <c r="CA122" s="1647"/>
      <c r="CB122" s="1647"/>
      <c r="CC122" s="1647"/>
      <c r="CD122" s="1647"/>
      <c r="CE122" s="1647"/>
    </row>
    <row s="1858" customFormat="1" customHeight="1" ht="11.25">
      <c r="A123" s="1816"/>
      <c r="B123" s="1171"/>
      <c r="C123" s="423"/>
      <c r="D123" s="2610"/>
      <c r="E123" s="660" t="s">
        <v>22</v>
      </c>
      <c r="F123" s="1179" t="s">
        <v>22</v>
      </c>
      <c r="G123" s="1179" t="s">
        <v>684</v>
      </c>
      <c r="H123" s="662" t="s">
        <v>22</v>
      </c>
      <c r="I123" s="662"/>
      <c r="J123" s="662"/>
      <c r="K123" s="662"/>
      <c r="L123" s="662"/>
      <c r="M123" s="662"/>
      <c r="N123" s="662"/>
      <c r="O123" s="662"/>
      <c r="P123" s="662"/>
      <c r="Q123" s="662"/>
      <c r="R123" s="663"/>
      <c r="S123" s="664"/>
      <c r="T123" s="729"/>
      <c r="U123" s="2404"/>
      <c r="V123" s="2404"/>
      <c r="W123" s="1171"/>
      <c r="X123" s="1171"/>
      <c r="Y123" s="1171"/>
      <c r="Z123" s="1171"/>
      <c r="AA123" s="1647"/>
      <c r="AB123" s="1171"/>
      <c r="AC123" s="1806"/>
      <c r="AD123" s="640"/>
      <c r="AE123" s="1171"/>
      <c r="AF123" s="1171"/>
      <c r="AG123" s="1647"/>
      <c r="AH123" s="1647"/>
      <c r="AI123" s="1647"/>
      <c r="AJ123" s="1647"/>
      <c r="AK123" s="1647"/>
      <c r="AL123" s="1647"/>
      <c r="AM123" s="1647"/>
      <c r="AN123" s="1647"/>
      <c r="AO123" s="1647"/>
      <c r="AP123" s="1647"/>
      <c r="AQ123" s="1647"/>
      <c r="AR123" s="1647"/>
      <c r="AS123" s="1647"/>
      <c r="AT123" s="1647"/>
      <c r="AU123" s="1647"/>
      <c r="AV123" s="1647"/>
      <c r="AW123" s="1647"/>
      <c r="AX123" s="1647"/>
      <c r="AY123" s="1647"/>
      <c r="AZ123" s="1647"/>
      <c r="BA123" s="1647"/>
      <c r="BB123" s="1647"/>
      <c r="BC123" s="1647"/>
      <c r="BD123" s="1647"/>
      <c r="BE123" s="1647"/>
      <c r="BF123" s="1647"/>
      <c r="BG123" s="1647"/>
      <c r="BH123" s="1647"/>
      <c r="BI123" s="1647"/>
      <c r="BJ123" s="1647"/>
      <c r="BK123" s="1647"/>
      <c r="BL123" s="1647"/>
      <c r="BM123" s="1647"/>
      <c r="BN123" s="1647"/>
      <c r="BO123" s="1647"/>
      <c r="BP123" s="1647"/>
      <c r="BQ123" s="1647"/>
      <c r="BR123" s="1647"/>
      <c r="BS123" s="1647"/>
      <c r="BT123" s="1647"/>
      <c r="BU123" s="1647"/>
      <c r="BV123" s="1171"/>
      <c r="BW123" s="1171"/>
      <c r="BX123" s="1171"/>
      <c r="BY123" s="1171"/>
      <c r="BZ123" s="1171"/>
      <c r="CA123" s="1171"/>
      <c r="CB123" s="1171"/>
      <c r="CC123" s="1171"/>
      <c r="CD123" s="1171"/>
      <c r="CE123" s="1171"/>
    </row>
    <row r="125" s="1825" customFormat="1" customHeight="1" ht="11.25">
      <c r="A125" s="1825" t="s">
        <v>2152</v>
      </c>
    </row>
    <row r="127" s="1858" customFormat="1" customHeight="1" ht="15" hidden="1">
      <c r="A127" s="634"/>
      <c r="B127" s="635"/>
      <c r="C127" s="635"/>
      <c r="D127" s="2608" t="s">
        <v>120</v>
      </c>
      <c r="E127" s="2407" t="s">
        <v>116</v>
      </c>
      <c r="F127" s="2408"/>
      <c r="G127" s="2409"/>
      <c r="H127" s="2413" t="str">
        <f>IF(A127="","",INDEX(DIFFERENTIATION_UNMERGE_VD,MATCH(A127,DIFFERENTIATION_ID_DIFF,0)))</f>
        <v/>
      </c>
      <c r="I127" s="2413"/>
      <c r="J127" s="2413"/>
      <c r="K127" s="2413"/>
      <c r="L127" s="2413"/>
      <c r="M127" s="2413"/>
      <c r="N127" s="2413"/>
      <c r="O127" s="2413"/>
      <c r="P127" s="2413"/>
      <c r="Q127" s="2413"/>
      <c r="R127" s="2413"/>
      <c r="S127" s="730"/>
      <c r="T127" s="727"/>
      <c r="U127" s="636"/>
      <c r="V127" s="636"/>
      <c r="W127" s="637"/>
      <c r="X127" s="637"/>
      <c r="Y127" s="637"/>
      <c r="Z127" s="637"/>
      <c r="AA127" s="638"/>
      <c r="AB127" s="639"/>
      <c r="AC127" s="2405"/>
      <c r="AD127" s="640"/>
      <c r="AE127" s="641" t="s">
        <v>22</v>
      </c>
      <c r="AF127" s="641"/>
      <c r="AG127" s="642" t="s">
        <v>669</v>
      </c>
      <c r="AH127" s="643">
        <v>3</v>
      </c>
      <c r="AI127" s="636"/>
      <c r="AJ127" s="636"/>
      <c r="AK127" s="636"/>
      <c r="AL127" s="636"/>
      <c r="AM127" s="636"/>
      <c r="AN127" s="636"/>
      <c r="AO127" s="636"/>
      <c r="AP127" s="636"/>
      <c r="AQ127" s="636"/>
      <c r="AR127" s="636"/>
      <c r="AS127" s="636"/>
      <c r="AT127" s="636"/>
      <c r="AU127" s="636"/>
      <c r="AV127" s="636"/>
      <c r="AW127" s="636"/>
      <c r="AX127" s="636"/>
      <c r="AY127" s="636"/>
      <c r="AZ127" s="636"/>
      <c r="BA127" s="636"/>
      <c r="BB127" s="636"/>
      <c r="BC127" s="636"/>
      <c r="BD127" s="636"/>
      <c r="BE127" s="636"/>
      <c r="BF127" s="636"/>
      <c r="BG127" s="636"/>
      <c r="BH127" s="636"/>
      <c r="BI127" s="636"/>
      <c r="BJ127" s="636"/>
      <c r="BK127" s="636"/>
      <c r="BL127" s="636"/>
      <c r="BM127" s="636"/>
      <c r="BN127" s="636"/>
      <c r="BO127" s="636"/>
      <c r="BP127" s="636"/>
      <c r="BQ127" s="636"/>
      <c r="BR127" s="636"/>
      <c r="BS127" s="636"/>
      <c r="BT127" s="636"/>
      <c r="BU127" s="636"/>
      <c r="BV127" s="637"/>
      <c r="BW127" s="637"/>
      <c r="BX127" s="637"/>
      <c r="BY127" s="637"/>
      <c r="BZ127" s="637"/>
      <c r="CA127" s="637"/>
      <c r="CB127" s="637"/>
      <c r="CC127" s="637"/>
      <c r="CD127" s="637"/>
      <c r="CE127" s="637"/>
    </row>
    <row s="1858" customFormat="1" customHeight="1" ht="15" hidden="1">
      <c r="A128" s="634"/>
      <c r="B128" s="635"/>
      <c r="C128" s="635"/>
      <c r="D128" s="2609"/>
      <c r="E128" s="2407" t="s">
        <v>576</v>
      </c>
      <c r="F128" s="2408"/>
      <c r="G128" s="2409"/>
      <c r="H128" s="2413" t="str">
        <f>IF(A127="","",INDEX(DIFFERENTIATION_UNMERGE_AREA,MATCH(A127,DIFFERENTIATION_ID_DIFF,0)))</f>
        <v/>
      </c>
      <c r="I128" s="2413"/>
      <c r="J128" s="2413"/>
      <c r="K128" s="2413"/>
      <c r="L128" s="2413"/>
      <c r="M128" s="2413"/>
      <c r="N128" s="2413"/>
      <c r="O128" s="2413"/>
      <c r="P128" s="2413"/>
      <c r="Q128" s="2413"/>
      <c r="R128" s="2413"/>
      <c r="S128" s="730"/>
      <c r="T128" s="727"/>
      <c r="U128" s="636"/>
      <c r="V128" s="636"/>
      <c r="W128" s="637"/>
      <c r="X128" s="637"/>
      <c r="Y128" s="637"/>
      <c r="Z128" s="637"/>
      <c r="AA128" s="638"/>
      <c r="AB128" s="639"/>
      <c r="AC128" s="2405"/>
      <c r="AD128" s="640"/>
      <c r="AE128" s="641"/>
      <c r="AF128" s="641"/>
      <c r="AG128" s="642"/>
      <c r="AH128" s="643"/>
      <c r="AI128" s="636"/>
      <c r="AJ128" s="636"/>
      <c r="AK128" s="636"/>
      <c r="AL128" s="636"/>
      <c r="AM128" s="636"/>
      <c r="AN128" s="636"/>
      <c r="AO128" s="636"/>
      <c r="AP128" s="636"/>
      <c r="AQ128" s="636"/>
      <c r="AR128" s="636"/>
      <c r="AS128" s="636"/>
      <c r="AT128" s="636"/>
      <c r="AU128" s="636"/>
      <c r="AV128" s="636"/>
      <c r="AW128" s="636"/>
      <c r="AX128" s="636"/>
      <c r="AY128" s="636"/>
      <c r="AZ128" s="636"/>
      <c r="BA128" s="636"/>
      <c r="BB128" s="636"/>
      <c r="BC128" s="636"/>
      <c r="BD128" s="636"/>
      <c r="BE128" s="636"/>
      <c r="BF128" s="636"/>
      <c r="BG128" s="636"/>
      <c r="BH128" s="636"/>
      <c r="BI128" s="636"/>
      <c r="BJ128" s="636"/>
      <c r="BK128" s="636"/>
      <c r="BL128" s="636"/>
      <c r="BM128" s="636"/>
      <c r="BN128" s="636"/>
      <c r="BO128" s="636"/>
      <c r="BP128" s="636"/>
      <c r="BQ128" s="636"/>
      <c r="BR128" s="636"/>
      <c r="BS128" s="636"/>
      <c r="BT128" s="636"/>
      <c r="BU128" s="636"/>
      <c r="BV128" s="637"/>
      <c r="BW128" s="637"/>
      <c r="BX128" s="637"/>
      <c r="BY128" s="637"/>
      <c r="BZ128" s="637"/>
      <c r="CA128" s="637"/>
      <c r="CB128" s="637"/>
      <c r="CC128" s="637"/>
      <c r="CD128" s="637"/>
      <c r="CE128" s="637"/>
    </row>
    <row s="1858" customFormat="1" customHeight="1" ht="15" hidden="1">
      <c r="A129" s="634"/>
      <c r="B129" s="635"/>
      <c r="C129" s="635"/>
      <c r="D129" s="2609"/>
      <c r="E129" s="2407" t="s">
        <v>577</v>
      </c>
      <c r="F129" s="2408"/>
      <c r="G129" s="2409"/>
      <c r="H129" s="2413" t="str">
        <f>IF(A127="","",INDEX(DIFFERENTIATION_UNMERGE_SYSTEM,MATCH(A127,DIFFERENTIATION_ID_DIFF,0)))</f>
        <v/>
      </c>
      <c r="I129" s="2413"/>
      <c r="J129" s="2413"/>
      <c r="K129" s="2413"/>
      <c r="L129" s="2413"/>
      <c r="M129" s="2413"/>
      <c r="N129" s="2413"/>
      <c r="O129" s="2413"/>
      <c r="P129" s="2413"/>
      <c r="Q129" s="2413"/>
      <c r="R129" s="2413"/>
      <c r="S129" s="730"/>
      <c r="T129" s="727"/>
      <c r="U129" s="636"/>
      <c r="V129" s="636"/>
      <c r="W129" s="637"/>
      <c r="X129" s="637"/>
      <c r="Y129" s="637"/>
      <c r="Z129" s="637"/>
      <c r="AA129" s="638"/>
      <c r="AB129" s="639"/>
      <c r="AC129" s="2405"/>
      <c r="AD129" s="640"/>
      <c r="AE129" s="641"/>
      <c r="AF129" s="641"/>
      <c r="AG129" s="642"/>
      <c r="AH129" s="643"/>
      <c r="AI129" s="636"/>
      <c r="AJ129" s="636"/>
      <c r="AK129" s="636"/>
      <c r="AL129" s="636"/>
      <c r="AM129" s="636"/>
      <c r="AN129" s="636"/>
      <c r="AO129" s="636"/>
      <c r="AP129" s="636"/>
      <c r="AQ129" s="636"/>
      <c r="AR129" s="636"/>
      <c r="AS129" s="636"/>
      <c r="AT129" s="636"/>
      <c r="AU129" s="636"/>
      <c r="AV129" s="636"/>
      <c r="AW129" s="636"/>
      <c r="AX129" s="636"/>
      <c r="AY129" s="636"/>
      <c r="AZ129" s="636"/>
      <c r="BA129" s="636"/>
      <c r="BB129" s="636"/>
      <c r="BC129" s="636"/>
      <c r="BD129" s="636"/>
      <c r="BE129" s="636"/>
      <c r="BF129" s="636"/>
      <c r="BG129" s="636"/>
      <c r="BH129" s="636"/>
      <c r="BI129" s="636"/>
      <c r="BJ129" s="636"/>
      <c r="BK129" s="636"/>
      <c r="BL129" s="636"/>
      <c r="BM129" s="636"/>
      <c r="BN129" s="636"/>
      <c r="BO129" s="636"/>
      <c r="BP129" s="636"/>
      <c r="BQ129" s="636"/>
      <c r="BR129" s="636"/>
      <c r="BS129" s="636"/>
      <c r="BT129" s="636"/>
      <c r="BU129" s="636"/>
      <c r="BV129" s="637"/>
      <c r="BW129" s="637"/>
      <c r="BX129" s="637"/>
      <c r="BY129" s="637"/>
      <c r="BZ129" s="637"/>
      <c r="CA129" s="637"/>
      <c r="CB129" s="637"/>
      <c r="CC129" s="637"/>
      <c r="CD129" s="637"/>
      <c r="CE129" s="637"/>
    </row>
    <row s="1858" customFormat="1" customHeight="1" ht="24.75" hidden="1">
      <c r="A130" s="1816"/>
      <c r="B130" s="1171"/>
      <c r="C130" s="423"/>
      <c r="D130" s="2609"/>
      <c r="E130" s="2406" t="s">
        <v>670</v>
      </c>
      <c r="F130" s="2406"/>
      <c r="G130" s="2406"/>
      <c r="H130" s="2406"/>
      <c r="I130" s="2406"/>
      <c r="J130" s="2406"/>
      <c r="K130" s="2406"/>
      <c r="L130" s="2406"/>
      <c r="M130" s="2406"/>
      <c r="N130" s="2406"/>
      <c r="O130" s="2406"/>
      <c r="P130" s="2406"/>
      <c r="Q130" s="569">
        <f>SUMIF(T131:T132,"i",Q131:Q132)</f>
        <v>0</v>
      </c>
      <c r="R130" s="1028"/>
      <c r="S130" s="1808" t="s">
        <v>671</v>
      </c>
      <c r="T130" s="728" t="s">
        <v>672</v>
      </c>
      <c r="U130" s="2404">
        <v>1</v>
      </c>
      <c r="V130" s="2404">
        <f>INDEX(B_FHD_FLAG_INDEX_1,1,MATCH(A127,B_FHD_FLAG_DIFFERENTIATION,0))</f>
      </c>
      <c r="W130" s="1171"/>
      <c r="X130" s="1171"/>
      <c r="Y130" s="1171"/>
      <c r="Z130" s="1171"/>
      <c r="AA130" s="1647"/>
      <c r="AB130" s="1171"/>
      <c r="AC130" s="2405"/>
      <c r="AD130" s="640"/>
      <c r="AE130" s="1171"/>
      <c r="AF130" s="1171"/>
      <c r="AG130" s="1647"/>
      <c r="AH130" s="1647"/>
      <c r="AI130" s="1647"/>
      <c r="AJ130" s="1647"/>
      <c r="AK130" s="1647"/>
      <c r="AL130" s="1647"/>
      <c r="AM130" s="1647"/>
      <c r="AN130" s="1647"/>
      <c r="AO130" s="1647"/>
      <c r="AP130" s="1647"/>
      <c r="AQ130" s="1647"/>
      <c r="AR130" s="1647"/>
      <c r="AS130" s="1647"/>
      <c r="AT130" s="1647"/>
      <c r="AU130" s="1647"/>
      <c r="AV130" s="1647"/>
      <c r="AW130" s="1647"/>
      <c r="AX130" s="1647"/>
      <c r="AY130" s="1647"/>
      <c r="AZ130" s="1647"/>
      <c r="BA130" s="1647"/>
      <c r="BB130" s="1647"/>
      <c r="BC130" s="1647"/>
      <c r="BD130" s="1647"/>
      <c r="BE130" s="1647"/>
      <c r="BF130" s="1647"/>
      <c r="BG130" s="1647"/>
      <c r="BH130" s="1647"/>
      <c r="BI130" s="1647"/>
      <c r="BJ130" s="1647"/>
      <c r="BK130" s="1647"/>
      <c r="BL130" s="1647"/>
      <c r="BM130" s="1647"/>
      <c r="BN130" s="1647"/>
      <c r="BO130" s="1647"/>
      <c r="BP130" s="1647"/>
      <c r="BQ130" s="1647"/>
      <c r="BR130" s="1647"/>
      <c r="BS130" s="1647"/>
      <c r="BT130" s="1647"/>
      <c r="BU130" s="1647"/>
      <c r="BV130" s="1171"/>
      <c r="BW130" s="1171"/>
      <c r="BX130" s="1171"/>
      <c r="BY130" s="1171"/>
      <c r="BZ130" s="1171"/>
      <c r="CA130" s="1171"/>
      <c r="CB130" s="1171"/>
      <c r="CC130" s="1171"/>
      <c r="CD130" s="1171"/>
      <c r="CE130" s="1171"/>
    </row>
    <row s="1858" customFormat="1" customHeight="1" ht="11.25" hidden="1">
      <c r="A131" s="1803"/>
      <c r="B131" s="1647"/>
      <c r="C131" s="1647"/>
      <c r="D131" s="2609"/>
      <c r="E131" s="646"/>
      <c r="F131" s="646">
        <v>0</v>
      </c>
      <c r="G131" s="646"/>
      <c r="H131" s="646"/>
      <c r="I131" s="646"/>
      <c r="J131" s="646"/>
      <c r="K131" s="646"/>
      <c r="L131" s="646"/>
      <c r="M131" s="646"/>
      <c r="N131" s="646"/>
      <c r="O131" s="646"/>
      <c r="P131" s="646"/>
      <c r="Q131" s="646"/>
      <c r="R131" s="646"/>
      <c r="S131" s="647"/>
      <c r="T131" s="729"/>
      <c r="U131" s="2404"/>
      <c r="V131" s="2404"/>
      <c r="W131" s="1647"/>
      <c r="X131" s="1647"/>
      <c r="Y131" s="1647"/>
      <c r="Z131" s="1647"/>
      <c r="AA131" s="1647"/>
      <c r="AB131" s="1171"/>
      <c r="AC131" s="2405"/>
      <c r="AD131" s="640"/>
      <c r="AE131" s="1171"/>
      <c r="AF131" s="1171"/>
      <c r="AG131" s="1647"/>
      <c r="AH131" s="1647"/>
      <c r="AI131" s="1647"/>
      <c r="AJ131" s="1647"/>
      <c r="AK131" s="1647"/>
      <c r="AL131" s="1647"/>
      <c r="AM131" s="1647"/>
      <c r="AN131" s="1647"/>
      <c r="AO131" s="1647"/>
      <c r="AP131" s="1647"/>
      <c r="AQ131" s="1647"/>
      <c r="AR131" s="1647"/>
      <c r="AS131" s="1647"/>
      <c r="AT131" s="1647"/>
      <c r="AU131" s="1647"/>
      <c r="AV131" s="1647"/>
      <c r="AW131" s="1647"/>
      <c r="AX131" s="1647"/>
      <c r="AY131" s="1647"/>
      <c r="AZ131" s="1647"/>
      <c r="BA131" s="1647"/>
      <c r="BB131" s="1647"/>
      <c r="BC131" s="1647"/>
      <c r="BD131" s="1647"/>
      <c r="BE131" s="1647"/>
      <c r="BF131" s="1647"/>
      <c r="BG131" s="1647"/>
      <c r="BH131" s="1647"/>
      <c r="BI131" s="1647"/>
      <c r="BJ131" s="1647"/>
      <c r="BK131" s="1647"/>
      <c r="BL131" s="1647"/>
      <c r="BM131" s="1647"/>
      <c r="BN131" s="1647"/>
      <c r="BO131" s="1647"/>
      <c r="BP131" s="1647"/>
      <c r="BQ131" s="1647"/>
      <c r="BR131" s="1647"/>
      <c r="BS131" s="1647"/>
      <c r="BT131" s="1647"/>
      <c r="BU131" s="1647"/>
      <c r="BV131" s="1647"/>
      <c r="BW131" s="1647"/>
      <c r="BX131" s="1647"/>
      <c r="BY131" s="1647"/>
      <c r="BZ131" s="1647"/>
      <c r="CA131" s="1647"/>
      <c r="CB131" s="1647"/>
      <c r="CC131" s="1647"/>
      <c r="CD131" s="1647"/>
      <c r="CE131" s="1647"/>
    </row>
    <row s="1858" customFormat="1" customHeight="1" ht="11.25" hidden="1">
      <c r="A132" s="1816"/>
      <c r="B132" s="1171"/>
      <c r="C132" s="423"/>
      <c r="D132" s="2609"/>
      <c r="E132" s="660" t="s">
        <v>22</v>
      </c>
      <c r="F132" s="1179" t="s">
        <v>22</v>
      </c>
      <c r="G132" s="1179" t="s">
        <v>684</v>
      </c>
      <c r="H132" s="662" t="s">
        <v>22</v>
      </c>
      <c r="I132" s="662"/>
      <c r="J132" s="662"/>
      <c r="K132" s="662"/>
      <c r="L132" s="662"/>
      <c r="M132" s="662"/>
      <c r="N132" s="662"/>
      <c r="O132" s="662"/>
      <c r="P132" s="662"/>
      <c r="Q132" s="662"/>
      <c r="R132" s="663"/>
      <c r="S132" s="664"/>
      <c r="T132" s="729"/>
      <c r="U132" s="2404"/>
      <c r="V132" s="2404"/>
      <c r="W132" s="1171"/>
      <c r="X132" s="1171"/>
      <c r="Y132" s="1171"/>
      <c r="Z132" s="1171"/>
      <c r="AA132" s="1647"/>
      <c r="AB132" s="1171"/>
      <c r="AC132" s="2405"/>
      <c r="AD132" s="640"/>
      <c r="AE132" s="1171"/>
      <c r="AF132" s="1171"/>
      <c r="AG132" s="1647"/>
      <c r="AH132" s="1647"/>
      <c r="AI132" s="1647"/>
      <c r="AJ132" s="1647"/>
      <c r="AK132" s="1647"/>
      <c r="AL132" s="1647"/>
      <c r="AM132" s="1647"/>
      <c r="AN132" s="1647"/>
      <c r="AO132" s="1647"/>
      <c r="AP132" s="1647"/>
      <c r="AQ132" s="1647"/>
      <c r="AR132" s="1647"/>
      <c r="AS132" s="1647"/>
      <c r="AT132" s="1647"/>
      <c r="AU132" s="1647"/>
      <c r="AV132" s="1647"/>
      <c r="AW132" s="1647"/>
      <c r="AX132" s="1647"/>
      <c r="AY132" s="1647"/>
      <c r="AZ132" s="1647"/>
      <c r="BA132" s="1647"/>
      <c r="BB132" s="1647"/>
      <c r="BC132" s="1647"/>
      <c r="BD132" s="1647"/>
      <c r="BE132" s="1647"/>
      <c r="BF132" s="1647"/>
      <c r="BG132" s="1647"/>
      <c r="BH132" s="1647"/>
      <c r="BI132" s="1647"/>
      <c r="BJ132" s="1647"/>
      <c r="BK132" s="1647"/>
      <c r="BL132" s="1647"/>
      <c r="BM132" s="1647"/>
      <c r="BN132" s="1647"/>
      <c r="BO132" s="1647"/>
      <c r="BP132" s="1647"/>
      <c r="BQ132" s="1647"/>
      <c r="BR132" s="1647"/>
      <c r="BS132" s="1647"/>
      <c r="BT132" s="1647"/>
      <c r="BU132" s="1647"/>
      <c r="BV132" s="1171"/>
      <c r="BW132" s="1171"/>
      <c r="BX132" s="1171"/>
      <c r="BY132" s="1171"/>
      <c r="BZ132" s="1171"/>
      <c r="CA132" s="1171"/>
      <c r="CB132" s="1171"/>
      <c r="CC132" s="1171"/>
      <c r="CD132" s="1171"/>
      <c r="CE132" s="1171"/>
    </row>
    <row s="1327" customFormat="1" customHeight="1" ht="5.25" hidden="1">
      <c r="A133" s="1803"/>
      <c r="B133" s="1647"/>
      <c r="C133" s="1647"/>
      <c r="D133" s="2609"/>
      <c r="E133" s="1050"/>
      <c r="F133" s="1050"/>
      <c r="G133" s="1050"/>
      <c r="H133" s="1050"/>
      <c r="I133" s="1050"/>
      <c r="J133" s="1050"/>
      <c r="K133" s="1050"/>
      <c r="L133" s="1050"/>
      <c r="M133" s="1050"/>
      <c r="N133" s="1050"/>
      <c r="O133" s="1050"/>
      <c r="P133" s="1050"/>
      <c r="Q133" s="1051"/>
      <c r="R133" s="1052"/>
      <c r="S133" s="1053"/>
      <c r="T133" s="728" t="s">
        <v>672</v>
      </c>
      <c r="U133" s="2404">
        <v>1</v>
      </c>
      <c r="V133" s="2404" t="s">
        <v>599</v>
      </c>
      <c r="W133" s="1647"/>
      <c r="X133" s="1647"/>
      <c r="Y133" s="1647"/>
      <c r="Z133" s="1647"/>
      <c r="AA133" s="1647"/>
      <c r="AB133" s="1647"/>
      <c r="AC133" s="1048"/>
      <c r="AD133" s="1049"/>
      <c r="AE133" s="1647"/>
      <c r="AF133" s="1647"/>
      <c r="AG133" s="1647"/>
      <c r="AH133" s="1647"/>
      <c r="AI133" s="1647"/>
      <c r="AJ133" s="1647"/>
      <c r="AK133" s="1647"/>
      <c r="AL133" s="1647"/>
      <c r="AM133" s="1647"/>
      <c r="AN133" s="1647"/>
      <c r="AO133" s="1647"/>
      <c r="AP133" s="1647"/>
      <c r="AQ133" s="1647"/>
      <c r="AR133" s="1647"/>
      <c r="AS133" s="1647"/>
      <c r="AT133" s="1647"/>
      <c r="AU133" s="1647"/>
      <c r="AV133" s="1647"/>
      <c r="AW133" s="1647"/>
      <c r="AX133" s="1647"/>
      <c r="AY133" s="1647"/>
      <c r="AZ133" s="1647"/>
      <c r="BA133" s="1647"/>
      <c r="BB133" s="1647"/>
      <c r="BC133" s="1647"/>
      <c r="BD133" s="1647"/>
      <c r="BE133" s="1647"/>
      <c r="BF133" s="1647"/>
      <c r="BG133" s="1647"/>
      <c r="BH133" s="1647"/>
      <c r="BI133" s="1647"/>
      <c r="BJ133" s="1647"/>
      <c r="BK133" s="1647"/>
      <c r="BL133" s="1647"/>
      <c r="BM133" s="1647"/>
      <c r="BN133" s="1647"/>
      <c r="BO133" s="1647"/>
      <c r="BP133" s="1647"/>
      <c r="BQ133" s="1647"/>
      <c r="BR133" s="1647"/>
      <c r="BS133" s="1647"/>
      <c r="BT133" s="1647"/>
      <c r="BU133" s="1647"/>
      <c r="BV133" s="1647"/>
      <c r="BW133" s="1647"/>
      <c r="BX133" s="1647"/>
      <c r="BY133" s="1647"/>
      <c r="BZ133" s="1647"/>
      <c r="CA133" s="1647"/>
      <c r="CB133" s="1647"/>
      <c r="CC133" s="1647"/>
      <c r="CD133" s="1647"/>
      <c r="CE133" s="1647"/>
    </row>
    <row s="1327" customFormat="1" customHeight="1" ht="5.25" hidden="1">
      <c r="A134" s="1803"/>
      <c r="B134" s="1647"/>
      <c r="C134" s="1647"/>
      <c r="D134" s="2609"/>
      <c r="E134" s="646"/>
      <c r="F134" s="646"/>
      <c r="G134" s="646"/>
      <c r="H134" s="646"/>
      <c r="I134" s="646"/>
      <c r="J134" s="646"/>
      <c r="K134" s="646"/>
      <c r="L134" s="646"/>
      <c r="M134" s="646"/>
      <c r="N134" s="646"/>
      <c r="O134" s="646"/>
      <c r="P134" s="646"/>
      <c r="Q134" s="646"/>
      <c r="R134" s="646"/>
      <c r="S134" s="647"/>
      <c r="T134" s="729"/>
      <c r="U134" s="2404"/>
      <c r="V134" s="2404"/>
      <c r="W134" s="1647"/>
      <c r="X134" s="1647"/>
      <c r="Y134" s="1647"/>
      <c r="Z134" s="1647"/>
      <c r="AA134" s="1647"/>
      <c r="AB134" s="1647"/>
      <c r="AC134" s="1048"/>
      <c r="AD134" s="1049"/>
      <c r="AE134" s="1647"/>
      <c r="AF134" s="1647"/>
      <c r="AG134" s="1647"/>
      <c r="AH134" s="1647"/>
      <c r="AI134" s="1647"/>
      <c r="AJ134" s="1647"/>
      <c r="AK134" s="1647"/>
      <c r="AL134" s="1647"/>
      <c r="AM134" s="1647"/>
      <c r="AN134" s="1647"/>
      <c r="AO134" s="1647"/>
      <c r="AP134" s="1647"/>
      <c r="AQ134" s="1647"/>
      <c r="AR134" s="1647"/>
      <c r="AS134" s="1647"/>
      <c r="AT134" s="1647"/>
      <c r="AU134" s="1647"/>
      <c r="AV134" s="1647"/>
      <c r="AW134" s="1647"/>
      <c r="AX134" s="1647"/>
      <c r="AY134" s="1647"/>
      <c r="AZ134" s="1647"/>
      <c r="BA134" s="1647"/>
      <c r="BB134" s="1647"/>
      <c r="BC134" s="1647"/>
      <c r="BD134" s="1647"/>
      <c r="BE134" s="1647"/>
      <c r="BF134" s="1647"/>
      <c r="BG134" s="1647"/>
      <c r="BH134" s="1647"/>
      <c r="BI134" s="1647"/>
      <c r="BJ134" s="1647"/>
      <c r="BK134" s="1647"/>
      <c r="BL134" s="1647"/>
      <c r="BM134" s="1647"/>
      <c r="BN134" s="1647"/>
      <c r="BO134" s="1647"/>
      <c r="BP134" s="1647"/>
      <c r="BQ134" s="1647"/>
      <c r="BR134" s="1647"/>
      <c r="BS134" s="1647"/>
      <c r="BT134" s="1647"/>
      <c r="BU134" s="1647"/>
      <c r="BV134" s="1647"/>
      <c r="BW134" s="1647"/>
      <c r="BX134" s="1647"/>
      <c r="BY134" s="1647"/>
      <c r="BZ134" s="1647"/>
      <c r="CA134" s="1647"/>
      <c r="CB134" s="1647"/>
      <c r="CC134" s="1647"/>
      <c r="CD134" s="1647"/>
      <c r="CE134" s="1647"/>
    </row>
    <row s="1327" customFormat="1" customHeight="1" ht="5.25" hidden="1">
      <c r="A135" s="1803"/>
      <c r="B135" s="1647"/>
      <c r="C135" s="1647"/>
      <c r="D135" s="2610"/>
      <c r="E135" s="1054"/>
      <c r="F135" s="1055"/>
      <c r="G135" s="1055"/>
      <c r="H135" s="1056"/>
      <c r="I135" s="1056"/>
      <c r="J135" s="1056"/>
      <c r="K135" s="1056"/>
      <c r="L135" s="1056"/>
      <c r="M135" s="1056"/>
      <c r="N135" s="1056"/>
      <c r="O135" s="1056"/>
      <c r="P135" s="1056"/>
      <c r="Q135" s="1056"/>
      <c r="R135" s="957"/>
      <c r="S135" s="1057"/>
      <c r="T135" s="729"/>
      <c r="U135" s="2404"/>
      <c r="V135" s="2404"/>
      <c r="W135" s="1647"/>
      <c r="X135" s="1647"/>
      <c r="Y135" s="1647"/>
      <c r="Z135" s="1647"/>
      <c r="AA135" s="1647"/>
      <c r="AB135" s="1647"/>
      <c r="AC135" s="1048"/>
      <c r="AD135" s="1049"/>
      <c r="AE135" s="1647"/>
      <c r="AF135" s="1647"/>
      <c r="AG135" s="1647"/>
      <c r="AH135" s="1647"/>
      <c r="AI135" s="1647"/>
      <c r="AJ135" s="1647"/>
      <c r="AK135" s="1647"/>
      <c r="AL135" s="1647"/>
      <c r="AM135" s="1647"/>
      <c r="AN135" s="1647"/>
      <c r="AO135" s="1647"/>
      <c r="AP135" s="1647"/>
      <c r="AQ135" s="1647"/>
      <c r="AR135" s="1647"/>
      <c r="AS135" s="1647"/>
      <c r="AT135" s="1647"/>
      <c r="AU135" s="1647"/>
      <c r="AV135" s="1647"/>
      <c r="AW135" s="1647"/>
      <c r="AX135" s="1647"/>
      <c r="AY135" s="1647"/>
      <c r="AZ135" s="1647"/>
      <c r="BA135" s="1647"/>
      <c r="BB135" s="1647"/>
      <c r="BC135" s="1647"/>
      <c r="BD135" s="1647"/>
      <c r="BE135" s="1647"/>
      <c r="BF135" s="1647"/>
      <c r="BG135" s="1647"/>
      <c r="BH135" s="1647"/>
      <c r="BI135" s="1647"/>
      <c r="BJ135" s="1647"/>
      <c r="BK135" s="1647"/>
      <c r="BL135" s="1647"/>
      <c r="BM135" s="1647"/>
      <c r="BN135" s="1647"/>
      <c r="BO135" s="1647"/>
      <c r="BP135" s="1647"/>
      <c r="BQ135" s="1647"/>
      <c r="BR135" s="1647"/>
      <c r="BS135" s="1647"/>
      <c r="BT135" s="1647"/>
      <c r="BU135" s="1647"/>
      <c r="BV135" s="1647"/>
      <c r="BW135" s="1647"/>
      <c r="BX135" s="1647"/>
      <c r="BY135" s="1647"/>
      <c r="BZ135" s="1647"/>
      <c r="CA135" s="1647"/>
      <c r="CB135" s="1647"/>
      <c r="CC135" s="1647"/>
      <c r="CD135" s="1647"/>
      <c r="CE135" s="1647"/>
    </row>
    <row customHeight="1" ht="17.25">
      <c r="D136" s="1844"/>
    </row>
    <row s="1825" customFormat="1" customHeight="1" ht="11.25">
      <c r="A137" s="1825" t="s">
        <v>2153</v>
      </c>
    </row>
    <row r="139" s="1858" customFormat="1" customHeight="1" ht="45">
      <c r="A139" s="1816"/>
      <c r="B139" s="1171"/>
      <c r="C139" s="423"/>
      <c r="D139" s="100"/>
      <c r="E139" s="2602"/>
      <c r="F139" s="2138" t="s">
        <v>120</v>
      </c>
      <c r="G139" s="2605" t="s">
        <v>22</v>
      </c>
      <c r="H139" s="300"/>
      <c r="I139" s="648" t="s">
        <v>120</v>
      </c>
      <c r="J139" s="1817" t="s">
        <v>674</v>
      </c>
      <c r="K139" s="649" t="s">
        <v>558</v>
      </c>
      <c r="L139" s="2254" t="s">
        <v>558</v>
      </c>
      <c r="M139" s="2607"/>
      <c r="N139" s="649" t="s">
        <v>558</v>
      </c>
      <c r="O139" s="649" t="s">
        <v>558</v>
      </c>
      <c r="P139" s="649" t="s">
        <v>558</v>
      </c>
      <c r="Q139" s="650">
        <f>SUM(Q140:Q142)</f>
        <v>0</v>
      </c>
      <c r="R139" s="650">
        <f>IF(R136=0,0,(Q136/R136)*100)</f>
        <v>0</v>
      </c>
      <c r="S139" s="2209"/>
      <c r="T139" s="728" t="s">
        <v>672</v>
      </c>
      <c r="U139" s="100"/>
      <c r="V139" s="100"/>
      <c r="AC139" s="100"/>
    </row>
    <row s="1858" customFormat="1" customHeight="1" ht="11.25">
      <c r="A140" s="1816"/>
      <c r="B140" s="1171"/>
      <c r="C140" s="423"/>
      <c r="D140" s="100"/>
      <c r="E140" s="2603"/>
      <c r="F140" s="2138"/>
      <c r="G140" s="2605"/>
      <c r="H140" s="2157"/>
      <c r="I140" s="2545" t="s">
        <v>675</v>
      </c>
      <c r="J140" s="2599"/>
      <c r="K140" s="2600"/>
      <c r="L140" s="651"/>
      <c r="M140" s="652" t="s">
        <v>120</v>
      </c>
      <c r="N140" s="1805"/>
      <c r="O140" s="653"/>
      <c r="P140" s="654"/>
      <c r="Q140" s="653"/>
      <c r="R140" s="655">
        <v>0</v>
      </c>
      <c r="S140" s="2209"/>
      <c r="T140" s="728"/>
      <c r="U140" s="100"/>
      <c r="V140" s="100"/>
      <c r="AC140" s="100"/>
    </row>
    <row s="1858" customFormat="1" customHeight="1" ht="11.25">
      <c r="A141" s="1816"/>
      <c r="B141" s="1171"/>
      <c r="C141" s="423"/>
      <c r="D141" s="100"/>
      <c r="E141" s="2603"/>
      <c r="F141" s="2138"/>
      <c r="G141" s="2605"/>
      <c r="H141" s="2157"/>
      <c r="I141" s="2545"/>
      <c r="J141" s="2599"/>
      <c r="K141" s="2601"/>
      <c r="L141" s="656"/>
      <c r="M141" s="657"/>
      <c r="N141" s="658" t="s">
        <v>679</v>
      </c>
      <c r="O141" s="658"/>
      <c r="P141" s="658"/>
      <c r="Q141" s="658"/>
      <c r="R141" s="659"/>
      <c r="S141" s="2209"/>
      <c r="T141" s="728"/>
      <c r="U141" s="100"/>
      <c r="V141" s="100"/>
      <c r="AC141" s="100"/>
    </row>
    <row s="1858" customFormat="1" customHeight="1" ht="11.25">
      <c r="A142" s="1816"/>
      <c r="B142" s="1171"/>
      <c r="C142" s="423"/>
      <c r="D142" s="100"/>
      <c r="E142" s="2604"/>
      <c r="F142" s="2138"/>
      <c r="G142" s="2606"/>
      <c r="H142" s="656" t="s">
        <v>22</v>
      </c>
      <c r="I142" s="657"/>
      <c r="J142" s="658" t="s">
        <v>680</v>
      </c>
      <c r="K142" s="658"/>
      <c r="L142" s="658"/>
      <c r="M142" s="658"/>
      <c r="N142" s="658"/>
      <c r="O142" s="658"/>
      <c r="P142" s="658"/>
      <c r="Q142" s="658"/>
      <c r="R142" s="659"/>
      <c r="S142" s="2209"/>
      <c r="T142" s="728"/>
      <c r="U142" s="100"/>
      <c r="V142" s="100"/>
      <c r="AC142" s="100"/>
    </row>
    <row r="147" s="1858" customFormat="1" customHeight="1" ht="11.25">
      <c r="A147" s="1816"/>
      <c r="B147" s="1171"/>
      <c r="C147" s="423"/>
      <c r="D147" s="100"/>
      <c r="E147" s="1840"/>
      <c r="F147" s="1840"/>
      <c r="G147" s="1840"/>
      <c r="H147" s="2157"/>
      <c r="I147" s="2545" t="s">
        <v>675</v>
      </c>
      <c r="J147" s="2599"/>
      <c r="K147" s="2600"/>
      <c r="L147" s="651"/>
      <c r="M147" s="652" t="s">
        <v>120</v>
      </c>
      <c r="N147" s="1805"/>
      <c r="O147" s="653"/>
      <c r="P147" s="654"/>
      <c r="Q147" s="653"/>
      <c r="R147" s="655">
        <v>0</v>
      </c>
      <c r="S147" s="100"/>
      <c r="T147" s="728"/>
      <c r="U147" s="100"/>
      <c r="V147" s="100"/>
      <c r="AC147" s="100"/>
    </row>
    <row s="1858" customFormat="1" customHeight="1" ht="11.25">
      <c r="A148" s="1816"/>
      <c r="B148" s="1171"/>
      <c r="C148" s="423"/>
      <c r="D148" s="100"/>
      <c r="E148" s="1840"/>
      <c r="F148" s="1840"/>
      <c r="G148" s="1840"/>
      <c r="H148" s="2157"/>
      <c r="I148" s="2545"/>
      <c r="J148" s="2599"/>
      <c r="K148" s="2601"/>
      <c r="L148" s="656"/>
      <c r="M148" s="657"/>
      <c r="N148" s="658" t="s">
        <v>679</v>
      </c>
      <c r="O148" s="658"/>
      <c r="P148" s="658"/>
      <c r="Q148" s="658"/>
      <c r="R148" s="659"/>
      <c r="S148" s="100"/>
      <c r="T148" s="728"/>
      <c r="U148" s="100"/>
      <c r="V148" s="100"/>
      <c r="AC148" s="100"/>
    </row>
    <row r="150" s="1858" customFormat="1" customHeight="1" ht="11.25">
      <c r="A150" s="1816"/>
      <c r="B150" s="1171"/>
      <c r="C150" s="423"/>
      <c r="D150" s="100"/>
      <c r="E150" s="1845"/>
      <c r="F150" s="1843"/>
      <c r="G150" s="1843"/>
      <c r="H150" s="1846"/>
      <c r="I150" s="1840"/>
      <c r="J150" s="1841"/>
      <c r="K150" s="1841"/>
      <c r="L150" s="651"/>
      <c r="M150" s="652" t="s">
        <v>120</v>
      </c>
      <c r="N150" s="1805"/>
      <c r="O150" s="653"/>
      <c r="P150" s="654"/>
      <c r="Q150" s="653"/>
      <c r="R150" s="655">
        <v>0</v>
      </c>
      <c r="S150" s="100"/>
      <c r="T150" s="728"/>
      <c r="U150" s="100"/>
      <c r="V150" s="100"/>
      <c r="AC150" s="100"/>
    </row>
    <row r="152" s="1825" customFormat="1" customHeight="1" ht="17.25">
      <c r="A152" s="1825" t="s">
        <v>2154</v>
      </c>
    </row>
    <row customHeight="1" ht="17.25">
      <c r="G153" s="1847"/>
      <c r="H153" s="1847"/>
      <c r="I153" s="1847"/>
      <c r="M153" s="1843"/>
    </row>
    <row s="1861" customFormat="1" customHeight="1" ht="17.25">
      <c r="A154" s="1848"/>
      <c r="C154" s="1850"/>
      <c r="D154" s="2559"/>
      <c r="E154" s="2173"/>
      <c r="F154" s="2175"/>
      <c r="G154" s="2561"/>
      <c r="H154" s="2559"/>
      <c r="I154" s="2559">
        <v>1</v>
      </c>
      <c r="J154" s="2531"/>
      <c r="K154" s="2215" t="s">
        <v>63</v>
      </c>
      <c r="L154" s="2138"/>
      <c r="M154" s="2138" t="s">
        <v>120</v>
      </c>
      <c r="N154" s="2534" t="str">
        <f>IF(Z154="","",INDEX(TERRITORY_MR_LIST,MATCH(Z154,TERRITORY_LIST_ID,0)))</f>
        <v/>
      </c>
      <c r="O154" s="2215" t="s">
        <v>63</v>
      </c>
      <c r="P154" s="2138"/>
      <c r="Q154" s="2138" t="s">
        <v>120</v>
      </c>
      <c r="R154" s="2532" t="s">
        <v>22</v>
      </c>
      <c r="S154" s="2137" t="s">
        <v>63</v>
      </c>
      <c r="T154" s="1821"/>
      <c r="U154" s="1821" t="s">
        <v>120</v>
      </c>
      <c r="V154" s="1851" t="s">
        <v>22</v>
      </c>
      <c r="W154" s="1811"/>
      <c r="Y154" s="1278"/>
      <c r="Z154" s="1278"/>
      <c r="AA154" s="1278"/>
      <c r="AB154" s="1278"/>
      <c r="AC154" s="1278"/>
      <c r="AD154" s="1278"/>
      <c r="AE154" s="1278"/>
      <c r="AF154" s="1278"/>
      <c r="AG154" s="1278"/>
      <c r="AH154" s="1278"/>
      <c r="AI154" s="1278"/>
      <c r="AJ154" s="1278"/>
      <c r="AK154" s="1278"/>
      <c r="AL154" s="1852"/>
      <c r="AM154" s="1852"/>
      <c r="AN154" s="1278"/>
      <c r="AO154" s="1278"/>
      <c r="AP154" s="1278"/>
      <c r="AQ154" s="1278"/>
    </row>
    <row s="1861" customFormat="1" customHeight="1" ht="17.25">
      <c r="A155" s="1848"/>
      <c r="C155" s="1853"/>
      <c r="D155" s="2559"/>
      <c r="E155" s="2173"/>
      <c r="F155" s="2176"/>
      <c r="G155" s="2561"/>
      <c r="H155" s="2559"/>
      <c r="I155" s="2559"/>
      <c r="J155" s="2531"/>
      <c r="K155" s="2216"/>
      <c r="L155" s="2138"/>
      <c r="M155" s="2138"/>
      <c r="N155" s="2534"/>
      <c r="O155" s="2216"/>
      <c r="P155" s="2138"/>
      <c r="Q155" s="2138"/>
      <c r="R155" s="2532"/>
      <c r="S155" s="2137"/>
      <c r="T155" s="328"/>
      <c r="U155" s="329"/>
      <c r="V155" s="329" t="s">
        <v>428</v>
      </c>
      <c r="W155" s="330"/>
      <c r="Y155" s="1270"/>
      <c r="Z155" s="1270"/>
      <c r="AA155" s="1270"/>
      <c r="AB155" s="1270"/>
      <c r="AC155" s="1270"/>
      <c r="AD155" s="1270"/>
      <c r="AE155" s="1270"/>
      <c r="AF155" s="1270"/>
      <c r="AG155" s="1270"/>
      <c r="AH155" s="1270"/>
      <c r="AI155" s="1270"/>
      <c r="AJ155" s="1270"/>
      <c r="AK155" s="1270"/>
    </row>
    <row s="1861" customFormat="1" customHeight="1" ht="17.25">
      <c r="A156" s="1848"/>
      <c r="C156" s="1853"/>
      <c r="D156" s="2533"/>
      <c r="E156" s="2560"/>
      <c r="F156" s="2176"/>
      <c r="G156" s="2562"/>
      <c r="H156" s="2533"/>
      <c r="I156" s="2533"/>
      <c r="J156" s="2563"/>
      <c r="K156" s="2216"/>
      <c r="L156" s="2533"/>
      <c r="M156" s="2533"/>
      <c r="N156" s="2535"/>
      <c r="O156" s="2142"/>
      <c r="P156" s="328"/>
      <c r="Q156" s="329"/>
      <c r="R156" s="329" t="s">
        <v>429</v>
      </c>
      <c r="S156" s="1854"/>
      <c r="T156" s="1854"/>
      <c r="U156" s="1854"/>
      <c r="V156" s="1854"/>
      <c r="W156" s="330"/>
      <c r="Y156" s="1270"/>
      <c r="Z156" s="1270"/>
      <c r="AA156" s="1270"/>
      <c r="AB156" s="1270"/>
      <c r="AC156" s="1270"/>
      <c r="AD156" s="1270"/>
      <c r="AE156" s="1270"/>
      <c r="AF156" s="1270"/>
      <c r="AG156" s="1270"/>
      <c r="AH156" s="1270"/>
      <c r="AI156" s="1270"/>
      <c r="AJ156" s="1270"/>
      <c r="AK156" s="1270"/>
    </row>
    <row s="1861" customFormat="1" customHeight="1" ht="17.25">
      <c r="A157" s="1848"/>
      <c r="C157" s="1853"/>
      <c r="D157" s="2533"/>
      <c r="E157" s="2560"/>
      <c r="F157" s="2176"/>
      <c r="G157" s="2562"/>
      <c r="H157" s="2533"/>
      <c r="I157" s="2533"/>
      <c r="J157" s="2563"/>
      <c r="K157" s="2142"/>
      <c r="L157" s="328"/>
      <c r="M157" s="329"/>
      <c r="N157" s="329" t="s">
        <v>430</v>
      </c>
      <c r="O157" s="329"/>
      <c r="P157" s="329"/>
      <c r="Q157" s="329"/>
      <c r="R157" s="329"/>
      <c r="S157" s="1854"/>
      <c r="T157" s="1854"/>
      <c r="U157" s="1854"/>
      <c r="V157" s="1854"/>
      <c r="W157" s="330"/>
      <c r="Y157" s="1270"/>
      <c r="Z157" s="1270"/>
      <c r="AA157" s="1270"/>
      <c r="AB157" s="1270"/>
      <c r="AC157" s="1270"/>
      <c r="AD157" s="1270"/>
      <c r="AE157" s="1270"/>
      <c r="AF157" s="1270"/>
      <c r="AG157" s="1270"/>
      <c r="AH157" s="1270"/>
      <c r="AI157" s="1270"/>
      <c r="AJ157" s="1270"/>
      <c r="AK157" s="1270"/>
    </row>
    <row s="1861" customFormat="1" customHeight="1" ht="17.25">
      <c r="A158" s="1848"/>
      <c r="C158" s="1853"/>
      <c r="D158" s="2533"/>
      <c r="E158" s="2560"/>
      <c r="F158" s="2177"/>
      <c r="G158" s="2562"/>
      <c r="H158" s="328"/>
      <c r="I158" s="329"/>
      <c r="J158" s="329" t="s">
        <v>458</v>
      </c>
      <c r="K158" s="329"/>
      <c r="L158" s="329"/>
      <c r="M158" s="329"/>
      <c r="N158" s="329"/>
      <c r="O158" s="329"/>
      <c r="P158" s="329"/>
      <c r="Q158" s="329"/>
      <c r="R158" s="329"/>
      <c r="S158" s="1854"/>
      <c r="T158" s="1854"/>
      <c r="U158" s="1854"/>
      <c r="V158" s="1854"/>
      <c r="W158" s="330"/>
      <c r="Y158" s="1270"/>
      <c r="Z158" s="1270"/>
      <c r="AA158" s="1270"/>
      <c r="AB158" s="1270"/>
      <c r="AC158" s="1270"/>
      <c r="AD158" s="1270"/>
      <c r="AE158" s="1270"/>
      <c r="AF158" s="1270"/>
      <c r="AG158" s="1270"/>
      <c r="AH158" s="1270"/>
      <c r="AI158" s="1270"/>
      <c r="AJ158" s="1270"/>
      <c r="AK158" s="1270"/>
    </row>
    <row customHeight="1" ht="17.25">
      <c r="G159" s="1847"/>
      <c r="H159" s="1847"/>
      <c r="I159" s="1847"/>
      <c r="M159" s="1843"/>
    </row>
    <row s="1861" customFormat="1" customHeight="1" ht="17.25">
      <c r="A160" s="1848"/>
      <c r="C160" s="1850"/>
      <c r="D160" s="1840"/>
      <c r="E160" s="1855"/>
      <c r="F160" s="1794"/>
      <c r="G160" s="1856"/>
      <c r="H160" s="2559"/>
      <c r="I160" s="2559">
        <v>1</v>
      </c>
      <c r="J160" s="2531"/>
      <c r="K160" s="2215" t="s">
        <v>63</v>
      </c>
      <c r="L160" s="2138"/>
      <c r="M160" s="2138" t="s">
        <v>120</v>
      </c>
      <c r="N160" s="2534" t="str">
        <f>IF(Z160="","",INDEX(TERRITORY_MR_LIST,MATCH(Z160,TERRITORY_LIST_ID,0)))</f>
        <v/>
      </c>
      <c r="O160" s="2215" t="s">
        <v>63</v>
      </c>
      <c r="P160" s="2138"/>
      <c r="Q160" s="2138" t="s">
        <v>120</v>
      </c>
      <c r="R160" s="2532" t="s">
        <v>22</v>
      </c>
      <c r="S160" s="2137" t="s">
        <v>63</v>
      </c>
      <c r="T160" s="1821"/>
      <c r="U160" s="1821" t="s">
        <v>120</v>
      </c>
      <c r="V160" s="1851" t="s">
        <v>22</v>
      </c>
      <c r="W160" s="1811"/>
      <c r="Y160" s="1278"/>
      <c r="Z160" s="1278"/>
      <c r="AA160" s="1278"/>
      <c r="AB160" s="1278"/>
      <c r="AC160" s="1278"/>
      <c r="AD160" s="1278"/>
      <c r="AE160" s="1278"/>
      <c r="AF160" s="1278"/>
      <c r="AG160" s="1278"/>
      <c r="AH160" s="1278"/>
      <c r="AI160" s="1278"/>
      <c r="AJ160" s="1278"/>
      <c r="AK160" s="1278"/>
      <c r="AL160" s="1852"/>
      <c r="AM160" s="1852"/>
      <c r="AN160" s="1278"/>
      <c r="AO160" s="1278"/>
      <c r="AP160" s="1278"/>
      <c r="AQ160" s="1278"/>
    </row>
    <row s="1861" customFormat="1" customHeight="1" ht="17.25">
      <c r="A161" s="1848"/>
      <c r="C161" s="1853"/>
      <c r="D161" s="1840"/>
      <c r="E161" s="1855"/>
      <c r="F161" s="1794"/>
      <c r="G161" s="1856"/>
      <c r="H161" s="2559"/>
      <c r="I161" s="2559"/>
      <c r="J161" s="2531"/>
      <c r="K161" s="2216"/>
      <c r="L161" s="2138"/>
      <c r="M161" s="2138"/>
      <c r="N161" s="2534"/>
      <c r="O161" s="2216"/>
      <c r="P161" s="2138"/>
      <c r="Q161" s="2138"/>
      <c r="R161" s="2532"/>
      <c r="S161" s="2137"/>
      <c r="T161" s="328"/>
      <c r="U161" s="329"/>
      <c r="V161" s="329" t="s">
        <v>428</v>
      </c>
      <c r="W161" s="330"/>
      <c r="Y161" s="1270"/>
      <c r="Z161" s="1270"/>
      <c r="AA161" s="1270"/>
      <c r="AB161" s="1270"/>
      <c r="AC161" s="1270"/>
      <c r="AD161" s="1270"/>
      <c r="AE161" s="1270"/>
      <c r="AF161" s="1270"/>
      <c r="AG161" s="1270"/>
      <c r="AH161" s="1270"/>
      <c r="AI161" s="1270"/>
      <c r="AJ161" s="1270"/>
      <c r="AK161" s="1270"/>
    </row>
    <row s="1861" customFormat="1" customHeight="1" ht="17.25">
      <c r="A162" s="1848"/>
      <c r="C162" s="1853"/>
      <c r="D162" s="1840"/>
      <c r="E162" s="1855"/>
      <c r="F162" s="1794"/>
      <c r="G162" s="1856"/>
      <c r="H162" s="2533"/>
      <c r="I162" s="2533"/>
      <c r="J162" s="2563"/>
      <c r="K162" s="2216"/>
      <c r="L162" s="2533"/>
      <c r="M162" s="2533"/>
      <c r="N162" s="2535"/>
      <c r="O162" s="2142"/>
      <c r="P162" s="328"/>
      <c r="Q162" s="329"/>
      <c r="R162" s="329" t="s">
        <v>429</v>
      </c>
      <c r="S162" s="1854"/>
      <c r="T162" s="1854"/>
      <c r="U162" s="1854"/>
      <c r="V162" s="1854"/>
      <c r="W162" s="330"/>
      <c r="Y162" s="1270"/>
      <c r="Z162" s="1270"/>
      <c r="AA162" s="1270"/>
      <c r="AB162" s="1270"/>
      <c r="AC162" s="1270"/>
      <c r="AD162" s="1270"/>
      <c r="AE162" s="1270"/>
      <c r="AF162" s="1270"/>
      <c r="AG162" s="1270"/>
      <c r="AH162" s="1270"/>
      <c r="AI162" s="1270"/>
      <c r="AJ162" s="1270"/>
      <c r="AK162" s="1270"/>
    </row>
    <row s="1861" customFormat="1" customHeight="1" ht="17.25">
      <c r="A163" s="1848"/>
      <c r="C163" s="1853"/>
      <c r="D163" s="1840"/>
      <c r="E163" s="1855"/>
      <c r="F163" s="1794"/>
      <c r="G163" s="1856"/>
      <c r="H163" s="2533"/>
      <c r="I163" s="2533"/>
      <c r="J163" s="2563"/>
      <c r="K163" s="2142"/>
      <c r="L163" s="328"/>
      <c r="M163" s="329"/>
      <c r="N163" s="329" t="s">
        <v>430</v>
      </c>
      <c r="O163" s="329"/>
      <c r="P163" s="329"/>
      <c r="Q163" s="329"/>
      <c r="R163" s="329"/>
      <c r="S163" s="1854"/>
      <c r="T163" s="1854"/>
      <c r="U163" s="1854"/>
      <c r="V163" s="1854"/>
      <c r="W163" s="330"/>
      <c r="Y163" s="1270"/>
      <c r="Z163" s="1270"/>
      <c r="AA163" s="1270"/>
      <c r="AB163" s="1270"/>
      <c r="AC163" s="1270"/>
      <c r="AD163" s="1270"/>
      <c r="AE163" s="1270"/>
      <c r="AF163" s="1270"/>
      <c r="AG163" s="1270"/>
      <c r="AH163" s="1270"/>
      <c r="AI163" s="1270"/>
      <c r="AJ163" s="1270"/>
      <c r="AK163" s="1270"/>
    </row>
    <row customHeight="1" ht="17.25">
      <c r="G164" s="1847"/>
      <c r="H164" s="1847"/>
      <c r="I164" s="1847"/>
      <c r="M164" s="1843"/>
    </row>
    <row s="1861" customFormat="1" customHeight="1" ht="17.25">
      <c r="A165" s="1848"/>
      <c r="C165" s="1850"/>
      <c r="D165" s="1840"/>
      <c r="E165" s="1855"/>
      <c r="F165" s="1794"/>
      <c r="G165" s="1856"/>
      <c r="H165" s="1840"/>
      <c r="I165" s="1840"/>
      <c r="J165" s="1857"/>
      <c r="K165" s="1770"/>
      <c r="L165" s="2138"/>
      <c r="M165" s="2138" t="s">
        <v>120</v>
      </c>
      <c r="N165" s="2534" t="str">
        <f>IF(Z165="","",INDEX(TERRITORY_MR_LIST,MATCH(Z165,TERRITORY_LIST_ID,0)))</f>
        <v/>
      </c>
      <c r="O165" s="2215" t="s">
        <v>63</v>
      </c>
      <c r="P165" s="2138"/>
      <c r="Q165" s="2138" t="s">
        <v>120</v>
      </c>
      <c r="R165" s="2532" t="s">
        <v>22</v>
      </c>
      <c r="S165" s="2137" t="s">
        <v>63</v>
      </c>
      <c r="T165" s="1821"/>
      <c r="U165" s="1821" t="s">
        <v>120</v>
      </c>
      <c r="V165" s="1851" t="s">
        <v>22</v>
      </c>
      <c r="W165" s="1811"/>
      <c r="Y165" s="1278"/>
      <c r="Z165" s="1278"/>
      <c r="AA165" s="1278"/>
      <c r="AB165" s="1278"/>
      <c r="AC165" s="1278"/>
      <c r="AD165" s="1278"/>
      <c r="AE165" s="1278"/>
      <c r="AF165" s="1278"/>
      <c r="AG165" s="1278"/>
      <c r="AH165" s="1278"/>
      <c r="AI165" s="1278"/>
      <c r="AJ165" s="1278"/>
      <c r="AK165" s="1278"/>
      <c r="AL165" s="1852"/>
      <c r="AM165" s="1852"/>
      <c r="AN165" s="1278"/>
      <c r="AO165" s="1278"/>
      <c r="AP165" s="1278"/>
      <c r="AQ165" s="1278"/>
    </row>
    <row s="1861" customFormat="1" customHeight="1" ht="17.25">
      <c r="A166" s="1848"/>
      <c r="C166" s="1853"/>
      <c r="D166" s="1840"/>
      <c r="E166" s="1855"/>
      <c r="F166" s="1794"/>
      <c r="G166" s="1856"/>
      <c r="H166" s="1840"/>
      <c r="I166" s="1840"/>
      <c r="J166" s="1857"/>
      <c r="K166" s="1770"/>
      <c r="L166" s="2138"/>
      <c r="M166" s="2138"/>
      <c r="N166" s="2534"/>
      <c r="O166" s="2216"/>
      <c r="P166" s="2138"/>
      <c r="Q166" s="2138"/>
      <c r="R166" s="2532"/>
      <c r="S166" s="2137"/>
      <c r="T166" s="328"/>
      <c r="U166" s="329"/>
      <c r="V166" s="329" t="s">
        <v>428</v>
      </c>
      <c r="W166" s="330"/>
      <c r="Y166" s="1270"/>
      <c r="Z166" s="1270"/>
      <c r="AA166" s="1270"/>
      <c r="AB166" s="1270"/>
      <c r="AC166" s="1270"/>
      <c r="AD166" s="1270"/>
      <c r="AE166" s="1270"/>
      <c r="AF166" s="1270"/>
      <c r="AG166" s="1270"/>
      <c r="AH166" s="1270"/>
      <c r="AI166" s="1270"/>
      <c r="AJ166" s="1270"/>
      <c r="AK166" s="1270"/>
    </row>
    <row s="1861" customFormat="1" customHeight="1" ht="17.25">
      <c r="A167" s="1848"/>
      <c r="C167" s="1853"/>
      <c r="D167" s="1840"/>
      <c r="E167" s="1855"/>
      <c r="F167" s="1794"/>
      <c r="G167" s="1856"/>
      <c r="H167" s="1840"/>
      <c r="I167" s="1840"/>
      <c r="J167" s="1857"/>
      <c r="K167" s="1770"/>
      <c r="L167" s="2533"/>
      <c r="M167" s="2533"/>
      <c r="N167" s="2535"/>
      <c r="O167" s="2142"/>
      <c r="P167" s="328"/>
      <c r="Q167" s="329"/>
      <c r="R167" s="329" t="s">
        <v>429</v>
      </c>
      <c r="S167" s="1854"/>
      <c r="T167" s="1854"/>
      <c r="U167" s="1854"/>
      <c r="V167" s="1854"/>
      <c r="W167" s="330"/>
      <c r="Y167" s="1270"/>
      <c r="Z167" s="1270"/>
      <c r="AA167" s="1270"/>
      <c r="AB167" s="1270"/>
      <c r="AC167" s="1270"/>
      <c r="AD167" s="1270"/>
      <c r="AE167" s="1270"/>
      <c r="AF167" s="1270"/>
      <c r="AG167" s="1270"/>
      <c r="AH167" s="1270"/>
      <c r="AI167" s="1270"/>
      <c r="AJ167" s="1270"/>
      <c r="AK167" s="1270"/>
    </row>
    <row customHeight="1" ht="17.25">
      <c r="G168" s="1847"/>
      <c r="H168" s="1847"/>
      <c r="I168" s="1847"/>
      <c r="M168" s="1843"/>
    </row>
    <row s="1861" customFormat="1" customHeight="1" ht="17.25">
      <c r="A169" s="1848"/>
      <c r="C169" s="1850"/>
      <c r="D169" s="1840"/>
      <c r="E169" s="1855"/>
      <c r="F169" s="1794"/>
      <c r="G169" s="1856"/>
      <c r="H169" s="1840"/>
      <c r="I169" s="1840"/>
      <c r="J169" s="1857"/>
      <c r="K169" s="1770"/>
      <c r="L169" s="1766"/>
      <c r="M169" s="1766"/>
      <c r="N169" s="2056"/>
      <c r="O169" s="1797"/>
      <c r="P169" s="2138"/>
      <c r="Q169" s="2138" t="s">
        <v>120</v>
      </c>
      <c r="R169" s="2532" t="s">
        <v>22</v>
      </c>
      <c r="S169" s="2137" t="s">
        <v>63</v>
      </c>
      <c r="T169" s="1821"/>
      <c r="U169" s="1821" t="s">
        <v>120</v>
      </c>
      <c r="V169" s="1851" t="s">
        <v>22</v>
      </c>
      <c r="W169" s="1811"/>
      <c r="Y169" s="1278"/>
      <c r="Z169" s="1278"/>
      <c r="AA169" s="1278"/>
      <c r="AB169" s="1278"/>
      <c r="AC169" s="1278"/>
      <c r="AD169" s="1278"/>
      <c r="AE169" s="1278"/>
      <c r="AF169" s="1278"/>
      <c r="AG169" s="1278"/>
      <c r="AH169" s="1278"/>
      <c r="AI169" s="1278"/>
      <c r="AJ169" s="1278"/>
      <c r="AK169" s="1278"/>
      <c r="AL169" s="1852"/>
      <c r="AM169" s="1852"/>
      <c r="AN169" s="1278"/>
      <c r="AO169" s="1278"/>
      <c r="AP169" s="1278"/>
      <c r="AQ169" s="1278"/>
    </row>
    <row s="1861" customFormat="1" customHeight="1" ht="17.25">
      <c r="A170" s="1848"/>
      <c r="C170" s="1853"/>
      <c r="D170" s="1840"/>
      <c r="E170" s="1855"/>
      <c r="F170" s="1794"/>
      <c r="G170" s="1856"/>
      <c r="H170" s="1840"/>
      <c r="I170" s="1840"/>
      <c r="J170" s="1857"/>
      <c r="K170" s="1770"/>
      <c r="L170" s="1766"/>
      <c r="M170" s="1766"/>
      <c r="N170" s="2056"/>
      <c r="O170" s="1797"/>
      <c r="P170" s="2138"/>
      <c r="Q170" s="2138"/>
      <c r="R170" s="2532"/>
      <c r="S170" s="2137"/>
      <c r="T170" s="328"/>
      <c r="U170" s="329"/>
      <c r="V170" s="329" t="s">
        <v>428</v>
      </c>
      <c r="W170" s="330"/>
      <c r="Y170" s="1270"/>
      <c r="Z170" s="1270"/>
      <c r="AA170" s="1270"/>
      <c r="AB170" s="1270"/>
      <c r="AC170" s="1270"/>
      <c r="AD170" s="1270"/>
      <c r="AE170" s="1270"/>
      <c r="AF170" s="1270"/>
      <c r="AG170" s="1270"/>
      <c r="AH170" s="1270"/>
      <c r="AI170" s="1270"/>
      <c r="AJ170" s="1270"/>
      <c r="AK170" s="1270"/>
    </row>
    <row customHeight="1" ht="17.25">
      <c r="G171" s="1847"/>
      <c r="H171" s="1847"/>
      <c r="I171" s="1847"/>
      <c r="M171" s="1843"/>
    </row>
    <row s="1861" customFormat="1" customHeight="1" ht="17.25">
      <c r="A172" s="1848"/>
      <c r="C172" s="1850"/>
      <c r="D172" s="1840"/>
      <c r="E172" s="1855"/>
      <c r="F172" s="1794"/>
      <c r="G172" s="1856"/>
      <c r="H172" s="1766"/>
      <c r="I172" s="1766"/>
      <c r="J172" s="1767"/>
      <c r="K172" s="1856"/>
      <c r="L172" s="1766"/>
      <c r="M172" s="1766"/>
      <c r="N172" s="1856"/>
      <c r="O172" s="1856"/>
      <c r="P172" s="1766"/>
      <c r="Q172" s="1766"/>
      <c r="R172" s="1768"/>
      <c r="S172" s="1856"/>
      <c r="T172" s="1821"/>
      <c r="U172" s="1821" t="s">
        <v>120</v>
      </c>
      <c r="V172" s="1851" t="s">
        <v>22</v>
      </c>
      <c r="W172" s="1811"/>
      <c r="Y172" s="1278"/>
      <c r="Z172" s="1278"/>
      <c r="AA172" s="1278"/>
      <c r="AB172" s="1278"/>
      <c r="AC172" s="1278"/>
      <c r="AD172" s="1278"/>
      <c r="AE172" s="1278"/>
      <c r="AF172" s="1278"/>
      <c r="AG172" s="1278"/>
      <c r="AH172" s="1278"/>
      <c r="AI172" s="1278"/>
      <c r="AJ172" s="1278"/>
      <c r="AK172" s="1278"/>
      <c r="AL172" s="1852"/>
      <c r="AM172" s="1852"/>
      <c r="AN172" s="1278"/>
      <c r="AO172" s="1278"/>
      <c r="AP172" s="1278"/>
      <c r="AQ172" s="1278"/>
    </row>
    <row r="174" s="1825" customFormat="1" customHeight="1" ht="17.25">
      <c r="A174" s="1825" t="s">
        <v>2155</v>
      </c>
    </row>
    <row customHeight="1" ht="17.25">
      <c r="G175" s="1847"/>
      <c r="H175" s="1847"/>
      <c r="I175" s="1847"/>
      <c r="M175" s="1843"/>
    </row>
    <row s="1861" customFormat="1" customHeight="1" ht="17.25">
      <c r="A176" s="1848"/>
      <c r="C176" s="1850"/>
      <c r="D176" s="2559"/>
      <c r="E176" s="2173"/>
      <c r="F176" s="2175"/>
      <c r="G176" s="2561"/>
      <c r="H176" s="2559"/>
      <c r="I176" s="2559">
        <v>1</v>
      </c>
      <c r="J176" s="2531"/>
      <c r="K176" s="2215" t="s">
        <v>63</v>
      </c>
      <c r="L176" s="2138"/>
      <c r="M176" s="2138" t="s">
        <v>120</v>
      </c>
      <c r="N176" s="2534" t="str">
        <f>IF(Z176="","",INDEX(TERRITORY_MR_LIST,MATCH(Z176,TERRITORY_LIST_ID,0)))</f>
        <v/>
      </c>
      <c r="O176" s="2215" t="s">
        <v>63</v>
      </c>
      <c r="P176" s="2138"/>
      <c r="Q176" s="2138" t="s">
        <v>120</v>
      </c>
      <c r="R176" s="2532" t="s">
        <v>22</v>
      </c>
      <c r="S176" s="2436" t="s">
        <v>19</v>
      </c>
      <c r="T176" s="1812"/>
      <c r="U176" s="1812" t="s">
        <v>120</v>
      </c>
      <c r="V176" s="1445"/>
      <c r="W176" s="2531"/>
      <c r="Y176" s="1278"/>
      <c r="Z176" s="1278"/>
      <c r="AA176" s="1278"/>
      <c r="AB176" s="1278"/>
      <c r="AC176" s="1278"/>
      <c r="AD176" s="1278"/>
      <c r="AE176" s="1278"/>
      <c r="AF176" s="1278"/>
      <c r="AG176" s="1278"/>
      <c r="AH176" s="1278"/>
      <c r="AI176" s="1278"/>
      <c r="AJ176" s="1278"/>
      <c r="AK176" s="1278"/>
      <c r="AL176" s="1852"/>
      <c r="AM176" s="1852"/>
      <c r="AN176" s="1278"/>
      <c r="AO176" s="1278"/>
      <c r="AP176" s="1278"/>
      <c r="AQ176" s="1278"/>
    </row>
    <row s="1861" customFormat="1" customHeight="1" ht="17.25">
      <c r="A177" s="1848"/>
      <c r="C177" s="1853"/>
      <c r="D177" s="2559"/>
      <c r="E177" s="2173"/>
      <c r="F177" s="2176"/>
      <c r="G177" s="2561"/>
      <c r="H177" s="2559"/>
      <c r="I177" s="2559"/>
      <c r="J177" s="2531"/>
      <c r="K177" s="2216"/>
      <c r="L177" s="2138"/>
      <c r="M177" s="2138"/>
      <c r="N177" s="2534"/>
      <c r="O177" s="2216"/>
      <c r="P177" s="2138"/>
      <c r="Q177" s="2138"/>
      <c r="R177" s="2532"/>
      <c r="S177" s="2436"/>
      <c r="T177" s="1446"/>
      <c r="U177" s="1447"/>
      <c r="V177" s="1447"/>
      <c r="W177" s="2531"/>
      <c r="Y177" s="1270"/>
      <c r="Z177" s="1270"/>
      <c r="AA177" s="1270"/>
      <c r="AB177" s="1270"/>
      <c r="AC177" s="1270"/>
      <c r="AD177" s="1270"/>
      <c r="AE177" s="1270"/>
      <c r="AF177" s="1270"/>
      <c r="AG177" s="1270"/>
      <c r="AH177" s="1270"/>
      <c r="AI177" s="1270"/>
      <c r="AJ177" s="1270"/>
      <c r="AK177" s="1270"/>
    </row>
    <row s="1861" customFormat="1" customHeight="1" ht="17.25">
      <c r="A178" s="1848"/>
      <c r="C178" s="1853"/>
      <c r="D178" s="2533"/>
      <c r="E178" s="2560"/>
      <c r="F178" s="2176"/>
      <c r="G178" s="2562"/>
      <c r="H178" s="2533"/>
      <c r="I178" s="2533"/>
      <c r="J178" s="2563"/>
      <c r="K178" s="2216"/>
      <c r="L178" s="2533"/>
      <c r="M178" s="2533"/>
      <c r="N178" s="2535"/>
      <c r="O178" s="2142"/>
      <c r="P178" s="328"/>
      <c r="Q178" s="329"/>
      <c r="R178" s="329" t="s">
        <v>429</v>
      </c>
      <c r="S178" s="1854"/>
      <c r="T178" s="1854"/>
      <c r="U178" s="1854"/>
      <c r="V178" s="1854"/>
      <c r="W178" s="1444"/>
      <c r="Y178" s="1270"/>
      <c r="Z178" s="1270"/>
      <c r="AA178" s="1270"/>
      <c r="AB178" s="1270"/>
      <c r="AC178" s="1270"/>
      <c r="AD178" s="1270"/>
      <c r="AE178" s="1270"/>
      <c r="AF178" s="1270"/>
      <c r="AG178" s="1270"/>
      <c r="AH178" s="1270"/>
      <c r="AI178" s="1270"/>
      <c r="AJ178" s="1270"/>
      <c r="AK178" s="1270"/>
    </row>
    <row s="1861" customFormat="1" customHeight="1" ht="17.25">
      <c r="A179" s="1848"/>
      <c r="C179" s="1853"/>
      <c r="D179" s="2533"/>
      <c r="E179" s="2560"/>
      <c r="F179" s="2176"/>
      <c r="G179" s="2562"/>
      <c r="H179" s="2533"/>
      <c r="I179" s="2533"/>
      <c r="J179" s="2563"/>
      <c r="K179" s="2142"/>
      <c r="L179" s="328"/>
      <c r="M179" s="329"/>
      <c r="N179" s="329" t="s">
        <v>430</v>
      </c>
      <c r="O179" s="329"/>
      <c r="P179" s="329"/>
      <c r="Q179" s="329"/>
      <c r="R179" s="329"/>
      <c r="S179" s="1854"/>
      <c r="T179" s="1854"/>
      <c r="U179" s="1854"/>
      <c r="V179" s="1854"/>
      <c r="W179" s="330"/>
      <c r="Y179" s="1270"/>
      <c r="Z179" s="1270"/>
      <c r="AA179" s="1270"/>
      <c r="AB179" s="1270"/>
      <c r="AC179" s="1270"/>
      <c r="AD179" s="1270"/>
      <c r="AE179" s="1270"/>
      <c r="AF179" s="1270"/>
      <c r="AG179" s="1270"/>
      <c r="AH179" s="1270"/>
      <c r="AI179" s="1270"/>
      <c r="AJ179" s="1270"/>
      <c r="AK179" s="1270"/>
    </row>
    <row s="1861" customFormat="1" customHeight="1" ht="17.25">
      <c r="A180" s="1848"/>
      <c r="C180" s="1853"/>
      <c r="D180" s="2533"/>
      <c r="E180" s="2560"/>
      <c r="F180" s="2177"/>
      <c r="G180" s="2562"/>
      <c r="H180" s="328"/>
      <c r="I180" s="329"/>
      <c r="J180" s="329" t="s">
        <v>458</v>
      </c>
      <c r="K180" s="329"/>
      <c r="L180" s="329"/>
      <c r="M180" s="329"/>
      <c r="N180" s="329"/>
      <c r="O180" s="329"/>
      <c r="P180" s="329"/>
      <c r="Q180" s="329"/>
      <c r="R180" s="329"/>
      <c r="S180" s="1854"/>
      <c r="T180" s="1854"/>
      <c r="U180" s="1854"/>
      <c r="V180" s="1854"/>
      <c r="W180" s="330"/>
      <c r="Y180" s="1270"/>
      <c r="Z180" s="1270"/>
      <c r="AA180" s="1270"/>
      <c r="AB180" s="1270"/>
      <c r="AC180" s="1270"/>
      <c r="AD180" s="1270"/>
      <c r="AE180" s="1270"/>
      <c r="AF180" s="1270"/>
      <c r="AG180" s="1270"/>
      <c r="AH180" s="1270"/>
      <c r="AI180" s="1270"/>
      <c r="AJ180" s="1270"/>
      <c r="AK180" s="1270"/>
    </row>
    <row customHeight="1" ht="17.25">
      <c r="A181" s="1858"/>
    </row>
    <row s="1861" customFormat="1" customHeight="1" ht="17.25">
      <c r="A182" s="1848"/>
      <c r="C182" s="1850"/>
      <c r="D182" s="1840"/>
      <c r="E182" s="1855"/>
      <c r="F182" s="1794"/>
      <c r="G182" s="1856"/>
      <c r="H182" s="2559"/>
      <c r="I182" s="2559">
        <v>1</v>
      </c>
      <c r="J182" s="2531"/>
      <c r="K182" s="2215" t="s">
        <v>63</v>
      </c>
      <c r="L182" s="2138"/>
      <c r="M182" s="2138" t="s">
        <v>120</v>
      </c>
      <c r="N182" s="2534" t="str">
        <f>IF(Z182="","",INDEX(TERRITORY_MR_LIST,MATCH(Z182,TERRITORY_LIST_ID,0)))</f>
        <v/>
      </c>
      <c r="O182" s="2215" t="s">
        <v>63</v>
      </c>
      <c r="P182" s="2138"/>
      <c r="Q182" s="2138" t="s">
        <v>120</v>
      </c>
      <c r="R182" s="2532" t="s">
        <v>22</v>
      </c>
      <c r="S182" s="2436" t="s">
        <v>19</v>
      </c>
      <c r="T182" s="1812"/>
      <c r="U182" s="1812" t="s">
        <v>120</v>
      </c>
      <c r="V182" s="1445"/>
      <c r="W182" s="2531"/>
      <c r="Y182" s="1278"/>
      <c r="Z182" s="1278"/>
      <c r="AA182" s="1278"/>
      <c r="AB182" s="1278"/>
      <c r="AC182" s="1278"/>
      <c r="AD182" s="1278"/>
      <c r="AE182" s="1278"/>
      <c r="AF182" s="1278"/>
      <c r="AG182" s="1278"/>
      <c r="AH182" s="1278"/>
      <c r="AI182" s="1278"/>
      <c r="AJ182" s="1278"/>
      <c r="AK182" s="1278"/>
      <c r="AL182" s="1852"/>
      <c r="AM182" s="1852"/>
      <c r="AN182" s="1278"/>
      <c r="AO182" s="1278"/>
      <c r="AP182" s="1278"/>
      <c r="AQ182" s="1278"/>
    </row>
    <row s="1861" customFormat="1" customHeight="1" ht="17.25">
      <c r="A183" s="1848"/>
      <c r="C183" s="1853"/>
      <c r="D183" s="1840"/>
      <c r="E183" s="1855"/>
      <c r="F183" s="1794"/>
      <c r="G183" s="1856"/>
      <c r="H183" s="2559"/>
      <c r="I183" s="2559"/>
      <c r="J183" s="2531"/>
      <c r="K183" s="2216"/>
      <c r="L183" s="2138"/>
      <c r="M183" s="2138"/>
      <c r="N183" s="2534"/>
      <c r="O183" s="2216"/>
      <c r="P183" s="2138"/>
      <c r="Q183" s="2138"/>
      <c r="R183" s="2532"/>
      <c r="S183" s="2436"/>
      <c r="T183" s="1446"/>
      <c r="U183" s="1447"/>
      <c r="V183" s="1447"/>
      <c r="W183" s="2531"/>
      <c r="Y183" s="1270"/>
      <c r="Z183" s="1270"/>
      <c r="AA183" s="1270"/>
      <c r="AB183" s="1270"/>
      <c r="AC183" s="1270"/>
      <c r="AD183" s="1270"/>
      <c r="AE183" s="1270"/>
      <c r="AF183" s="1270"/>
      <c r="AG183" s="1270"/>
      <c r="AH183" s="1270"/>
      <c r="AI183" s="1270"/>
      <c r="AJ183" s="1270"/>
      <c r="AK183" s="1270"/>
    </row>
    <row s="1861" customFormat="1" customHeight="1" ht="17.25">
      <c r="A184" s="1848"/>
      <c r="C184" s="1853"/>
      <c r="D184" s="1840"/>
      <c r="E184" s="1855"/>
      <c r="F184" s="1794"/>
      <c r="G184" s="1856"/>
      <c r="H184" s="2533"/>
      <c r="I184" s="2533"/>
      <c r="J184" s="2563"/>
      <c r="K184" s="2216"/>
      <c r="L184" s="2533"/>
      <c r="M184" s="2533"/>
      <c r="N184" s="2535"/>
      <c r="O184" s="2142"/>
      <c r="P184" s="328"/>
      <c r="Q184" s="329"/>
      <c r="R184" s="329" t="s">
        <v>429</v>
      </c>
      <c r="S184" s="1854"/>
      <c r="T184" s="1854"/>
      <c r="U184" s="1854"/>
      <c r="V184" s="1854"/>
      <c r="W184" s="1444"/>
      <c r="Y184" s="1270"/>
      <c r="Z184" s="1270"/>
      <c r="AA184" s="1270"/>
      <c r="AB184" s="1270"/>
      <c r="AC184" s="1270"/>
      <c r="AD184" s="1270"/>
      <c r="AE184" s="1270"/>
      <c r="AF184" s="1270"/>
      <c r="AG184" s="1270"/>
      <c r="AH184" s="1270"/>
      <c r="AI184" s="1270"/>
      <c r="AJ184" s="1270"/>
      <c r="AK184" s="1270"/>
    </row>
    <row s="1861" customFormat="1" customHeight="1" ht="17.25">
      <c r="A185" s="1848"/>
      <c r="C185" s="1853"/>
      <c r="D185" s="1840"/>
      <c r="E185" s="1855"/>
      <c r="F185" s="1794"/>
      <c r="G185" s="1856"/>
      <c r="H185" s="2533"/>
      <c r="I185" s="2533"/>
      <c r="J185" s="2563"/>
      <c r="K185" s="2142"/>
      <c r="L185" s="328"/>
      <c r="M185" s="329"/>
      <c r="N185" s="329" t="s">
        <v>430</v>
      </c>
      <c r="O185" s="329"/>
      <c r="P185" s="329"/>
      <c r="Q185" s="329"/>
      <c r="R185" s="329"/>
      <c r="S185" s="1854"/>
      <c r="T185" s="1854"/>
      <c r="U185" s="1854"/>
      <c r="V185" s="1854"/>
      <c r="W185" s="330"/>
      <c r="Y185" s="1270"/>
      <c r="Z185" s="1270"/>
      <c r="AA185" s="1270"/>
      <c r="AB185" s="1270"/>
      <c r="AC185" s="1270"/>
      <c r="AD185" s="1270"/>
      <c r="AE185" s="1270"/>
      <c r="AF185" s="1270"/>
      <c r="AG185" s="1270"/>
      <c r="AH185" s="1270"/>
      <c r="AI185" s="1270"/>
      <c r="AJ185" s="1270"/>
      <c r="AK185" s="1270"/>
    </row>
    <row customHeight="1" ht="17.25">
      <c r="A186" s="1858"/>
    </row>
    <row s="1861" customFormat="1" customHeight="1" ht="17.25">
      <c r="A187" s="1848"/>
      <c r="C187" s="1850"/>
      <c r="D187" s="1840"/>
      <c r="E187" s="1855"/>
      <c r="F187" s="1794"/>
      <c r="G187" s="1856"/>
      <c r="H187" s="1840"/>
      <c r="I187" s="1840"/>
      <c r="J187" s="1859"/>
      <c r="K187" s="1856"/>
      <c r="L187" s="2138"/>
      <c r="M187" s="2138" t="s">
        <v>120</v>
      </c>
      <c r="N187" s="2534" t="str">
        <f>IF(Z187="","",INDEX(TERRITORY_MR_LIST,MATCH(Z187,TERRITORY_LIST_ID,0)))</f>
        <v/>
      </c>
      <c r="O187" s="2215" t="s">
        <v>63</v>
      </c>
      <c r="P187" s="2138"/>
      <c r="Q187" s="2138" t="s">
        <v>120</v>
      </c>
      <c r="R187" s="2532" t="s">
        <v>22</v>
      </c>
      <c r="S187" s="2436" t="s">
        <v>19</v>
      </c>
      <c r="T187" s="1812"/>
      <c r="U187" s="1812" t="s">
        <v>120</v>
      </c>
      <c r="V187" s="1445"/>
      <c r="W187" s="2531"/>
      <c r="Y187" s="1278"/>
      <c r="Z187" s="1278"/>
      <c r="AA187" s="1278"/>
      <c r="AB187" s="1278"/>
      <c r="AC187" s="1278"/>
      <c r="AD187" s="1278"/>
      <c r="AE187" s="1278"/>
      <c r="AF187" s="1278"/>
      <c r="AG187" s="1278"/>
      <c r="AH187" s="1278"/>
      <c r="AI187" s="1278"/>
      <c r="AJ187" s="1278"/>
      <c r="AK187" s="1278"/>
      <c r="AL187" s="1852"/>
      <c r="AM187" s="1852"/>
      <c r="AN187" s="1278"/>
      <c r="AO187" s="1278"/>
      <c r="AP187" s="1278"/>
      <c r="AQ187" s="1278"/>
    </row>
    <row s="1861" customFormat="1" customHeight="1" ht="17.25">
      <c r="A188" s="1848"/>
      <c r="C188" s="1853"/>
      <c r="D188" s="1840"/>
      <c r="E188" s="1855"/>
      <c r="F188" s="1794"/>
      <c r="G188" s="1856"/>
      <c r="H188" s="1840"/>
      <c r="I188" s="1840"/>
      <c r="J188" s="1859"/>
      <c r="K188" s="1856"/>
      <c r="L188" s="2138"/>
      <c r="M188" s="2138"/>
      <c r="N188" s="2534"/>
      <c r="O188" s="2216"/>
      <c r="P188" s="2138"/>
      <c r="Q188" s="2138"/>
      <c r="R188" s="2532"/>
      <c r="S188" s="2436"/>
      <c r="T188" s="1446"/>
      <c r="U188" s="1447"/>
      <c r="V188" s="1447"/>
      <c r="W188" s="2531"/>
      <c r="Y188" s="1270"/>
      <c r="Z188" s="1270"/>
      <c r="AA188" s="1270"/>
      <c r="AB188" s="1270"/>
      <c r="AC188" s="1270"/>
      <c r="AD188" s="1270"/>
      <c r="AE188" s="1270"/>
      <c r="AF188" s="1270"/>
      <c r="AG188" s="1270"/>
      <c r="AH188" s="1270"/>
      <c r="AI188" s="1270"/>
      <c r="AJ188" s="1270"/>
      <c r="AK188" s="1270"/>
    </row>
    <row s="1861" customFormat="1" customHeight="1" ht="17.25">
      <c r="A189" s="1848"/>
      <c r="C189" s="1853"/>
      <c r="D189" s="1840"/>
      <c r="E189" s="1855"/>
      <c r="F189" s="1794"/>
      <c r="G189" s="1856"/>
      <c r="H189" s="1840"/>
      <c r="I189" s="1840"/>
      <c r="J189" s="1859"/>
      <c r="K189" s="1856"/>
      <c r="L189" s="2533"/>
      <c r="M189" s="2533"/>
      <c r="N189" s="2535"/>
      <c r="O189" s="2142"/>
      <c r="P189" s="328"/>
      <c r="Q189" s="329"/>
      <c r="R189" s="329" t="s">
        <v>429</v>
      </c>
      <c r="S189" s="1854"/>
      <c r="T189" s="1854"/>
      <c r="U189" s="1854"/>
      <c r="V189" s="1854"/>
      <c r="W189" s="1444"/>
      <c r="Y189" s="1270"/>
      <c r="Z189" s="1270"/>
      <c r="AA189" s="1270"/>
      <c r="AB189" s="1270"/>
      <c r="AC189" s="1270"/>
      <c r="AD189" s="1270"/>
      <c r="AE189" s="1270"/>
      <c r="AF189" s="1270"/>
      <c r="AG189" s="1270"/>
      <c r="AH189" s="1270"/>
      <c r="AI189" s="1270"/>
      <c r="AJ189" s="1270"/>
      <c r="AK189" s="1270"/>
    </row>
    <row customHeight="1" ht="17.25">
      <c r="A190" s="1858"/>
    </row>
    <row s="1861" customFormat="1" customHeight="1" ht="17.25">
      <c r="A191" s="1848"/>
      <c r="C191" s="1850"/>
      <c r="D191" s="1840"/>
      <c r="E191" s="1855"/>
      <c r="F191" s="1794"/>
      <c r="G191" s="1856"/>
      <c r="H191" s="1840"/>
      <c r="I191" s="1840"/>
      <c r="J191" s="1859"/>
      <c r="K191" s="1856"/>
      <c r="L191" s="1840"/>
      <c r="M191" s="1840"/>
      <c r="N191" s="2056"/>
      <c r="O191" s="1797"/>
      <c r="P191" s="2138"/>
      <c r="Q191" s="2138" t="s">
        <v>120</v>
      </c>
      <c r="R191" s="2532" t="s">
        <v>22</v>
      </c>
      <c r="S191" s="2436" t="s">
        <v>19</v>
      </c>
      <c r="T191" s="1812"/>
      <c r="U191" s="1812" t="s">
        <v>120</v>
      </c>
      <c r="V191" s="1445"/>
      <c r="W191" s="2531"/>
      <c r="Y191" s="1278"/>
      <c r="Z191" s="1278"/>
      <c r="AA191" s="1278"/>
      <c r="AB191" s="1278"/>
      <c r="AC191" s="1278"/>
      <c r="AD191" s="1278"/>
      <c r="AE191" s="1278"/>
      <c r="AF191" s="1278"/>
      <c r="AG191" s="1278"/>
      <c r="AH191" s="1278"/>
      <c r="AI191" s="1278"/>
      <c r="AJ191" s="1278"/>
      <c r="AK191" s="1278"/>
      <c r="AL191" s="1852"/>
      <c r="AM191" s="1852"/>
      <c r="AN191" s="1278"/>
      <c r="AO191" s="1278"/>
      <c r="AP191" s="1278"/>
      <c r="AQ191" s="1278"/>
    </row>
    <row s="1861" customFormat="1" customHeight="1" ht="17.25">
      <c r="A192" s="1848"/>
      <c r="C192" s="1853"/>
      <c r="D192" s="1840"/>
      <c r="E192" s="1855"/>
      <c r="F192" s="1794"/>
      <c r="G192" s="1856"/>
      <c r="H192" s="1840"/>
      <c r="I192" s="1840"/>
      <c r="J192" s="1859"/>
      <c r="K192" s="1856"/>
      <c r="L192" s="1840"/>
      <c r="M192" s="1840"/>
      <c r="N192" s="2056"/>
      <c r="O192" s="1797"/>
      <c r="P192" s="2138"/>
      <c r="Q192" s="2138"/>
      <c r="R192" s="2532"/>
      <c r="S192" s="2436"/>
      <c r="T192" s="1446"/>
      <c r="U192" s="1447"/>
      <c r="V192" s="1447"/>
      <c r="W192" s="2531"/>
      <c r="Y192" s="1270"/>
      <c r="Z192" s="1270"/>
      <c r="AA192" s="1270"/>
      <c r="AB192" s="1270"/>
      <c r="AC192" s="1270"/>
      <c r="AD192" s="1270"/>
      <c r="AE192" s="1270"/>
      <c r="AF192" s="1270"/>
      <c r="AG192" s="1270"/>
      <c r="AH192" s="1270"/>
      <c r="AI192" s="1270"/>
      <c r="AJ192" s="1270"/>
      <c r="AK192" s="1270"/>
    </row>
    <row customHeight="1" ht="17.25">
      <c r="A193" s="1858"/>
    </row>
    <row customHeight="1" ht="16.5">
      <c r="A194" s="1848"/>
      <c r="B194" s="1849"/>
      <c r="C194" s="1853"/>
      <c r="D194" s="2583"/>
      <c r="E194" s="2209"/>
      <c r="F194" s="2209"/>
      <c r="G194" s="2157"/>
      <c r="H194" s="2584"/>
      <c r="I194" s="2597"/>
      <c r="J194" s="2182"/>
      <c r="K194" s="2167"/>
      <c r="L194" s="2167"/>
      <c r="M194" s="2167"/>
      <c r="N194" s="2595"/>
      <c r="O194" s="2167"/>
      <c r="P194" s="2167"/>
      <c r="Q194" s="2167"/>
      <c r="R194" s="2593"/>
      <c r="S194" s="2167"/>
      <c r="T194" s="1793"/>
      <c r="U194" s="1793"/>
      <c r="V194" s="1860"/>
      <c r="W194" s="1307"/>
    </row>
    <row customHeight="1" ht="16.5">
      <c r="A195" s="1848"/>
      <c r="B195" s="1849"/>
      <c r="C195" s="1853"/>
      <c r="D195" s="2583"/>
      <c r="E195" s="2209"/>
      <c r="F195" s="2209"/>
      <c r="G195" s="2157"/>
      <c r="H195" s="2585"/>
      <c r="I195" s="2598"/>
      <c r="J195" s="2183"/>
      <c r="K195" s="2168"/>
      <c r="L195" s="2168"/>
      <c r="M195" s="2168"/>
      <c r="N195" s="2596"/>
      <c r="O195" s="2168"/>
      <c r="P195" s="2168"/>
      <c r="Q195" s="2168"/>
      <c r="R195" s="2594"/>
      <c r="S195" s="2168"/>
      <c r="T195" s="1308"/>
      <c r="U195" s="1308"/>
      <c r="V195" s="1308"/>
      <c r="W195" s="1309"/>
    </row>
    <row customHeight="1" ht="17.25">
      <c r="A196" s="1848"/>
      <c r="B196" s="1849"/>
      <c r="C196" s="1853"/>
      <c r="D196" s="2583"/>
      <c r="E196" s="2209"/>
      <c r="F196" s="2209"/>
      <c r="G196" s="2157"/>
      <c r="H196" s="2585"/>
      <c r="I196" s="2598"/>
      <c r="J196" s="2586"/>
      <c r="K196" s="2168"/>
      <c r="L196" s="2168"/>
      <c r="M196" s="2168"/>
      <c r="N196" s="2594"/>
      <c r="O196" s="2168"/>
      <c r="P196" s="1796"/>
      <c r="Q196" s="1308"/>
      <c r="R196" s="1308"/>
      <c r="S196" s="1861"/>
      <c r="T196" s="1861"/>
      <c r="U196" s="1861"/>
      <c r="V196" s="1861"/>
      <c r="W196" s="1309"/>
    </row>
    <row customHeight="1" ht="17.25">
      <c r="A197" s="1848"/>
      <c r="B197" s="1849"/>
      <c r="C197" s="1853"/>
      <c r="D197" s="2583"/>
      <c r="E197" s="2209"/>
      <c r="F197" s="2209"/>
      <c r="G197" s="2157"/>
      <c r="H197" s="2585"/>
      <c r="I197" s="2598"/>
      <c r="J197" s="2586"/>
      <c r="K197" s="2168"/>
      <c r="L197" s="1308"/>
      <c r="M197" s="1308"/>
      <c r="N197" s="1308"/>
      <c r="O197" s="1308"/>
      <c r="P197" s="1308"/>
      <c r="Q197" s="1308"/>
      <c r="R197" s="1308"/>
      <c r="S197" s="1861"/>
      <c r="T197" s="1861"/>
      <c r="U197" s="1861"/>
      <c r="V197" s="1861"/>
      <c r="W197" s="1309"/>
    </row>
    <row customHeight="1" ht="17.25">
      <c r="A198" s="1848"/>
      <c r="B198" s="1849"/>
      <c r="C198" s="1853"/>
      <c r="D198" s="2583"/>
      <c r="E198" s="2209"/>
      <c r="F198" s="2209"/>
      <c r="G198" s="2157"/>
      <c r="H198" s="1310"/>
      <c r="I198" s="1311"/>
      <c r="J198" s="1311"/>
      <c r="K198" s="1311"/>
      <c r="L198" s="1311"/>
      <c r="M198" s="1311"/>
      <c r="N198" s="1311"/>
      <c r="O198" s="1311"/>
      <c r="P198" s="1311"/>
      <c r="Q198" s="1311"/>
      <c r="R198" s="1311"/>
      <c r="S198" s="1862"/>
      <c r="T198" s="1862"/>
      <c r="U198" s="1862"/>
      <c r="V198" s="1862"/>
      <c r="W198" s="1313"/>
    </row>
    <row r="200" s="1825" customFormat="1" customHeight="1" ht="17.25">
      <c r="A200" s="1825" t="s">
        <v>2156</v>
      </c>
    </row>
    <row customHeight="1" ht="17.25">
      <c r="G201" s="1847"/>
      <c r="H201" s="1847"/>
      <c r="I201" s="1847"/>
      <c r="M201" s="1843"/>
    </row>
    <row s="1858" customFormat="1" customHeight="1" ht="15">
      <c r="D202" s="2553"/>
      <c r="E202" s="2229"/>
      <c r="F202" s="2229"/>
      <c r="G202" s="2215"/>
      <c r="H202" s="1575"/>
      <c r="I202" s="2557">
        <v>1</v>
      </c>
      <c r="J202" s="2531"/>
      <c r="K202" s="1590"/>
      <c r="L202" s="2215" t="s">
        <v>63</v>
      </c>
      <c r="M202" s="2215" t="s">
        <v>63</v>
      </c>
      <c r="N202" s="1575"/>
      <c r="O202" s="2138" t="s">
        <v>120</v>
      </c>
      <c r="P202" s="2547"/>
      <c r="Q202" s="1591"/>
      <c r="R202" s="2215" t="s">
        <v>63</v>
      </c>
      <c r="S202" s="2215" t="s">
        <v>63</v>
      </c>
      <c r="T202" s="1863"/>
      <c r="U202" s="2138" t="s">
        <v>120</v>
      </c>
      <c r="V202" s="2554" t="str">
        <f>IF(AK202="","",INDEX(TERRITORY_MR_LIST,MATCH(AK202,TERRITORY_LIST_ID,0)))</f>
        <v/>
      </c>
      <c r="W202" s="1592"/>
      <c r="X202" s="2215" t="s">
        <v>63</v>
      </c>
      <c r="Y202" s="2215" t="s">
        <v>19</v>
      </c>
      <c r="Z202" s="1575"/>
      <c r="AA202" s="2138" t="s">
        <v>120</v>
      </c>
      <c r="AB202" s="2556"/>
      <c r="AC202" s="1593"/>
      <c r="AD202" s="2215" t="s">
        <v>63</v>
      </c>
      <c r="AE202" s="2215" t="s">
        <v>19</v>
      </c>
      <c r="AF202" s="1573"/>
      <c r="AG202" s="1821" t="s">
        <v>120</v>
      </c>
      <c r="AH202" s="1583"/>
      <c r="AI202" s="1811"/>
    </row>
    <row s="1858" customFormat="1" customHeight="1" ht="15">
      <c r="D203" s="2553"/>
      <c r="E203" s="2229"/>
      <c r="F203" s="2229"/>
      <c r="G203" s="2216"/>
      <c r="H203" s="1575"/>
      <c r="I203" s="2557"/>
      <c r="J203" s="2531"/>
      <c r="K203" s="1574"/>
      <c r="L203" s="2216"/>
      <c r="M203" s="2216"/>
      <c r="N203" s="1575"/>
      <c r="O203" s="2138"/>
      <c r="P203" s="2547"/>
      <c r="Q203" s="1571"/>
      <c r="R203" s="2216"/>
      <c r="S203" s="2216"/>
      <c r="T203" s="1863"/>
      <c r="U203" s="2138"/>
      <c r="V203" s="2555"/>
      <c r="W203" s="1572"/>
      <c r="X203" s="2216"/>
      <c r="Y203" s="2216"/>
      <c r="Z203" s="1575"/>
      <c r="AA203" s="2138"/>
      <c r="AB203" s="2525"/>
      <c r="AC203" s="1576"/>
      <c r="AD203" s="2142"/>
      <c r="AE203" s="2142"/>
      <c r="AF203" s="1577"/>
      <c r="AG203" s="1578"/>
      <c r="AH203" s="2548" t="s">
        <v>2157</v>
      </c>
      <c r="AI203" s="2549"/>
    </row>
    <row s="1858" customFormat="1" customHeight="1" ht="15">
      <c r="D204" s="2553"/>
      <c r="E204" s="2229"/>
      <c r="F204" s="2229"/>
      <c r="G204" s="2216"/>
      <c r="H204" s="1575"/>
      <c r="I204" s="2557"/>
      <c r="J204" s="2531"/>
      <c r="K204" s="1574"/>
      <c r="L204" s="2216"/>
      <c r="M204" s="2216"/>
      <c r="N204" s="1575"/>
      <c r="O204" s="2138"/>
      <c r="P204" s="2547"/>
      <c r="Q204" s="1571"/>
      <c r="R204" s="2216"/>
      <c r="S204" s="2216"/>
      <c r="T204" s="1863"/>
      <c r="U204" s="2138"/>
      <c r="V204" s="2555"/>
      <c r="W204" s="1572"/>
      <c r="X204" s="2216"/>
      <c r="Y204" s="2216"/>
      <c r="Z204" s="1614"/>
      <c r="AA204" s="1580"/>
      <c r="AB204" s="2550" t="s">
        <v>2158</v>
      </c>
      <c r="AC204" s="2550"/>
      <c r="AD204" s="2550"/>
      <c r="AE204" s="2550"/>
      <c r="AF204" s="2550"/>
      <c r="AG204" s="2550"/>
      <c r="AH204" s="2550"/>
      <c r="AI204" s="2551"/>
    </row>
    <row s="1858" customFormat="1" customHeight="1" ht="15">
      <c r="D205" s="2553"/>
      <c r="E205" s="2229"/>
      <c r="F205" s="2229"/>
      <c r="G205" s="2216"/>
      <c r="H205" s="1575"/>
      <c r="I205" s="2557"/>
      <c r="J205" s="2531"/>
      <c r="K205" s="1574"/>
      <c r="L205" s="2216"/>
      <c r="M205" s="2216"/>
      <c r="N205" s="1575"/>
      <c r="O205" s="2138"/>
      <c r="P205" s="2552"/>
      <c r="Q205" s="1571"/>
      <c r="R205" s="2216"/>
      <c r="S205" s="2216"/>
      <c r="T205" s="1864"/>
      <c r="U205" s="1615"/>
      <c r="V205" s="2548" t="s">
        <v>114</v>
      </c>
      <c r="W205" s="2548"/>
      <c r="X205" s="2548"/>
      <c r="Y205" s="2548"/>
      <c r="Z205" s="2548"/>
      <c r="AA205" s="2548"/>
      <c r="AB205" s="2548"/>
      <c r="AC205" s="2548"/>
      <c r="AD205" s="2548"/>
      <c r="AE205" s="2548"/>
      <c r="AF205" s="2548"/>
      <c r="AG205" s="2548"/>
      <c r="AH205" s="2548"/>
      <c r="AI205" s="2549"/>
    </row>
    <row s="1858" customFormat="1" customHeight="1" ht="11.25">
      <c r="D206" s="2553"/>
      <c r="E206" s="2229"/>
      <c r="F206" s="2229"/>
      <c r="G206" s="2216"/>
      <c r="H206" s="1579"/>
      <c r="I206" s="2557"/>
      <c r="J206" s="2558"/>
      <c r="K206" s="1574"/>
      <c r="L206" s="2216"/>
      <c r="M206" s="2216"/>
      <c r="N206" s="1579"/>
      <c r="O206" s="1580"/>
      <c r="P206" s="2548" t="s">
        <v>2159</v>
      </c>
      <c r="Q206" s="2548"/>
      <c r="R206" s="2548"/>
      <c r="S206" s="2548"/>
      <c r="T206" s="2548"/>
      <c r="U206" s="2548"/>
      <c r="V206" s="2548"/>
      <c r="W206" s="2548"/>
      <c r="X206" s="2548"/>
      <c r="Y206" s="2548"/>
      <c r="Z206" s="2548"/>
      <c r="AA206" s="2548"/>
      <c r="AB206" s="2548"/>
      <c r="AC206" s="2548"/>
      <c r="AD206" s="2548"/>
      <c r="AE206" s="2548"/>
      <c r="AF206" s="2548"/>
      <c r="AG206" s="2548"/>
      <c r="AH206" s="2548"/>
      <c r="AI206" s="2549"/>
    </row>
    <row s="1565" customFormat="1" customHeight="1" ht="11.25">
      <c r="D207" s="2553"/>
      <c r="E207" s="2229"/>
      <c r="F207" s="2229"/>
      <c r="G207" s="2142"/>
      <c r="H207" s="1581"/>
      <c r="I207" s="1582"/>
      <c r="J207" s="2548" t="s">
        <v>458</v>
      </c>
      <c r="K207" s="2548"/>
      <c r="L207" s="2548"/>
      <c r="M207" s="2548"/>
      <c r="N207" s="2548"/>
      <c r="O207" s="2548"/>
      <c r="P207" s="2548"/>
      <c r="Q207" s="2548"/>
      <c r="R207" s="2548"/>
      <c r="S207" s="2548"/>
      <c r="T207" s="2548"/>
      <c r="U207" s="2548"/>
      <c r="V207" s="2548"/>
      <c r="W207" s="2548"/>
      <c r="X207" s="2548"/>
      <c r="Y207" s="2548"/>
      <c r="Z207" s="2548"/>
      <c r="AA207" s="2548"/>
      <c r="AB207" s="2548"/>
      <c r="AC207" s="2548"/>
      <c r="AD207" s="2548"/>
      <c r="AE207" s="2548"/>
      <c r="AF207" s="2548"/>
      <c r="AG207" s="2548"/>
      <c r="AH207" s="2548"/>
      <c r="AI207" s="2549"/>
      <c r="BK207" s="1585"/>
    </row>
    <row customHeight="1" ht="17.25">
      <c r="G208" s="1847"/>
      <c r="I208" s="1847"/>
      <c r="J208" s="1847"/>
      <c r="N208" s="1843"/>
    </row>
    <row s="1858" customFormat="1" customHeight="1" ht="15">
      <c r="D209" s="2553"/>
      <c r="E209" s="2229"/>
      <c r="F209" s="2229"/>
      <c r="G209" s="2209"/>
      <c r="H209" s="1610"/>
      <c r="I209" s="2211"/>
      <c r="J209" s="2182"/>
      <c r="K209" s="1795"/>
      <c r="L209" s="2167"/>
      <c r="M209" s="2167"/>
      <c r="N209" s="1595"/>
      <c r="O209" s="2167"/>
      <c r="P209" s="2182"/>
      <c r="Q209" s="1799"/>
      <c r="R209" s="2167"/>
      <c r="S209" s="2167"/>
      <c r="T209" s="1865"/>
      <c r="U209" s="2167"/>
      <c r="V209" s="2182"/>
      <c r="W209" s="1598"/>
      <c r="X209" s="2167"/>
      <c r="Y209" s="2167"/>
      <c r="Z209" s="1595"/>
      <c r="AA209" s="2167"/>
      <c r="AB209" s="2182"/>
      <c r="AC209" s="1599"/>
      <c r="AD209" s="2167"/>
      <c r="AE209" s="2167"/>
      <c r="AF209" s="1793"/>
      <c r="AG209" s="1793"/>
      <c r="AH209" s="1600"/>
      <c r="AI209" s="1307"/>
    </row>
    <row s="1858" customFormat="1" customHeight="1" ht="15">
      <c r="D210" s="2553"/>
      <c r="E210" s="2229"/>
      <c r="F210" s="2229"/>
      <c r="G210" s="2209"/>
      <c r="H210" s="1611"/>
      <c r="I210" s="2212"/>
      <c r="J210" s="2183"/>
      <c r="K210" s="1621"/>
      <c r="L210" s="2168"/>
      <c r="M210" s="2168"/>
      <c r="N210" s="1601"/>
      <c r="O210" s="2168"/>
      <c r="P210" s="2183"/>
      <c r="Q210" s="1800"/>
      <c r="R210" s="2168"/>
      <c r="S210" s="2168"/>
      <c r="T210" s="1866"/>
      <c r="U210" s="2168"/>
      <c r="V210" s="2183"/>
      <c r="W210" s="1604"/>
      <c r="X210" s="2168"/>
      <c r="Y210" s="2168"/>
      <c r="Z210" s="1601"/>
      <c r="AA210" s="2168"/>
      <c r="AB210" s="2183"/>
      <c r="AC210" s="1605"/>
      <c r="AD210" s="2168"/>
      <c r="AE210" s="2168"/>
      <c r="AF210" s="1798"/>
      <c r="AG210" s="1798"/>
      <c r="AH210" s="2207"/>
      <c r="AI210" s="2208"/>
    </row>
    <row s="1858" customFormat="1" customHeight="1" ht="15">
      <c r="D211" s="2553"/>
      <c r="E211" s="2229"/>
      <c r="F211" s="2229"/>
      <c r="G211" s="2209"/>
      <c r="H211" s="1611"/>
      <c r="I211" s="2212"/>
      <c r="J211" s="2183"/>
      <c r="K211" s="1621"/>
      <c r="L211" s="2168"/>
      <c r="M211" s="2168"/>
      <c r="N211" s="1601"/>
      <c r="O211" s="2168"/>
      <c r="P211" s="2183"/>
      <c r="Q211" s="1800"/>
      <c r="R211" s="2168"/>
      <c r="S211" s="2168"/>
      <c r="T211" s="1866"/>
      <c r="U211" s="2168"/>
      <c r="V211" s="2183"/>
      <c r="W211" s="1604"/>
      <c r="X211" s="2168"/>
      <c r="Y211" s="2168"/>
      <c r="Z211" s="1796"/>
      <c r="AA211" s="1798"/>
      <c r="AB211" s="2207"/>
      <c r="AC211" s="2207"/>
      <c r="AD211" s="2207"/>
      <c r="AE211" s="2207"/>
      <c r="AF211" s="2207"/>
      <c r="AG211" s="2207"/>
      <c r="AH211" s="2207"/>
      <c r="AI211" s="2208"/>
    </row>
    <row s="1858" customFormat="1" customHeight="1" ht="15">
      <c r="D212" s="2553"/>
      <c r="E212" s="2229"/>
      <c r="F212" s="2229"/>
      <c r="G212" s="2209"/>
      <c r="H212" s="1611"/>
      <c r="I212" s="2212"/>
      <c r="J212" s="2183"/>
      <c r="K212" s="1621"/>
      <c r="L212" s="2168"/>
      <c r="M212" s="2168"/>
      <c r="N212" s="1601"/>
      <c r="O212" s="2168"/>
      <c r="P212" s="2183"/>
      <c r="Q212" s="1800"/>
      <c r="R212" s="2168"/>
      <c r="S212" s="2168"/>
      <c r="T212" s="1867"/>
      <c r="U212" s="1608"/>
      <c r="V212" s="2207"/>
      <c r="W212" s="2207"/>
      <c r="X212" s="2207"/>
      <c r="Y212" s="2207"/>
      <c r="Z212" s="2207"/>
      <c r="AA212" s="2207"/>
      <c r="AB212" s="2207"/>
      <c r="AC212" s="2207"/>
      <c r="AD212" s="2207"/>
      <c r="AE212" s="2207"/>
      <c r="AF212" s="2207"/>
      <c r="AG212" s="2207"/>
      <c r="AH212" s="2207"/>
      <c r="AI212" s="2208"/>
    </row>
    <row s="1858" customFormat="1" customHeight="1" ht="11.25">
      <c r="D213" s="2553"/>
      <c r="E213" s="2229"/>
      <c r="F213" s="2229"/>
      <c r="G213" s="2209"/>
      <c r="H213" s="1612"/>
      <c r="I213" s="2212"/>
      <c r="J213" s="2183"/>
      <c r="K213" s="1621"/>
      <c r="L213" s="2168"/>
      <c r="M213" s="2168"/>
      <c r="N213" s="1798"/>
      <c r="O213" s="1798"/>
      <c r="P213" s="2207"/>
      <c r="Q213" s="2207"/>
      <c r="R213" s="2207"/>
      <c r="S213" s="2207"/>
      <c r="T213" s="2207"/>
      <c r="U213" s="2207"/>
      <c r="V213" s="2207"/>
      <c r="W213" s="2207"/>
      <c r="X213" s="2207"/>
      <c r="Y213" s="2207"/>
      <c r="Z213" s="2207"/>
      <c r="AA213" s="2207"/>
      <c r="AB213" s="2207"/>
      <c r="AC213" s="2207"/>
      <c r="AD213" s="2207"/>
      <c r="AE213" s="2207"/>
      <c r="AF213" s="2207"/>
      <c r="AG213" s="2207"/>
      <c r="AH213" s="2207"/>
      <c r="AI213" s="2208"/>
    </row>
    <row s="1565" customFormat="1" customHeight="1" ht="11.25">
      <c r="D214" s="2553"/>
      <c r="E214" s="2229"/>
      <c r="F214" s="2229"/>
      <c r="G214" s="2214"/>
      <c r="H214" s="1609"/>
      <c r="I214" s="1613"/>
      <c r="J214" s="2217"/>
      <c r="K214" s="2217"/>
      <c r="L214" s="2217"/>
      <c r="M214" s="2217"/>
      <c r="N214" s="2217"/>
      <c r="O214" s="2217"/>
      <c r="P214" s="2217"/>
      <c r="Q214" s="2217"/>
      <c r="R214" s="2217"/>
      <c r="S214" s="2217"/>
      <c r="T214" s="2217"/>
      <c r="U214" s="2217"/>
      <c r="V214" s="2217"/>
      <c r="W214" s="2217"/>
      <c r="X214" s="2217"/>
      <c r="Y214" s="2217"/>
      <c r="Z214" s="2217"/>
      <c r="AA214" s="2217"/>
      <c r="AB214" s="2217"/>
      <c r="AC214" s="2217"/>
      <c r="AD214" s="2217"/>
      <c r="AE214" s="2217"/>
      <c r="AF214" s="2217"/>
      <c r="AG214" s="2217"/>
      <c r="AH214" s="2217"/>
      <c r="AI214" s="2218"/>
      <c r="BK214" s="1585"/>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7C8EE-EA2B-E9B8-6607-D53C6D35BB2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1" width="43.140625"/>
    <col min="2" max="2" style="851" width="43.140625" hidden="1"/>
    <col min="3" max="3" style="851" width="43.140625"/>
    <col min="4" max="5" style="851" width="36.421875" customWidth="1"/>
    <col min="6" max="8" style="992" width="36.421875" customWidth="1"/>
  </cols>
  <sheetData>
    <row customHeight="1" ht="9">
      <c r="A1" s="857" t="s">
        <v>2160</v>
      </c>
      <c r="B1" s="857"/>
      <c r="C1" s="993" t="s">
        <v>2161</v>
      </c>
      <c r="D1" s="991" t="s">
        <v>900</v>
      </c>
      <c r="E1" s="991" t="s">
        <v>947</v>
      </c>
      <c r="F1" s="991" t="s">
        <v>1000</v>
      </c>
      <c r="G1" s="991" t="s">
        <v>987</v>
      </c>
      <c r="H1" s="991" t="s">
        <v>1853</v>
      </c>
    </row>
    <row customHeight="1" ht="9">
      <c r="A2" s="994" t="s">
        <v>2162</v>
      </c>
      <c r="B2" s="994"/>
      <c r="C2" s="995" t="str">
        <f>INDEX(TEMPLATE_NUMBER_FORM_LIST,MATCH(TEMPLATE_SPHERE,TEMPLATE_SPHERE_LIST,0))</f>
        <v>16</v>
      </c>
      <c r="D2" s="994" t="s">
        <v>1167</v>
      </c>
      <c r="E2" s="994" t="s">
        <v>165</v>
      </c>
      <c r="F2" s="996" t="s">
        <v>165</v>
      </c>
      <c r="G2" s="994" t="s">
        <v>165</v>
      </c>
      <c r="H2" s="997"/>
    </row>
    <row customHeight="1" ht="63">
      <c r="A3" s="857"/>
      <c r="B3" s="857" t="s">
        <v>120</v>
      </c>
      <c r="C3" s="99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5" t="s">
        <v>2163</v>
      </c>
      <c r="E3" s="99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6"/>
      <c r="G3" s="997"/>
      <c r="H3" s="857"/>
    </row>
    <row customHeight="1" ht="243">
      <c r="A4" s="857" t="s">
        <v>2164</v>
      </c>
      <c r="B4" s="857" t="s">
        <v>104</v>
      </c>
      <c r="C4" s="99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4" t="s">
        <v>2165</v>
      </c>
      <c r="E4" s="99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4"/>
      <c r="G4" s="994"/>
      <c r="H4" s="857" t="s">
        <v>2166</v>
      </c>
    </row>
    <row customHeight="1" ht="117">
      <c r="A5" s="857" t="s">
        <v>2167</v>
      </c>
      <c r="B5" s="857" t="s">
        <v>91</v>
      </c>
      <c r="C5" s="99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7" t="s">
        <v>2168</v>
      </c>
      <c r="E5" s="8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7"/>
      <c r="G5" s="997"/>
      <c r="H5" s="857" t="s">
        <v>2169</v>
      </c>
    </row>
    <row customHeight="1" ht="90">
      <c r="A6" s="857" t="s">
        <v>2170</v>
      </c>
      <c r="B6" s="857" t="s">
        <v>92</v>
      </c>
      <c r="C6" s="99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6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7"/>
      <c r="G6" s="857"/>
      <c r="H6" s="997"/>
    </row>
    <row customHeight="1" ht="45">
      <c r="A7" s="857" t="s">
        <v>2171</v>
      </c>
      <c r="B7" s="857" t="s">
        <v>121</v>
      </c>
      <c r="C7" s="995" t="str">
        <f>IF(TEMPLATE_SPHERE="HEAT",D7,E7)</f>
        <v>Форма 11. Информация о расходах на капитальный и текущий ремонт основных средств</v>
      </c>
      <c r="D7" s="857" t="s">
        <v>2172</v>
      </c>
      <c r="E7" s="857" t="s">
        <v>2173</v>
      </c>
      <c r="F7" s="997"/>
      <c r="G7" s="997"/>
      <c r="H7" s="997"/>
    </row>
    <row customHeight="1" ht="108">
      <c r="A8" s="857" t="s">
        <v>2174</v>
      </c>
      <c r="B8" s="857" t="s">
        <v>93</v>
      </c>
      <c r="C8" s="99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7" t="s">
        <v>1431</v>
      </c>
      <c r="E8" s="857" t="s">
        <v>2175</v>
      </c>
      <c r="F8" s="997"/>
      <c r="G8" s="997"/>
      <c r="H8" s="997"/>
    </row>
    <row customHeight="1" ht="99">
      <c r="A9" s="857" t="s">
        <v>2176</v>
      </c>
      <c r="B9" s="857"/>
      <c r="C9" s="857" t="s">
        <v>2177</v>
      </c>
      <c r="D9" s="857"/>
      <c r="E9" s="857"/>
      <c r="F9" s="997"/>
      <c r="G9" s="997"/>
      <c r="H9" s="997"/>
    </row>
    <row customHeight="1" ht="126">
      <c r="A10" s="857" t="s">
        <v>2178</v>
      </c>
      <c r="B10" s="857"/>
      <c r="C10" s="857" t="s">
        <v>2179</v>
      </c>
      <c r="D10" s="857"/>
      <c r="E10" s="857"/>
      <c r="F10" s="997"/>
      <c r="G10" s="997"/>
      <c r="H10" s="997"/>
    </row>
    <row customHeight="1" ht="108">
      <c r="A11" s="857" t="s">
        <v>2180</v>
      </c>
      <c r="B11" s="857"/>
      <c r="C11" s="857" t="s">
        <v>2181</v>
      </c>
      <c r="D11" s="857"/>
      <c r="E11" s="857"/>
      <c r="F11" s="997"/>
      <c r="G11" s="997"/>
      <c r="H11" s="997"/>
    </row>
    <row customHeight="1" ht="54">
      <c r="A12" s="857" t="s">
        <v>2182</v>
      </c>
      <c r="B12" s="857"/>
      <c r="C12" s="857" t="s">
        <v>2183</v>
      </c>
      <c r="D12" s="857"/>
      <c r="E12" s="857"/>
      <c r="F12" s="997"/>
      <c r="G12" s="997"/>
      <c r="H12" s="997"/>
    </row>
    <row customHeight="1" ht="45">
      <c r="A13" s="857" t="s">
        <v>2184</v>
      </c>
      <c r="B13" s="857"/>
      <c r="C13" s="857" t="s">
        <v>2185</v>
      </c>
      <c r="D13" s="857"/>
      <c r="E13" s="857"/>
      <c r="F13" s="997"/>
      <c r="G13" s="997"/>
      <c r="H13" s="997"/>
    </row>
    <row customHeight="1" ht="117">
      <c r="A14" s="857" t="s">
        <v>2186</v>
      </c>
      <c r="B14" s="857"/>
      <c r="C14" s="857" t="s">
        <v>2187</v>
      </c>
      <c r="D14" s="857"/>
      <c r="E14" s="857"/>
      <c r="F14" s="997"/>
      <c r="G14" s="997"/>
      <c r="H14" s="997"/>
    </row>
    <row customHeight="1" ht="117">
      <c r="A15" s="857" t="s">
        <v>2188</v>
      </c>
      <c r="B15" s="857"/>
      <c r="C15" s="857" t="s">
        <v>2189</v>
      </c>
      <c r="D15" s="857"/>
      <c r="E15" s="857"/>
      <c r="F15" s="997"/>
      <c r="G15" s="997"/>
      <c r="H15" s="997"/>
    </row>
    <row customHeight="1" ht="63">
      <c r="A16" s="857" t="s">
        <v>2190</v>
      </c>
      <c r="B16" s="857"/>
      <c r="C16" s="857" t="s">
        <v>2191</v>
      </c>
      <c r="D16" s="857"/>
      <c r="E16" s="857"/>
      <c r="F16" s="997"/>
      <c r="G16" s="997"/>
      <c r="H16" s="997"/>
    </row>
    <row customHeight="1" ht="54">
      <c r="A17" s="857" t="s">
        <v>2192</v>
      </c>
      <c r="B17" s="857"/>
      <c r="C17" s="995" t="s">
        <v>2193</v>
      </c>
      <c r="D17" s="857"/>
      <c r="E17" s="857"/>
      <c r="F17" s="997"/>
      <c r="G17" s="997"/>
      <c r="H17" s="997"/>
    </row>
    <row customHeight="1" ht="27">
      <c r="A18" s="857" t="s">
        <v>2194</v>
      </c>
      <c r="B18" s="857"/>
      <c r="C18" s="995" t="s">
        <v>2195</v>
      </c>
      <c r="D18" s="857"/>
      <c r="E18" s="857"/>
      <c r="F18" s="997"/>
      <c r="G18" s="997"/>
      <c r="H18" s="997"/>
    </row>
    <row customHeight="1" ht="54">
      <c r="A19" s="857" t="s">
        <v>2196</v>
      </c>
      <c r="B19" s="857"/>
      <c r="C19" s="995" t="s">
        <v>2197</v>
      </c>
      <c r="D19" s="857"/>
      <c r="E19" s="857"/>
      <c r="F19" s="997"/>
      <c r="G19" s="997"/>
      <c r="H19" s="997"/>
    </row>
    <row customHeight="1" ht="36">
      <c r="A20" s="857" t="s">
        <v>2198</v>
      </c>
      <c r="B20" s="857"/>
      <c r="C20" s="995" t="s">
        <v>2199</v>
      </c>
      <c r="D20" s="857"/>
      <c r="E20" s="857"/>
      <c r="F20" s="997"/>
      <c r="G20" s="997"/>
      <c r="H20" s="997"/>
    </row>
    <row customHeight="1" ht="36">
      <c r="A21" s="857" t="s">
        <v>2200</v>
      </c>
      <c r="B21" s="857"/>
      <c r="C21" s="995" t="s">
        <v>2201</v>
      </c>
      <c r="D21" s="857"/>
      <c r="E21" s="857"/>
      <c r="F21" s="997"/>
      <c r="G21" s="997"/>
      <c r="H21" s="997"/>
    </row>
    <row customHeight="1" ht="27">
      <c r="A22" s="857" t="s">
        <v>2202</v>
      </c>
      <c r="B22" s="857"/>
      <c r="C22" s="995" t="s">
        <v>2203</v>
      </c>
      <c r="D22" s="857"/>
      <c r="E22" s="857"/>
      <c r="F22" s="997"/>
      <c r="G22" s="997"/>
      <c r="H22" s="997"/>
    </row>
    <row customHeight="1" ht="36">
      <c r="A23" s="857" t="s">
        <v>2204</v>
      </c>
      <c r="B23" s="857"/>
      <c r="C23" s="995" t="s">
        <v>2205</v>
      </c>
      <c r="D23" s="857"/>
      <c r="E23" s="857"/>
      <c r="F23" s="997"/>
      <c r="G23" s="997"/>
      <c r="H23" s="997"/>
    </row>
    <row customHeight="1" ht="28.5">
      <c r="A24" s="857" t="s">
        <v>2206</v>
      </c>
      <c r="B24" s="857"/>
      <c r="C24" s="995" t="s">
        <v>2207</v>
      </c>
      <c r="D24" s="857"/>
      <c r="E24" s="857"/>
      <c r="F24" s="997"/>
      <c r="G24" s="997"/>
      <c r="H24" s="997"/>
    </row>
    <row customHeight="1" ht="36">
      <c r="A25" s="857" t="s">
        <v>2208</v>
      </c>
      <c r="B25" s="857"/>
      <c r="C25" s="995" t="s">
        <v>2209</v>
      </c>
      <c r="D25" s="857"/>
      <c r="E25" s="857"/>
      <c r="F25" s="997"/>
      <c r="G25" s="997"/>
      <c r="H25" s="997"/>
    </row>
    <row customHeight="1" ht="27">
      <c r="A26" s="857" t="s">
        <v>2210</v>
      </c>
      <c r="B26" s="857"/>
      <c r="C26" s="995" t="s">
        <v>2211</v>
      </c>
      <c r="D26" s="857"/>
      <c r="E26" s="857"/>
      <c r="F26" s="997"/>
      <c r="G26" s="997"/>
      <c r="H26" s="997"/>
    </row>
    <row customHeight="1" ht="36">
      <c r="A27" s="857" t="s">
        <v>2212</v>
      </c>
      <c r="B27" s="857"/>
      <c r="C27" s="995" t="s">
        <v>2213</v>
      </c>
      <c r="D27" s="857"/>
      <c r="E27" s="857"/>
      <c r="F27" s="997"/>
      <c r="G27" s="997"/>
      <c r="H27" s="997"/>
    </row>
    <row customHeight="1" ht="28.5">
      <c r="A28" s="857" t="s">
        <v>2214</v>
      </c>
      <c r="B28" s="857"/>
      <c r="C28" s="995" t="s">
        <v>2215</v>
      </c>
      <c r="D28" s="857"/>
      <c r="E28" s="857"/>
      <c r="F28" s="997"/>
      <c r="G28" s="997"/>
      <c r="H28" s="997"/>
    </row>
    <row customHeight="1" ht="126">
      <c r="A29" s="857" t="s">
        <v>2216</v>
      </c>
      <c r="B29" s="857" t="s">
        <v>1206</v>
      </c>
      <c r="C29" s="99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7" t="s">
        <v>2217</v>
      </c>
      <c r="E29" s="8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7"/>
      <c r="G29" s="997"/>
      <c r="H29" s="857" t="s">
        <v>2218</v>
      </c>
    </row>
    <row customHeight="1" ht="36">
      <c r="A30" s="857" t="s">
        <v>2219</v>
      </c>
      <c r="B30" s="857"/>
      <c r="C30" s="99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7" t="s">
        <v>2220</v>
      </c>
      <c r="E30" s="8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7"/>
      <c r="G30" s="997"/>
      <c r="H30" s="997"/>
    </row>
    <row customHeight="1" ht="54">
      <c r="A31" s="857" t="s">
        <v>2221</v>
      </c>
      <c r="B31" s="857"/>
      <c r="C31" s="99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7" t="s">
        <v>2222</v>
      </c>
      <c r="E31" s="8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7"/>
      <c r="G31" s="997"/>
      <c r="H31" s="997"/>
    </row>
    <row customHeight="1" ht="198">
      <c r="A32" s="857" t="s">
        <v>2223</v>
      </c>
      <c r="B32" s="857"/>
      <c r="C32" s="99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7" t="s">
        <v>2224</v>
      </c>
      <c r="E32" s="8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7"/>
      <c r="G32" s="997"/>
      <c r="H32" s="857" t="s">
        <v>2225</v>
      </c>
    </row>
    <row customHeight="1" ht="9">
      <c r="A33" s="857"/>
      <c r="B33" s="857"/>
      <c r="C33" s="995"/>
      <c r="D33" s="857"/>
      <c r="E33" s="857"/>
      <c r="F33" s="997"/>
      <c r="G33" s="997"/>
      <c r="H33" s="997"/>
    </row>
    <row customHeight="1" ht="9">
      <c r="A34" s="857"/>
      <c r="B34" s="857" t="s">
        <v>1179</v>
      </c>
      <c r="C34" s="995">
        <f>INDEX(TEMPLATE_NAME_FORM_LIST,B34,MATCH(TEMPLATE_SPHERE,TEMPLATE_SPHERE_LIST,0))</f>
        <v>0</v>
      </c>
      <c r="D34" s="857"/>
      <c r="E34" s="857"/>
      <c r="F34" s="997"/>
      <c r="G34" s="997"/>
      <c r="H34" s="99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E70C529-C5A6-A7FF-F732-11D9612FE45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1" width="9.140625"/>
    <col min="3" max="7" style="853" width="8.00390625" customWidth="1"/>
    <col min="8" max="12" style="853" width="8.57421875" customWidth="1"/>
    <col min="13" max="14" style="853" width="27.7109375" customWidth="1"/>
    <col min="15" max="19" style="853" width="5.140625" customWidth="1"/>
    <col min="20" max="24" style="853" width="27.7109375" customWidth="1"/>
    <col min="25" max="25" style="1012" width="1.8515625" customWidth="1"/>
    <col min="26" max="26" style="851" width="27.7109375" customWidth="1"/>
    <col min="27" max="27" style="862" width="27.7109375" customWidth="1"/>
    <col min="28" max="29" style="851" width="27.7109375" customWidth="1"/>
    <col min="30" max="30" style="851" width="3.8515625" customWidth="1"/>
    <col min="31" max="34" style="851" width="9.140625"/>
  </cols>
  <sheetData>
    <row s="850" customFormat="1" customHeight="1" ht="18">
      <c r="A1" s="909"/>
      <c r="B1" s="909"/>
      <c r="C1" s="909" t="s">
        <v>2226</v>
      </c>
      <c r="D1" s="909"/>
      <c r="E1" s="909"/>
      <c r="F1" s="909"/>
      <c r="G1" s="909"/>
      <c r="H1" s="909" t="s">
        <v>2227</v>
      </c>
      <c r="I1" s="909"/>
      <c r="J1" s="909"/>
      <c r="K1" s="909"/>
      <c r="L1" s="909"/>
      <c r="M1" s="909" t="s">
        <v>2228</v>
      </c>
      <c r="N1" s="909" t="s">
        <v>2229</v>
      </c>
      <c r="O1" s="2622" t="s">
        <v>2230</v>
      </c>
      <c r="P1" s="2622"/>
      <c r="Q1" s="2622"/>
      <c r="R1" s="2622"/>
      <c r="S1" s="2622"/>
      <c r="T1" s="2622" t="s">
        <v>2228</v>
      </c>
      <c r="U1" s="2622"/>
      <c r="V1" s="2622"/>
      <c r="W1" s="2622"/>
      <c r="X1" s="2622"/>
      <c r="Y1" s="1010"/>
      <c r="Z1" s="2622" t="s">
        <v>2231</v>
      </c>
      <c r="AA1" s="2622"/>
      <c r="AB1" s="2622"/>
      <c r="AC1" s="2622"/>
      <c r="AD1" s="2622"/>
    </row>
    <row customHeight="1" ht="18">
      <c r="A2" s="857"/>
      <c r="B2" s="857"/>
      <c r="C2" s="852" t="s">
        <v>900</v>
      </c>
      <c r="D2" s="852" t="s">
        <v>947</v>
      </c>
      <c r="E2" s="852" t="s">
        <v>1000</v>
      </c>
      <c r="F2" s="852" t="s">
        <v>987</v>
      </c>
      <c r="G2" s="852" t="s">
        <v>1853</v>
      </c>
      <c r="H2" s="854"/>
      <c r="I2" s="854"/>
      <c r="J2" s="854"/>
      <c r="K2" s="854"/>
      <c r="L2" s="854"/>
      <c r="M2" s="854"/>
      <c r="N2" s="854"/>
      <c r="O2" s="852" t="s">
        <v>900</v>
      </c>
      <c r="P2" s="852" t="s">
        <v>947</v>
      </c>
      <c r="Q2" s="852" t="s">
        <v>987</v>
      </c>
      <c r="R2" s="852" t="s">
        <v>1000</v>
      </c>
      <c r="S2" s="852" t="s">
        <v>1853</v>
      </c>
      <c r="T2" s="852" t="s">
        <v>900</v>
      </c>
      <c r="U2" s="852" t="s">
        <v>947</v>
      </c>
      <c r="V2" s="852" t="s">
        <v>987</v>
      </c>
      <c r="W2" s="852" t="s">
        <v>1000</v>
      </c>
      <c r="X2" s="852" t="s">
        <v>1853</v>
      </c>
      <c r="Y2" s="852"/>
      <c r="Z2" s="852" t="s">
        <v>900</v>
      </c>
      <c r="AA2" s="861" t="s">
        <v>947</v>
      </c>
      <c r="AB2" s="852" t="s">
        <v>987</v>
      </c>
      <c r="AC2" s="852" t="s">
        <v>1000</v>
      </c>
      <c r="AD2" s="852" t="s">
        <v>1853</v>
      </c>
    </row>
    <row customHeight="1" ht="162">
      <c r="A3" s="856" t="s">
        <v>27</v>
      </c>
      <c r="B3" s="856"/>
      <c r="C3" s="2626" t="s">
        <v>2232</v>
      </c>
      <c r="D3" s="2627"/>
      <c r="E3" s="2627"/>
      <c r="F3" s="2628"/>
      <c r="G3" s="854"/>
      <c r="H3" s="854"/>
      <c r="I3" s="854"/>
      <c r="J3" s="854"/>
      <c r="K3" s="854"/>
      <c r="L3" s="854"/>
      <c r="M3" s="854"/>
      <c r="N3" s="8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4"/>
      <c r="P3" s="854"/>
      <c r="Q3" s="854"/>
      <c r="R3" s="854"/>
      <c r="S3" s="854"/>
      <c r="T3" s="854"/>
      <c r="U3" s="854"/>
      <c r="V3" s="854"/>
      <c r="W3" s="854"/>
      <c r="X3" s="854"/>
      <c r="Y3" s="1011"/>
      <c r="Z3" s="857" t="s">
        <v>2233</v>
      </c>
      <c r="AA3" s="854" t="s">
        <v>2234</v>
      </c>
      <c r="AB3" s="857" t="s">
        <v>2235</v>
      </c>
      <c r="AC3" s="857" t="s">
        <v>2236</v>
      </c>
      <c r="AD3" s="857"/>
      <c r="AG3" s="857"/>
      <c r="AH3" s="857"/>
    </row>
    <row customHeight="1" ht="9">
      <c r="A4" s="856"/>
      <c r="B4" s="856"/>
      <c r="C4" s="854"/>
      <c r="D4" s="854"/>
      <c r="E4" s="854"/>
      <c r="F4" s="854"/>
      <c r="G4" s="854"/>
      <c r="H4" s="854"/>
      <c r="I4" s="854"/>
      <c r="J4" s="854"/>
      <c r="K4" s="854"/>
      <c r="L4" s="854"/>
      <c r="M4" s="854"/>
      <c r="N4" s="854"/>
      <c r="O4" s="854"/>
      <c r="P4" s="854"/>
      <c r="Q4" s="854"/>
      <c r="R4" s="854"/>
      <c r="S4" s="854"/>
      <c r="T4" s="854"/>
      <c r="U4" s="854"/>
      <c r="V4" s="854"/>
      <c r="W4" s="854"/>
      <c r="X4" s="854"/>
      <c r="Y4" s="1011"/>
      <c r="Z4" s="857"/>
      <c r="AA4" s="860"/>
      <c r="AB4" s="857"/>
      <c r="AC4" s="857"/>
      <c r="AD4" s="857"/>
    </row>
    <row customHeight="1" ht="9">
      <c r="A5" s="856"/>
      <c r="B5" s="856"/>
      <c r="C5" s="854"/>
      <c r="D5" s="854"/>
      <c r="E5" s="854"/>
      <c r="F5" s="854"/>
      <c r="G5" s="854"/>
      <c r="H5" s="854"/>
      <c r="I5" s="854"/>
      <c r="J5" s="854"/>
      <c r="K5" s="854"/>
      <c r="L5" s="854"/>
      <c r="M5" s="854"/>
      <c r="N5" s="854"/>
      <c r="O5" s="854"/>
      <c r="P5" s="854"/>
      <c r="Q5" s="854"/>
      <c r="R5" s="854"/>
      <c r="S5" s="854"/>
      <c r="T5" s="854"/>
      <c r="U5" s="854"/>
      <c r="V5" s="854"/>
      <c r="W5" s="854"/>
      <c r="X5" s="854"/>
      <c r="Y5" s="1011"/>
      <c r="Z5" s="857"/>
      <c r="AA5" s="860"/>
      <c r="AB5" s="857"/>
      <c r="AC5" s="857"/>
      <c r="AD5" s="857"/>
    </row>
    <row customHeight="1" ht="9">
      <c r="A6" s="856"/>
      <c r="B6" s="856"/>
      <c r="C6" s="854"/>
      <c r="D6" s="854"/>
      <c r="E6" s="854"/>
      <c r="F6" s="854"/>
      <c r="G6" s="854"/>
      <c r="H6" s="854"/>
      <c r="I6" s="854"/>
      <c r="J6" s="854"/>
      <c r="K6" s="854"/>
      <c r="L6" s="854"/>
      <c r="M6" s="854"/>
      <c r="N6" s="854"/>
      <c r="O6" s="854"/>
      <c r="P6" s="854"/>
      <c r="Q6" s="854"/>
      <c r="R6" s="854"/>
      <c r="S6" s="854"/>
      <c r="T6" s="854"/>
      <c r="U6" s="854"/>
      <c r="V6" s="854"/>
      <c r="W6" s="854"/>
      <c r="X6" s="854"/>
      <c r="Y6" s="1011"/>
      <c r="Z6" s="857"/>
      <c r="AA6" s="860"/>
      <c r="AB6" s="857"/>
      <c r="AC6" s="857"/>
      <c r="AD6" s="857"/>
    </row>
    <row customHeight="1" ht="9">
      <c r="A7" s="856"/>
      <c r="B7" s="856"/>
      <c r="C7" s="854"/>
      <c r="D7" s="854"/>
      <c r="E7" s="854"/>
      <c r="F7" s="854"/>
      <c r="G7" s="854"/>
      <c r="H7" s="854"/>
      <c r="I7" s="854"/>
      <c r="J7" s="854"/>
      <c r="K7" s="854"/>
      <c r="L7" s="854"/>
      <c r="M7" s="854"/>
      <c r="N7" s="854"/>
      <c r="O7" s="854"/>
      <c r="P7" s="854"/>
      <c r="Q7" s="854"/>
      <c r="R7" s="854"/>
      <c r="S7" s="854"/>
      <c r="T7" s="854"/>
      <c r="U7" s="854"/>
      <c r="V7" s="854"/>
      <c r="W7" s="854"/>
      <c r="X7" s="854"/>
      <c r="Y7" s="1011"/>
      <c r="Z7" s="857"/>
      <c r="AA7" s="860"/>
      <c r="AB7" s="857"/>
      <c r="AC7" s="857"/>
      <c r="AD7" s="857"/>
    </row>
    <row customHeight="1" ht="9">
      <c r="A8" s="856"/>
      <c r="B8" s="856"/>
      <c r="C8" s="854"/>
      <c r="D8" s="854"/>
      <c r="E8" s="854"/>
      <c r="F8" s="854"/>
      <c r="G8" s="854"/>
      <c r="H8" s="854"/>
      <c r="I8" s="854"/>
      <c r="J8" s="854"/>
      <c r="K8" s="854"/>
      <c r="L8" s="854"/>
      <c r="M8" s="854"/>
      <c r="N8" s="854"/>
      <c r="O8" s="854"/>
      <c r="P8" s="854"/>
      <c r="Q8" s="854"/>
      <c r="R8" s="854"/>
      <c r="S8" s="854"/>
      <c r="T8" s="854"/>
      <c r="U8" s="854"/>
      <c r="V8" s="854"/>
      <c r="W8" s="854"/>
      <c r="X8" s="854"/>
      <c r="Y8" s="1011"/>
      <c r="Z8" s="857"/>
      <c r="AA8" s="860"/>
      <c r="AB8" s="857"/>
      <c r="AC8" s="857"/>
      <c r="AD8" s="857"/>
    </row>
    <row customHeight="1" ht="9">
      <c r="A9" s="856"/>
      <c r="B9" s="856"/>
      <c r="C9" s="854"/>
      <c r="D9" s="854"/>
      <c r="E9" s="854"/>
      <c r="F9" s="854"/>
      <c r="G9" s="854"/>
      <c r="H9" s="854"/>
      <c r="I9" s="854"/>
      <c r="J9" s="854"/>
      <c r="K9" s="854"/>
      <c r="L9" s="854"/>
      <c r="M9" s="854"/>
      <c r="N9" s="854"/>
      <c r="O9" s="854"/>
      <c r="P9" s="854"/>
      <c r="Q9" s="854"/>
      <c r="R9" s="854"/>
      <c r="S9" s="854"/>
      <c r="T9" s="854"/>
      <c r="U9" s="854"/>
      <c r="V9" s="854"/>
      <c r="W9" s="854"/>
      <c r="X9" s="854"/>
      <c r="Y9" s="1011"/>
      <c r="Z9" s="857"/>
      <c r="AA9" s="860"/>
      <c r="AB9" s="857"/>
      <c r="AC9" s="857"/>
      <c r="AD9" s="857"/>
    </row>
    <row customHeight="1" ht="9">
      <c r="A10" s="910"/>
      <c r="B10" s="910"/>
      <c r="C10" s="910"/>
      <c r="D10" s="910"/>
      <c r="E10" s="910"/>
      <c r="F10" s="910"/>
      <c r="G10" s="910"/>
      <c r="H10" s="910"/>
      <c r="I10" s="910"/>
      <c r="J10" s="910"/>
      <c r="K10" s="910"/>
      <c r="L10" s="910"/>
      <c r="M10" s="910"/>
      <c r="N10" s="910"/>
      <c r="O10" s="910"/>
      <c r="P10" s="910"/>
      <c r="Q10" s="910"/>
      <c r="R10" s="910"/>
      <c r="S10" s="910"/>
      <c r="T10" s="910"/>
      <c r="U10" s="910"/>
      <c r="V10" s="910"/>
      <c r="W10" s="910"/>
      <c r="X10" s="910"/>
      <c r="Y10" s="910"/>
      <c r="Z10" s="910"/>
      <c r="AA10" s="910"/>
      <c r="AB10" s="910"/>
      <c r="AC10" s="910"/>
      <c r="AD10" s="910"/>
    </row>
    <row customHeight="1" ht="45">
      <c r="A11" s="2623" t="s">
        <v>33</v>
      </c>
      <c r="B11" s="910">
        <v>1</v>
      </c>
      <c r="C11" s="2629" t="s">
        <v>1201</v>
      </c>
      <c r="D11" s="2629" t="s">
        <v>1199</v>
      </c>
      <c r="E11" s="2629" t="s">
        <v>1886</v>
      </c>
      <c r="F11" s="2629" t="s">
        <v>2237</v>
      </c>
      <c r="G11" s="2629"/>
      <c r="H11" s="909" t="s">
        <v>2238</v>
      </c>
      <c r="I11" s="909"/>
      <c r="J11" s="909"/>
      <c r="K11" s="909"/>
      <c r="L11" s="909"/>
      <c r="M11" s="855" t="str">
        <f>IF(TEMPLATE_SPHERE="HEAT",T11,U11)</f>
        <v>Количество поданных заявок</v>
      </c>
      <c r="N11" s="85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4"/>
      <c r="P11" s="854"/>
      <c r="Q11" s="854"/>
      <c r="R11" s="854"/>
      <c r="S11" s="854"/>
      <c r="T11" s="854" t="s">
        <v>2239</v>
      </c>
      <c r="U11" s="854" t="s">
        <v>2240</v>
      </c>
      <c r="V11" s="854"/>
      <c r="W11" s="854"/>
      <c r="X11" s="854"/>
      <c r="Y11" s="1011"/>
      <c r="Z11" s="857" t="s">
        <v>2241</v>
      </c>
      <c r="AA11" s="8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7"/>
      <c r="AC11" s="857"/>
      <c r="AD11" s="857"/>
    </row>
    <row customHeight="1" ht="45">
      <c r="A12" s="2623"/>
      <c r="B12" s="910">
        <v>2</v>
      </c>
      <c r="C12" s="2630"/>
      <c r="D12" s="2630"/>
      <c r="E12" s="2630"/>
      <c r="F12" s="2630"/>
      <c r="G12" s="2630"/>
      <c r="H12" s="909" t="s">
        <v>2242</v>
      </c>
      <c r="I12" s="909"/>
      <c r="J12" s="909"/>
      <c r="K12" s="909"/>
      <c r="L12" s="909"/>
      <c r="M12" s="855" t="str">
        <f>IF(TEMPLATE_SPHERE="HEAT",T12,U12)</f>
        <v>Количество рассмотренных заявок</v>
      </c>
      <c r="N12" s="85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4"/>
      <c r="P12" s="854"/>
      <c r="Q12" s="854"/>
      <c r="R12" s="854"/>
      <c r="S12" s="854"/>
      <c r="T12" s="854" t="s">
        <v>2243</v>
      </c>
      <c r="U12" s="854" t="s">
        <v>2244</v>
      </c>
      <c r="V12" s="854"/>
      <c r="W12" s="854"/>
      <c r="X12" s="854"/>
      <c r="Y12" s="1011"/>
      <c r="Z12" s="857" t="s">
        <v>2245</v>
      </c>
      <c r="AA12" s="8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7"/>
      <c r="AC12" s="857"/>
      <c r="AD12" s="857"/>
    </row>
    <row customHeight="1" ht="72">
      <c r="A13" s="2623"/>
      <c r="B13" s="910">
        <v>3</v>
      </c>
      <c r="C13" s="2630"/>
      <c r="D13" s="2630"/>
      <c r="E13" s="2630"/>
      <c r="F13" s="2630"/>
      <c r="G13" s="2630"/>
      <c r="H13" s="2622" t="s">
        <v>2246</v>
      </c>
      <c r="I13" s="909"/>
      <c r="J13" s="909"/>
      <c r="K13" s="909"/>
      <c r="L13" s="909"/>
      <c r="M13" s="8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5" t="str">
        <f>IF(TEMPLATE_SPHERE="HEAT",Z13,AA13)</f>
        <v>Указывается количество заявок с решением об отказе в течение отчетного квартала.</v>
      </c>
      <c r="O13" s="854"/>
      <c r="P13" s="855"/>
      <c r="Q13" s="855"/>
      <c r="R13" s="855"/>
      <c r="S13" s="854"/>
      <c r="T13" s="854" t="s">
        <v>2247</v>
      </c>
      <c r="U13" s="855" t="s">
        <v>2248</v>
      </c>
      <c r="V13" s="855"/>
      <c r="W13" s="855"/>
      <c r="X13" s="854"/>
      <c r="Y13" s="1011"/>
      <c r="Z13" s="857" t="s">
        <v>2249</v>
      </c>
      <c r="AA13" s="8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7"/>
      <c r="AC13" s="857"/>
      <c r="AD13" s="857"/>
    </row>
    <row customHeight="1" ht="45">
      <c r="A14" s="2623"/>
      <c r="B14" s="910">
        <v>4</v>
      </c>
      <c r="C14" s="2630"/>
      <c r="D14" s="2630"/>
      <c r="E14" s="2630"/>
      <c r="F14" s="2630"/>
      <c r="G14" s="2630"/>
      <c r="H14" s="2622"/>
      <c r="I14" s="912"/>
      <c r="J14" s="912"/>
      <c r="K14" s="912"/>
      <c r="L14" s="912"/>
      <c r="M14" s="858" t="str">
        <f>IF(TEMPLATE_SPHERE="HEAT",T14,U14)</f>
        <v>Причины отказа в заключении договора о подключении (технологическом присоединении) к системе теплоснабжения</v>
      </c>
      <c r="N14" s="85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4"/>
      <c r="P14" s="855"/>
      <c r="Q14" s="855"/>
      <c r="R14" s="855"/>
      <c r="S14" s="854"/>
      <c r="T14" s="854" t="s">
        <v>2250</v>
      </c>
      <c r="U14" s="8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5"/>
      <c r="W14" s="855"/>
      <c r="X14" s="854"/>
      <c r="Y14" s="1011"/>
      <c r="Z14" s="857" t="s">
        <v>2251</v>
      </c>
      <c r="AA14" s="860" t="s">
        <v>2251</v>
      </c>
      <c r="AB14" s="857"/>
      <c r="AC14" s="857"/>
      <c r="AD14" s="857"/>
    </row>
    <row customHeight="1" ht="108">
      <c r="A15" s="2623"/>
      <c r="B15" s="910">
        <v>5</v>
      </c>
      <c r="C15" s="2630"/>
      <c r="D15" s="2630"/>
      <c r="E15" s="2630"/>
      <c r="F15" s="2630"/>
      <c r="G15" s="2630"/>
      <c r="H15" s="2624" t="s">
        <v>2252</v>
      </c>
      <c r="I15" s="911"/>
      <c r="J15" s="911"/>
      <c r="K15" s="911"/>
      <c r="L15" s="911"/>
      <c r="M15" s="860" t="str">
        <f>IF(TEMPLATE_SPHERE="HEAT",T15,U15)</f>
        <v>Резерв мощности источников тепловой энергии, входящих в систему теплоснабжения, в течение одного квартала, в том числе:</v>
      </c>
      <c r="N15" s="85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4"/>
      <c r="P15" s="855"/>
      <c r="Q15" s="855"/>
      <c r="R15" s="855"/>
      <c r="S15" s="854"/>
      <c r="T15" s="854" t="s">
        <v>2253</v>
      </c>
      <c r="U15" s="8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5"/>
      <c r="W15" s="855"/>
      <c r="X15" s="854"/>
      <c r="Y15" s="1011"/>
      <c r="Z15" s="857" t="s">
        <v>2254</v>
      </c>
      <c r="AA15" s="8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7"/>
      <c r="AC15" s="857"/>
      <c r="AD15" s="857"/>
    </row>
    <row customHeight="1" ht="108">
      <c r="A16" s="910"/>
      <c r="B16" s="910">
        <v>6</v>
      </c>
      <c r="C16" s="2631"/>
      <c r="D16" s="2631"/>
      <c r="E16" s="2631"/>
      <c r="F16" s="2631"/>
      <c r="G16" s="2631"/>
      <c r="H16" s="2625"/>
      <c r="I16" s="973"/>
      <c r="J16" s="973"/>
      <c r="K16" s="973"/>
      <c r="L16" s="973"/>
      <c r="M16" s="903"/>
      <c r="N16" s="85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4"/>
      <c r="P16" s="855"/>
      <c r="Q16" s="855"/>
      <c r="R16" s="855"/>
      <c r="S16" s="854"/>
      <c r="T16" s="854"/>
      <c r="U16" s="855"/>
      <c r="V16" s="855"/>
      <c r="W16" s="855"/>
      <c r="X16" s="854"/>
      <c r="Y16" s="1011"/>
      <c r="Z16" s="857" t="s">
        <v>2254</v>
      </c>
      <c r="AA16" s="8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7"/>
      <c r="AC16" s="857"/>
      <c r="AD16" s="857"/>
    </row>
    <row customHeight="1" ht="9">
      <c r="A17" s="910"/>
      <c r="B17" s="910"/>
      <c r="C17" s="910">
        <v>22</v>
      </c>
      <c r="D17" s="910">
        <v>21</v>
      </c>
      <c r="E17" s="910">
        <v>42</v>
      </c>
      <c r="F17" s="910">
        <v>63</v>
      </c>
      <c r="G17" s="910"/>
      <c r="H17" s="910"/>
      <c r="I17" s="910"/>
      <c r="J17" s="910"/>
      <c r="K17" s="910"/>
      <c r="L17" s="910"/>
      <c r="M17" s="910"/>
      <c r="N17" s="910"/>
      <c r="O17" s="910"/>
      <c r="P17" s="910"/>
      <c r="Q17" s="910"/>
      <c r="R17" s="910"/>
      <c r="S17" s="910"/>
      <c r="T17" s="910"/>
      <c r="U17" s="910"/>
      <c r="V17" s="910"/>
      <c r="W17" s="910"/>
      <c r="X17" s="910"/>
      <c r="Y17" s="910"/>
      <c r="Z17" s="910"/>
      <c r="AA17" s="910"/>
      <c r="AB17" s="910"/>
      <c r="AC17" s="910"/>
      <c r="AD17" s="910"/>
    </row>
    <row customHeight="1" ht="27">
      <c r="A18" s="856" t="s">
        <v>1889</v>
      </c>
      <c r="B18" s="910">
        <v>1</v>
      </c>
      <c r="C18" s="854" t="s">
        <v>2238</v>
      </c>
      <c r="D18" s="978" t="s">
        <v>2238</v>
      </c>
      <c r="E18" s="854" t="s">
        <v>2238</v>
      </c>
      <c r="F18" s="854" t="s">
        <v>2238</v>
      </c>
      <c r="G18" s="854"/>
      <c r="H18" s="1013"/>
      <c r="I18" s="1016">
        <f>INDEX(TEMPLATE_NUMBER_POINT_FHD,B18,MATCH(TEMPLATE_SPHERE,TEMPLATE_SPHERE_LIST_FOR_NOTE,0))</f>
        <v>1</v>
      </c>
      <c r="J18" s="1016" t="str">
        <f>INDEX(TEMPLATE_DATA_POINT_FHD,B18,MATCH(TEMPLATE_SPHERE,TEMPLATE_SPHERE_LIST_FOR_NOTE,0))</f>
        <v>Выручка от регулируемого вида деятельности с распределением по видам деятельности</v>
      </c>
      <c r="K18" s="101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5">
        <f>IF(I18=0,"",I18)</f>
        <v>1</v>
      </c>
      <c r="M18" s="855" t="str">
        <f>IF(J18=0,"",J18)</f>
        <v>Выручка от регулируемого вида деятельности с распределением по видам деятельности</v>
      </c>
      <c r="N18" s="855" t="str">
        <f>IF(K18=0,"",K18)</f>
        <v>Указывается выручка от регулируемого вида деятельности с распределением по видам деятельности.</v>
      </c>
      <c r="O18" s="968">
        <v>1</v>
      </c>
      <c r="P18" s="968">
        <v>1</v>
      </c>
      <c r="Q18" s="968">
        <v>1</v>
      </c>
      <c r="R18" s="968">
        <v>1</v>
      </c>
      <c r="S18" s="968"/>
      <c r="T18" s="975" t="s">
        <v>2255</v>
      </c>
      <c r="U18" s="857" t="s">
        <v>2256</v>
      </c>
      <c r="V18" s="857" t="s">
        <v>2257</v>
      </c>
      <c r="W18" s="857" t="s">
        <v>2258</v>
      </c>
      <c r="X18" s="854"/>
      <c r="Y18" s="1011"/>
      <c r="Z18" s="857" t="s">
        <v>2259</v>
      </c>
      <c r="AA18" s="860" t="s">
        <v>2260</v>
      </c>
      <c r="AB18" s="860" t="s">
        <v>2260</v>
      </c>
      <c r="AC18" s="860" t="s">
        <v>2260</v>
      </c>
      <c r="AD18" s="857"/>
    </row>
    <row customHeight="1" ht="36">
      <c r="A19" s="856"/>
      <c r="B19" s="910">
        <v>2</v>
      </c>
      <c r="C19" s="854" t="s">
        <v>2242</v>
      </c>
      <c r="D19" s="978" t="s">
        <v>2242</v>
      </c>
      <c r="E19" s="854" t="s">
        <v>2242</v>
      </c>
      <c r="F19" s="854" t="s">
        <v>2242</v>
      </c>
      <c r="G19" s="854"/>
      <c r="H19" s="1013"/>
      <c r="I19" s="1016">
        <f>INDEX(TEMPLATE_NUMBER_POINT_FHD,B19,MATCH(TEMPLATE_SPHERE,TEMPLATE_SPHERE_LIST_FOR_NOTE,0))</f>
        <v>2</v>
      </c>
      <c r="J19" s="101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6" t="str">
        <f>INDEX(TEMPLATE_NOTE_POINT_FHD,B19,MATCH(TEMPLATE_SPHERE,TEMPLATE_SPHERE_LIST_FOR_NOTE,0))</f>
        <v>Указывается суммарная себестоимость производимых товаров.</v>
      </c>
      <c r="L19" s="855">
        <f>IF(I19=0,"",I19)</f>
        <v>2</v>
      </c>
      <c r="M19" s="855" t="str">
        <f>IF(J19=0,"",J19)</f>
        <v>Себестоимость производимых товаров (оказываемых услуг) по регулируемому виду деятельности, включая:</v>
      </c>
      <c r="N19" s="855" t="str">
        <f>IF(K19=0,"",K19)</f>
        <v>Указывается суммарная себестоимость производимых товаров.</v>
      </c>
      <c r="O19" s="968">
        <v>2</v>
      </c>
      <c r="P19" s="968">
        <v>2</v>
      </c>
      <c r="Q19" s="968">
        <v>2</v>
      </c>
      <c r="R19" s="968">
        <v>2</v>
      </c>
      <c r="S19" s="968"/>
      <c r="T19" s="975" t="s">
        <v>2261</v>
      </c>
      <c r="U19" s="857" t="s">
        <v>2262</v>
      </c>
      <c r="V19" s="857" t="s">
        <v>2263</v>
      </c>
      <c r="W19" s="857" t="s">
        <v>2264</v>
      </c>
      <c r="X19" s="854"/>
      <c r="Y19" s="1011"/>
      <c r="Z19" s="857" t="s">
        <v>2265</v>
      </c>
      <c r="AA19" s="860" t="s">
        <v>2265</v>
      </c>
      <c r="AB19" s="860" t="s">
        <v>2265</v>
      </c>
      <c r="AC19" s="860" t="s">
        <v>2265</v>
      </c>
      <c r="AD19" s="857"/>
    </row>
    <row customHeight="1" ht="27">
      <c r="A20" s="856"/>
      <c r="B20" s="910">
        <v>3</v>
      </c>
      <c r="C20" s="854">
        <v>1</v>
      </c>
      <c r="D20" s="978"/>
      <c r="E20" s="854"/>
      <c r="F20" s="854"/>
      <c r="G20" s="854"/>
      <c r="H20" s="1013"/>
      <c r="I20" s="1016" t="str">
        <f>INDEX(TEMPLATE_NUMBER_POINT_FHD,B20,MATCH(TEMPLATE_SPHERE,TEMPLATE_SPHERE_LIST_FOR_NOTE,0))</f>
        <v>2.1</v>
      </c>
      <c r="J20" s="1016" t="str">
        <f>INDEX(TEMPLATE_DATA_POINT_FHD,B20,MATCH(TEMPLATE_SPHERE,TEMPLATE_SPHERE_LIST_FOR_NOTE,0))</f>
        <v>Расходы на приобретаемую тепловую энергию (мощность), теплоноситель</v>
      </c>
      <c r="K20" s="1016">
        <f>INDEX(TEMPLATE_NOTE_POINT_FHD,B20,MATCH(TEMPLATE_SPHERE,TEMPLATE_SPHERE_LIST_FOR_NOTE,0))</f>
        <v>0</v>
      </c>
      <c r="L20" s="855" t="str">
        <f>IF(I20=0,"",I20)</f>
        <v>2.1</v>
      </c>
      <c r="M20" s="855" t="str">
        <f>IF(J20=0,"",J20)</f>
        <v>Расходы на приобретаемую тепловую энергию (мощность), теплоноситель</v>
      </c>
      <c r="N20" s="855" t="str">
        <f>IF(K20=0,"",K20)</f>
        <v/>
      </c>
      <c r="O20" s="968" t="s">
        <v>783</v>
      </c>
      <c r="P20" s="968" t="s">
        <v>783</v>
      </c>
      <c r="Q20" s="968" t="s">
        <v>783</v>
      </c>
      <c r="R20" s="968" t="s">
        <v>783</v>
      </c>
      <c r="S20" s="968"/>
      <c r="T20" s="975" t="s">
        <v>2266</v>
      </c>
      <c r="U20" s="857" t="s">
        <v>2267</v>
      </c>
      <c r="V20" s="857" t="s">
        <v>2268</v>
      </c>
      <c r="W20" s="857" t="s">
        <v>2269</v>
      </c>
      <c r="X20" s="854"/>
      <c r="Y20" s="1011"/>
      <c r="Z20" s="857"/>
      <c r="AA20" s="860"/>
      <c r="AB20" s="857"/>
      <c r="AC20" s="857"/>
      <c r="AD20" s="857"/>
    </row>
    <row customHeight="1" ht="36">
      <c r="A21" s="856"/>
      <c r="B21" s="910">
        <v>4</v>
      </c>
      <c r="C21" s="854">
        <v>2</v>
      </c>
      <c r="D21" s="978"/>
      <c r="E21" s="854"/>
      <c r="F21" s="854"/>
      <c r="G21" s="854"/>
      <c r="H21" s="1013"/>
      <c r="I21" s="1016" t="str">
        <f>INDEX(TEMPLATE_NUMBER_POINT_FHD,B21,MATCH(TEMPLATE_SPHERE,TEMPLATE_SPHERE_LIST_FOR_NOTE,0))</f>
        <v>2.2</v>
      </c>
      <c r="J21" s="101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6" t="str">
        <f>INDEX(TEMPLATE_NOTE_POINT_FHD,B21,MATCH(TEMPLATE_SPHERE,TEMPLATE_SPHERE_LIST_FOR_NOTE,0))</f>
        <v>Указываются суммарные расходы на приобретение топлива всех видов.</v>
      </c>
      <c r="L21" s="855" t="str">
        <f>IF(I21=0,"",I21)</f>
        <v>2.2</v>
      </c>
      <c r="M21" s="85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5" t="str">
        <f>IF(K21=0,"",K21)</f>
        <v>Указываются суммарные расходы на приобретение топлива всех видов.</v>
      </c>
      <c r="O21" s="968" t="s">
        <v>321</v>
      </c>
      <c r="P21" s="968"/>
      <c r="Q21" s="968"/>
      <c r="R21" s="968"/>
      <c r="S21" s="968"/>
      <c r="T21" s="975" t="s">
        <v>2270</v>
      </c>
      <c r="U21" s="857"/>
      <c r="V21" s="857"/>
      <c r="W21" s="857"/>
      <c r="X21" s="854"/>
      <c r="Y21" s="1011"/>
      <c r="Z21" s="857" t="s">
        <v>2271</v>
      </c>
      <c r="AA21" s="860"/>
      <c r="AB21" s="857"/>
      <c r="AC21" s="857"/>
      <c r="AD21" s="857"/>
    </row>
    <row customHeight="1" ht="36">
      <c r="A22" s="856"/>
      <c r="B22" s="910">
        <v>5</v>
      </c>
      <c r="C22" s="854">
        <v>3</v>
      </c>
      <c r="D22" s="978"/>
      <c r="E22" s="854"/>
      <c r="F22" s="854"/>
      <c r="G22" s="902"/>
      <c r="H22" s="969"/>
      <c r="I22" s="1016">
        <f>INDEX(TEMPLATE_NUMBER_POINT_FHD,B22,MATCH(TEMPLATE_SPHERE,TEMPLATE_SPHERE_LIST_FOR_NOTE,0))</f>
        <v>0</v>
      </c>
      <c r="J22" s="1016">
        <f>INDEX(TEMPLATE_DATA_POINT_FHD,B22,MATCH(TEMPLATE_SPHERE,TEMPLATE_SPHERE_LIST_FOR_NOTE,0))</f>
        <v>0</v>
      </c>
      <c r="K22" s="1016">
        <f>INDEX(TEMPLATE_NOTE_POINT_FHD,B22,MATCH(TEMPLATE_SPHERE,TEMPLATE_SPHERE_LIST_FOR_NOTE,0))</f>
        <v>0</v>
      </c>
      <c r="L22" s="855" t="str">
        <f>IF(I22=0,"",I22)</f>
        <v/>
      </c>
      <c r="M22" s="855" t="str">
        <f>IF(J22=0,"",J22)</f>
        <v/>
      </c>
      <c r="N22" s="855" t="str">
        <f>IF(K22=0,"",K22)</f>
        <v/>
      </c>
      <c r="O22" s="968"/>
      <c r="P22" s="968"/>
      <c r="Q22" s="968" t="s">
        <v>321</v>
      </c>
      <c r="R22" s="968"/>
      <c r="S22" s="968"/>
      <c r="T22" s="975"/>
      <c r="U22" s="857"/>
      <c r="V22" s="857" t="s">
        <v>2272</v>
      </c>
      <c r="W22" s="857"/>
      <c r="X22" s="854"/>
      <c r="Y22" s="1011"/>
      <c r="Z22" s="857"/>
      <c r="AA22" s="860"/>
      <c r="AB22" s="857"/>
      <c r="AC22" s="857"/>
      <c r="AD22" s="857"/>
    </row>
    <row customHeight="1" ht="27">
      <c r="A23" s="856"/>
      <c r="B23" s="910">
        <v>6</v>
      </c>
      <c r="C23" s="854">
        <v>4</v>
      </c>
      <c r="D23" s="978"/>
      <c r="E23" s="854"/>
      <c r="F23" s="854"/>
      <c r="G23" s="902"/>
      <c r="H23" s="969"/>
      <c r="I23" s="1016">
        <f>INDEX(TEMPLATE_NUMBER_POINT_FHD,B23,MATCH(TEMPLATE_SPHERE,TEMPLATE_SPHERE_LIST_FOR_NOTE,0))</f>
        <v>0</v>
      </c>
      <c r="J23" s="1016">
        <f>INDEX(TEMPLATE_DATA_POINT_FHD,B23,MATCH(TEMPLATE_SPHERE,TEMPLATE_SPHERE_LIST_FOR_NOTE,0))</f>
        <v>0</v>
      </c>
      <c r="K23" s="1016">
        <f>INDEX(TEMPLATE_NOTE_POINT_FHD,B23,MATCH(TEMPLATE_SPHERE,TEMPLATE_SPHERE_LIST_FOR_NOTE,0))</f>
        <v>0</v>
      </c>
      <c r="L23" s="855" t="str">
        <f>IF(I23=0,"",I23)</f>
        <v/>
      </c>
      <c r="M23" s="855" t="str">
        <f>IF(J23=0,"",J23)</f>
        <v/>
      </c>
      <c r="N23" s="855" t="str">
        <f>IF(K23=0,"",K23)</f>
        <v/>
      </c>
      <c r="O23" s="968"/>
      <c r="P23" s="968"/>
      <c r="Q23" s="968" t="s">
        <v>324</v>
      </c>
      <c r="R23" s="968"/>
      <c r="S23" s="968"/>
      <c r="T23" s="975"/>
      <c r="U23" s="857"/>
      <c r="V23" s="857" t="s">
        <v>2273</v>
      </c>
      <c r="W23" s="857"/>
      <c r="X23" s="854"/>
      <c r="Y23" s="1011"/>
      <c r="Z23" s="857"/>
      <c r="AA23" s="860"/>
      <c r="AB23" s="857"/>
      <c r="AC23" s="857"/>
      <c r="AD23" s="857"/>
    </row>
    <row customHeight="1" ht="36">
      <c r="A24" s="856"/>
      <c r="B24" s="910">
        <v>7</v>
      </c>
      <c r="C24" s="854">
        <v>5</v>
      </c>
      <c r="D24" s="978"/>
      <c r="E24" s="854"/>
      <c r="F24" s="854"/>
      <c r="G24" s="902"/>
      <c r="H24" s="969"/>
      <c r="I24" s="1016">
        <f>INDEX(TEMPLATE_NUMBER_POINT_FHD,B24,MATCH(TEMPLATE_SPHERE,TEMPLATE_SPHERE_LIST_FOR_NOTE,0))</f>
        <v>0</v>
      </c>
      <c r="J24" s="1016">
        <f>INDEX(TEMPLATE_DATA_POINT_FHD,B24,MATCH(TEMPLATE_SPHERE,TEMPLATE_SPHERE_LIST_FOR_NOTE,0))</f>
        <v>0</v>
      </c>
      <c r="K24" s="1016">
        <f>INDEX(TEMPLATE_NOTE_POINT_FHD,B24,MATCH(TEMPLATE_SPHERE,TEMPLATE_SPHERE_LIST_FOR_NOTE,0))</f>
        <v>0</v>
      </c>
      <c r="L24" s="855" t="str">
        <f>IF(I24=0,"",I24)</f>
        <v/>
      </c>
      <c r="M24" s="855" t="str">
        <f>IF(J24=0,"",J24)</f>
        <v/>
      </c>
      <c r="N24" s="855" t="str">
        <f>IF(K24=0,"",K24)</f>
        <v/>
      </c>
      <c r="O24" s="968"/>
      <c r="P24" s="968"/>
      <c r="Q24" s="968" t="s">
        <v>803</v>
      </c>
      <c r="R24" s="968"/>
      <c r="S24" s="968"/>
      <c r="T24" s="975"/>
      <c r="U24" s="857"/>
      <c r="V24" s="857" t="s">
        <v>2274</v>
      </c>
      <c r="W24" s="857"/>
      <c r="X24" s="854"/>
      <c r="Y24" s="1011"/>
      <c r="Z24" s="857"/>
      <c r="AA24" s="860"/>
      <c r="AB24" s="857"/>
      <c r="AC24" s="857"/>
      <c r="AD24" s="857"/>
    </row>
    <row customHeight="1" ht="36">
      <c r="A25" s="856"/>
      <c r="B25" s="910">
        <v>8</v>
      </c>
      <c r="C25" s="854">
        <v>6</v>
      </c>
      <c r="D25" s="978"/>
      <c r="E25" s="854"/>
      <c r="F25" s="854"/>
      <c r="G25" s="902"/>
      <c r="H25" s="969"/>
      <c r="I25" s="1016" t="str">
        <f>INDEX(TEMPLATE_NUMBER_POINT_FHD,B25,MATCH(TEMPLATE_SPHERE,TEMPLATE_SPHERE_LIST_FOR_NOTE,0))</f>
        <v>2.3</v>
      </c>
      <c r="J25" s="101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6">
        <f>INDEX(TEMPLATE_NOTE_POINT_FHD,B25,MATCH(TEMPLATE_SPHERE,TEMPLATE_SPHERE_LIST_FOR_NOTE,0))</f>
        <v>0</v>
      </c>
      <c r="L25" s="855" t="str">
        <f>IF(I25=0,"",I25)</f>
        <v>2.3</v>
      </c>
      <c r="M25" s="855" t="str">
        <f>IF(J25=0,"",J25)</f>
        <v>Расходы на приобретаемую электрическую энергию (мощность), используемую в технологическом процессе</v>
      </c>
      <c r="N25" s="855" t="str">
        <f>IF(K25=0,"",K25)</f>
        <v/>
      </c>
      <c r="O25" s="968" t="s">
        <v>324</v>
      </c>
      <c r="P25" s="968" t="s">
        <v>321</v>
      </c>
      <c r="Q25" s="968" t="s">
        <v>810</v>
      </c>
      <c r="R25" s="968" t="s">
        <v>321</v>
      </c>
      <c r="S25" s="968"/>
      <c r="T25" s="975" t="s">
        <v>2275</v>
      </c>
      <c r="U25" s="857" t="s">
        <v>2275</v>
      </c>
      <c r="V25" s="857" t="s">
        <v>2275</v>
      </c>
      <c r="W25" s="857" t="s">
        <v>2275</v>
      </c>
      <c r="X25" s="854"/>
      <c r="Y25" s="1011"/>
      <c r="Z25" s="857"/>
      <c r="AA25" s="860"/>
      <c r="AB25" s="857"/>
      <c r="AC25" s="857"/>
      <c r="AD25" s="857"/>
    </row>
    <row customHeight="1" ht="18">
      <c r="A26" s="856"/>
      <c r="B26" s="910">
        <v>9</v>
      </c>
      <c r="C26" s="854" t="s">
        <v>727</v>
      </c>
      <c r="D26" s="978"/>
      <c r="E26" s="854"/>
      <c r="F26" s="854"/>
      <c r="G26" s="902"/>
      <c r="H26" s="969"/>
      <c r="I26" s="1016" t="str">
        <f>INDEX(TEMPLATE_NUMBER_POINT_FHD,B26,MATCH(TEMPLATE_SPHERE,TEMPLATE_SPHERE_LIST_FOR_NOTE,0))</f>
        <v>2.3.1</v>
      </c>
      <c r="J26" s="1016" t="str">
        <f>INDEX(TEMPLATE_DATA_POINT_FHD,B26,MATCH(TEMPLATE_SPHERE,TEMPLATE_SPHERE_LIST_FOR_NOTE,0))</f>
        <v>Средневзвешенная стоимость 1 кВт.ч (с учетом мощности)</v>
      </c>
      <c r="K26" s="1016">
        <f>INDEX(TEMPLATE_NOTE_POINT_FHD,B26,MATCH(TEMPLATE_SPHERE,TEMPLATE_SPHERE_LIST_FOR_NOTE,0))</f>
        <v>0</v>
      </c>
      <c r="L26" s="855" t="str">
        <f>IF(I26=0,"",I26)</f>
        <v>2.3.1</v>
      </c>
      <c r="M26" s="855" t="str">
        <f>IF(J26=0,"",J26)</f>
        <v>Средневзвешенная стоимость 1 кВт.ч (с учетом мощности)</v>
      </c>
      <c r="N26" s="855" t="str">
        <f>IF(K26=0,"",K26)</f>
        <v/>
      </c>
      <c r="O26" s="968" t="s">
        <v>799</v>
      </c>
      <c r="P26" s="968" t="s">
        <v>793</v>
      </c>
      <c r="Q26" s="968" t="s">
        <v>2276</v>
      </c>
      <c r="R26" s="968" t="s">
        <v>793</v>
      </c>
      <c r="S26" s="968"/>
      <c r="T26" s="97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5" t="s">
        <v>2277</v>
      </c>
      <c r="V26" s="975" t="s">
        <v>2277</v>
      </c>
      <c r="W26" s="975" t="s">
        <v>2277</v>
      </c>
      <c r="X26" s="854"/>
      <c r="Y26" s="1011"/>
      <c r="Z26" s="857"/>
      <c r="AA26" s="860"/>
      <c r="AB26" s="857"/>
      <c r="AC26" s="857"/>
      <c r="AD26" s="857"/>
    </row>
    <row customHeight="1" ht="18">
      <c r="A27" s="856"/>
      <c r="B27" s="910">
        <v>10</v>
      </c>
      <c r="C27" s="854" t="s">
        <v>731</v>
      </c>
      <c r="D27" s="978"/>
      <c r="E27" s="854"/>
      <c r="F27" s="854"/>
      <c r="G27" s="902"/>
      <c r="H27" s="969"/>
      <c r="I27" s="1016" t="str">
        <f>INDEX(TEMPLATE_NUMBER_POINT_FHD,B27,MATCH(TEMPLATE_SPHERE,TEMPLATE_SPHERE_LIST_FOR_NOTE,0))</f>
        <v>2.3.2</v>
      </c>
      <c r="J27" s="1016" t="str">
        <f>INDEX(TEMPLATE_DATA_POINT_FHD,B27,MATCH(TEMPLATE_SPHERE,TEMPLATE_SPHERE_LIST_FOR_NOTE,0))</f>
        <v>Объём приобретения электрической энергии</v>
      </c>
      <c r="K27" s="1016">
        <f>INDEX(TEMPLATE_NOTE_POINT_FHD,B27,MATCH(TEMPLATE_SPHERE,TEMPLATE_SPHERE_LIST_FOR_NOTE,0))</f>
        <v>0</v>
      </c>
      <c r="L27" s="855" t="str">
        <f>IF(I27=0,"",I27)</f>
        <v>2.3.2</v>
      </c>
      <c r="M27" s="855" t="str">
        <f>IF(J27=0,"",J27)</f>
        <v>Объём приобретения электрической энергии</v>
      </c>
      <c r="N27" s="855" t="str">
        <f>IF(K27=0,"",K27)</f>
        <v/>
      </c>
      <c r="O27" s="968" t="s">
        <v>801</v>
      </c>
      <c r="P27" s="968" t="s">
        <v>795</v>
      </c>
      <c r="Q27" s="968" t="s">
        <v>2278</v>
      </c>
      <c r="R27" s="968" t="s">
        <v>795</v>
      </c>
      <c r="S27" s="968"/>
      <c r="T27" s="975" t="s">
        <v>2279</v>
      </c>
      <c r="U27" s="975" t="s">
        <v>2279</v>
      </c>
      <c r="V27" s="975" t="s">
        <v>2279</v>
      </c>
      <c r="W27" s="975" t="s">
        <v>2279</v>
      </c>
      <c r="X27" s="854"/>
      <c r="Y27" s="1011"/>
      <c r="Z27" s="857"/>
      <c r="AA27" s="860"/>
      <c r="AB27" s="857"/>
      <c r="AC27" s="857"/>
      <c r="AD27" s="857"/>
    </row>
    <row customHeight="1" ht="27">
      <c r="A28" s="856"/>
      <c r="B28" s="910">
        <v>11</v>
      </c>
      <c r="C28" s="854">
        <v>7</v>
      </c>
      <c r="D28" s="978"/>
      <c r="E28" s="854"/>
      <c r="F28" s="854"/>
      <c r="G28" s="902"/>
      <c r="H28" s="969"/>
      <c r="I28" s="1016" t="str">
        <f>INDEX(TEMPLATE_NUMBER_POINT_FHD,B28,MATCH(TEMPLATE_SPHERE,TEMPLATE_SPHERE_LIST_FOR_NOTE,0))</f>
        <v>2.4</v>
      </c>
      <c r="J28" s="1016" t="str">
        <f>INDEX(TEMPLATE_DATA_POINT_FHD,B28,MATCH(TEMPLATE_SPHERE,TEMPLATE_SPHERE_LIST_FOR_NOTE,0))</f>
        <v>Расходы на приобретение холодной воды, используемой в технологическом процессе</v>
      </c>
      <c r="K28" s="1016">
        <f>INDEX(TEMPLATE_NOTE_POINT_FHD,B28,MATCH(TEMPLATE_SPHERE,TEMPLATE_SPHERE_LIST_FOR_NOTE,0))</f>
        <v>0</v>
      </c>
      <c r="L28" s="855" t="str">
        <f>IF(I28=0,"",I28)</f>
        <v>2.4</v>
      </c>
      <c r="M28" s="855" t="str">
        <f>IF(J28=0,"",J28)</f>
        <v>Расходы на приобретение холодной воды, используемой в технологическом процессе</v>
      </c>
      <c r="N28" s="855" t="str">
        <f>IF(K28=0,"",K28)</f>
        <v/>
      </c>
      <c r="O28" s="968" t="s">
        <v>803</v>
      </c>
      <c r="P28" s="968"/>
      <c r="Q28" s="968"/>
      <c r="R28" s="968"/>
      <c r="S28" s="968"/>
      <c r="T28" s="975" t="s">
        <v>2280</v>
      </c>
      <c r="U28" s="857"/>
      <c r="V28" s="857"/>
      <c r="W28" s="857"/>
      <c r="X28" s="854"/>
      <c r="Y28" s="1011"/>
      <c r="Z28" s="857"/>
      <c r="AA28" s="860"/>
      <c r="AB28" s="857"/>
      <c r="AC28" s="857"/>
      <c r="AD28" s="857"/>
    </row>
    <row customHeight="1" ht="27">
      <c r="A29" s="856"/>
      <c r="B29" s="910">
        <v>12</v>
      </c>
      <c r="C29" s="854">
        <v>8</v>
      </c>
      <c r="D29" s="978"/>
      <c r="E29" s="854"/>
      <c r="F29" s="854"/>
      <c r="G29" s="902"/>
      <c r="H29" s="969"/>
      <c r="I29" s="1016" t="str">
        <f>INDEX(TEMPLATE_NUMBER_POINT_FHD,B29,MATCH(TEMPLATE_SPHERE,TEMPLATE_SPHERE_LIST_FOR_NOTE,0))</f>
        <v>2.5</v>
      </c>
      <c r="J29" s="1016" t="str">
        <f>INDEX(TEMPLATE_DATA_POINT_FHD,B29,MATCH(TEMPLATE_SPHERE,TEMPLATE_SPHERE_LIST_FOR_NOTE,0))</f>
        <v>Расходы на  химические реагенты, используемые в технологическом процессе</v>
      </c>
      <c r="K29" s="1016">
        <f>INDEX(TEMPLATE_NOTE_POINT_FHD,B29,MATCH(TEMPLATE_SPHERE,TEMPLATE_SPHERE_LIST_FOR_NOTE,0))</f>
        <v>0</v>
      </c>
      <c r="L29" s="855" t="str">
        <f>IF(I29=0,"",I29)</f>
        <v>2.5</v>
      </c>
      <c r="M29" s="855" t="str">
        <f>IF(J29=0,"",J29)</f>
        <v>Расходы на  химические реагенты, используемые в технологическом процессе</v>
      </c>
      <c r="N29" s="855" t="str">
        <f>IF(K29=0,"",K29)</f>
        <v/>
      </c>
      <c r="O29" s="968" t="s">
        <v>810</v>
      </c>
      <c r="P29" s="968" t="s">
        <v>324</v>
      </c>
      <c r="Q29" s="968"/>
      <c r="R29" s="968" t="s">
        <v>324</v>
      </c>
      <c r="S29" s="968"/>
      <c r="T29" s="97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7" t="s">
        <v>2281</v>
      </c>
      <c r="V29" s="857"/>
      <c r="W29" s="857" t="s">
        <v>2281</v>
      </c>
      <c r="X29" s="854"/>
      <c r="Y29" s="1011"/>
      <c r="Z29" s="857"/>
      <c r="AA29" s="860"/>
      <c r="AB29" s="857"/>
      <c r="AC29" s="857"/>
      <c r="AD29" s="857"/>
    </row>
    <row customHeight="1" ht="54">
      <c r="A30" s="856"/>
      <c r="B30" s="910">
        <v>13</v>
      </c>
      <c r="C30" s="854">
        <v>9</v>
      </c>
      <c r="D30" s="978"/>
      <c r="E30" s="854"/>
      <c r="F30" s="854"/>
      <c r="G30" s="902"/>
      <c r="H30" s="969"/>
      <c r="I30" s="1016" t="str">
        <f>INDEX(TEMPLATE_NUMBER_POINT_FHD,B30,MATCH(TEMPLATE_SPHERE,TEMPLATE_SPHERE_LIST_FOR_NOTE,0))</f>
        <v>2.6</v>
      </c>
      <c r="J30" s="101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6">
        <f>INDEX(TEMPLATE_NOTE_POINT_FHD,B30,MATCH(TEMPLATE_SPHERE,TEMPLATE_SPHERE_LIST_FOR_NOTE,0))</f>
        <v>0</v>
      </c>
      <c r="L30" s="855" t="str">
        <f>IF(I30=0,"",I30)</f>
        <v>2.6</v>
      </c>
      <c r="M30" s="85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5" t="str">
        <f>IF(K30=0,"",K30)</f>
        <v/>
      </c>
      <c r="O30" s="968" t="s">
        <v>812</v>
      </c>
      <c r="P30" s="968" t="s">
        <v>803</v>
      </c>
      <c r="Q30" s="968" t="s">
        <v>812</v>
      </c>
      <c r="R30" s="968" t="s">
        <v>803</v>
      </c>
      <c r="S30" s="968"/>
      <c r="T30" s="975" t="s">
        <v>2282</v>
      </c>
      <c r="U30" s="857" t="s">
        <v>2282</v>
      </c>
      <c r="V30" s="857" t="s">
        <v>2282</v>
      </c>
      <c r="W30" s="857" t="s">
        <v>2282</v>
      </c>
      <c r="X30" s="854"/>
      <c r="Y30" s="1011"/>
      <c r="Z30" s="857"/>
      <c r="AA30" s="860" t="s">
        <v>2283</v>
      </c>
      <c r="AB30" s="860" t="s">
        <v>2283</v>
      </c>
      <c r="AC30" s="860" t="s">
        <v>2283</v>
      </c>
      <c r="AD30" s="857"/>
    </row>
    <row customHeight="1" ht="18">
      <c r="A31" s="856"/>
      <c r="B31" s="910">
        <v>14</v>
      </c>
      <c r="C31" s="854" t="s">
        <v>2284</v>
      </c>
      <c r="D31" s="978"/>
      <c r="E31" s="854"/>
      <c r="F31" s="854"/>
      <c r="G31" s="902"/>
      <c r="H31" s="969"/>
      <c r="I31" s="1016" t="str">
        <f>INDEX(TEMPLATE_NUMBER_POINT_FHD,B31,MATCH(TEMPLATE_SPHERE,TEMPLATE_SPHERE_LIST_FOR_NOTE,0))</f>
        <v>2.6.1</v>
      </c>
      <c r="J31" s="1016" t="str">
        <f>INDEX(TEMPLATE_DATA_POINT_FHD,B31,MATCH(TEMPLATE_SPHERE,TEMPLATE_SPHERE_LIST_FOR_NOTE,0))</f>
        <v>Расходы на оплату труда основного производственного персонала</v>
      </c>
      <c r="K31" s="1016">
        <f>INDEX(TEMPLATE_NOTE_POINT_FHD,B31,MATCH(TEMPLATE_SPHERE,TEMPLATE_SPHERE_LIST_FOR_NOTE,0))</f>
        <v>0</v>
      </c>
      <c r="L31" s="855" t="str">
        <f>IF(I31=0,"",I31)</f>
        <v>2.6.1</v>
      </c>
      <c r="M31" s="855" t="str">
        <f>IF(J31=0,"",J31)</f>
        <v>Расходы на оплату труда основного производственного персонала</v>
      </c>
      <c r="N31" s="855" t="str">
        <f>IF(K31=0,"",K31)</f>
        <v/>
      </c>
      <c r="O31" s="968" t="s">
        <v>2285</v>
      </c>
      <c r="P31" s="968" t="s">
        <v>806</v>
      </c>
      <c r="Q31" s="968" t="s">
        <v>2285</v>
      </c>
      <c r="R31" s="968" t="s">
        <v>806</v>
      </c>
      <c r="S31" s="968"/>
      <c r="T31" s="976" t="s">
        <v>2286</v>
      </c>
      <c r="U31" s="857" t="s">
        <v>2286</v>
      </c>
      <c r="V31" s="857" t="s">
        <v>2286</v>
      </c>
      <c r="W31" s="857" t="s">
        <v>2286</v>
      </c>
      <c r="X31" s="854"/>
      <c r="Y31" s="1011"/>
      <c r="Z31" s="857"/>
      <c r="AA31" s="860"/>
      <c r="AB31" s="860"/>
      <c r="AC31" s="860"/>
      <c r="AD31" s="857"/>
    </row>
    <row customHeight="1" ht="36">
      <c r="A32" s="856"/>
      <c r="B32" s="910">
        <v>15</v>
      </c>
      <c r="C32" s="854" t="s">
        <v>2287</v>
      </c>
      <c r="D32" s="978"/>
      <c r="E32" s="854"/>
      <c r="F32" s="854"/>
      <c r="G32" s="902"/>
      <c r="H32" s="969"/>
      <c r="I32" s="1016" t="str">
        <f>INDEX(TEMPLATE_NUMBER_POINT_FHD,B32,MATCH(TEMPLATE_SPHERE,TEMPLATE_SPHERE_LIST_FOR_NOTE,0))</f>
        <v>2.6.2</v>
      </c>
      <c r="J32" s="101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6">
        <f>INDEX(TEMPLATE_NOTE_POINT_FHD,B32,MATCH(TEMPLATE_SPHERE,TEMPLATE_SPHERE_LIST_FOR_NOTE,0))</f>
        <v>0</v>
      </c>
      <c r="L32" s="855" t="str">
        <f>IF(I32=0,"",I32)</f>
        <v>2.6.2</v>
      </c>
      <c r="M32" s="855" t="str">
        <f>IF(J32=0,"",J32)</f>
        <v>Страховые взносы на обязательное социальное страхование, выплачиваемые из фонда оплаты труда основного производственного персонала</v>
      </c>
      <c r="N32" s="855" t="str">
        <f>IF(K32=0,"",K32)</f>
        <v/>
      </c>
      <c r="O32" s="968" t="s">
        <v>2288</v>
      </c>
      <c r="P32" s="968" t="s">
        <v>808</v>
      </c>
      <c r="Q32" s="968" t="s">
        <v>2288</v>
      </c>
      <c r="R32" s="968" t="s">
        <v>808</v>
      </c>
      <c r="S32" s="968"/>
      <c r="T32" s="97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7" t="s">
        <v>2289</v>
      </c>
      <c r="V32" s="857" t="s">
        <v>2289</v>
      </c>
      <c r="W32" s="857" t="s">
        <v>2289</v>
      </c>
      <c r="X32" s="854"/>
      <c r="Y32" s="1011"/>
      <c r="Z32" s="857"/>
      <c r="AA32" s="860"/>
      <c r="AB32" s="860"/>
      <c r="AC32" s="860"/>
      <c r="AD32" s="857"/>
    </row>
    <row customHeight="1" ht="45">
      <c r="A33" s="856"/>
      <c r="B33" s="910">
        <v>16</v>
      </c>
      <c r="C33" s="854">
        <v>10</v>
      </c>
      <c r="D33" s="978"/>
      <c r="E33" s="854"/>
      <c r="F33" s="854"/>
      <c r="G33" s="902"/>
      <c r="H33" s="969"/>
      <c r="I33" s="1016" t="str">
        <f>INDEX(TEMPLATE_NUMBER_POINT_FHD,B33,MATCH(TEMPLATE_SPHERE,TEMPLATE_SPHERE_LIST_FOR_NOTE,0))</f>
        <v>2.7</v>
      </c>
      <c r="J33" s="101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6">
        <f>INDEX(TEMPLATE_NOTE_POINT_FHD,B33,MATCH(TEMPLATE_SPHERE,TEMPLATE_SPHERE_LIST_FOR_NOTE,0))</f>
        <v>0</v>
      </c>
      <c r="L33" s="855" t="str">
        <f>IF(I33=0,"",I33)</f>
        <v>2.7</v>
      </c>
      <c r="M33" s="85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5" t="str">
        <f>IF(K33=0,"",K33)</f>
        <v/>
      </c>
      <c r="O33" s="968" t="s">
        <v>814</v>
      </c>
      <c r="P33" s="968" t="s">
        <v>810</v>
      </c>
      <c r="Q33" s="968" t="s">
        <v>814</v>
      </c>
      <c r="R33" s="968" t="s">
        <v>810</v>
      </c>
      <c r="S33" s="968"/>
      <c r="T33" s="97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7" t="s">
        <v>2290</v>
      </c>
      <c r="V33" s="857" t="s">
        <v>2290</v>
      </c>
      <c r="W33" s="857" t="s">
        <v>2291</v>
      </c>
      <c r="X33" s="854"/>
      <c r="Y33" s="1011"/>
      <c r="Z33" s="857"/>
      <c r="AA33" s="860" t="s">
        <v>2292</v>
      </c>
      <c r="AB33" s="860" t="s">
        <v>2292</v>
      </c>
      <c r="AC33" s="860" t="s">
        <v>2292</v>
      </c>
      <c r="AD33" s="857"/>
    </row>
    <row customHeight="1" ht="27">
      <c r="A34" s="856"/>
      <c r="B34" s="910">
        <v>17</v>
      </c>
      <c r="C34" s="854" t="s">
        <v>2293</v>
      </c>
      <c r="D34" s="978"/>
      <c r="E34" s="854"/>
      <c r="F34" s="854"/>
      <c r="G34" s="902"/>
      <c r="H34" s="969"/>
      <c r="I34" s="1016" t="str">
        <f>INDEX(TEMPLATE_NUMBER_POINT_FHD,B34,MATCH(TEMPLATE_SPHERE,TEMPLATE_SPHERE_LIST_FOR_NOTE,0))</f>
        <v>2.7.1</v>
      </c>
      <c r="J34" s="1016" t="str">
        <f>INDEX(TEMPLATE_DATA_POINT_FHD,B34,MATCH(TEMPLATE_SPHERE,TEMPLATE_SPHERE_LIST_FOR_NOTE,0))</f>
        <v>Расходы на оплату труда административно-управленческого персонала</v>
      </c>
      <c r="K34" s="1016">
        <f>INDEX(TEMPLATE_NOTE_POINT_FHD,B34,MATCH(TEMPLATE_SPHERE,TEMPLATE_SPHERE_LIST_FOR_NOTE,0))</f>
        <v>0</v>
      </c>
      <c r="L34" s="855" t="str">
        <f>IF(I34=0,"",I34)</f>
        <v>2.7.1</v>
      </c>
      <c r="M34" s="855" t="str">
        <f>IF(J34=0,"",J34)</f>
        <v>Расходы на оплату труда административно-управленческого персонала</v>
      </c>
      <c r="N34" s="855" t="str">
        <f>IF(K34=0,"",K34)</f>
        <v/>
      </c>
      <c r="O34" s="968" t="s">
        <v>2294</v>
      </c>
      <c r="P34" s="968" t="s">
        <v>2276</v>
      </c>
      <c r="Q34" s="968" t="s">
        <v>2294</v>
      </c>
      <c r="R34" s="968" t="s">
        <v>2276</v>
      </c>
      <c r="S34" s="968"/>
      <c r="T34" s="977" t="s">
        <v>2295</v>
      </c>
      <c r="U34" s="857" t="s">
        <v>2295</v>
      </c>
      <c r="V34" s="857" t="s">
        <v>2295</v>
      </c>
      <c r="W34" s="857" t="s">
        <v>2296</v>
      </c>
      <c r="X34" s="854"/>
      <c r="Y34" s="1011"/>
      <c r="Z34" s="857"/>
      <c r="AA34" s="860"/>
      <c r="AB34" s="857"/>
      <c r="AC34" s="857"/>
      <c r="AD34" s="857"/>
    </row>
    <row customHeight="1" ht="45">
      <c r="A35" s="856"/>
      <c r="B35" s="910">
        <v>18</v>
      </c>
      <c r="C35" s="854" t="s">
        <v>2297</v>
      </c>
      <c r="D35" s="978"/>
      <c r="E35" s="854"/>
      <c r="F35" s="854"/>
      <c r="G35" s="902"/>
      <c r="H35" s="969"/>
      <c r="I35" s="1016" t="str">
        <f>INDEX(TEMPLATE_NUMBER_POINT_FHD,B35,MATCH(TEMPLATE_SPHERE,TEMPLATE_SPHERE_LIST_FOR_NOTE,0))</f>
        <v>2.7.2</v>
      </c>
      <c r="J35" s="101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6">
        <f>INDEX(TEMPLATE_NOTE_POINT_FHD,B35,MATCH(TEMPLATE_SPHERE,TEMPLATE_SPHERE_LIST_FOR_NOTE,0))</f>
        <v>0</v>
      </c>
      <c r="L35" s="855" t="str">
        <f>IF(I35=0,"",I35)</f>
        <v>2.7.2</v>
      </c>
      <c r="M35" s="85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5" t="str">
        <f>IF(K35=0,"",K35)</f>
        <v/>
      </c>
      <c r="O35" s="968" t="s">
        <v>2298</v>
      </c>
      <c r="P35" s="968" t="s">
        <v>2278</v>
      </c>
      <c r="Q35" s="968" t="s">
        <v>2298</v>
      </c>
      <c r="R35" s="968" t="s">
        <v>2278</v>
      </c>
      <c r="S35" s="968"/>
      <c r="T35" s="97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7" t="s">
        <v>2299</v>
      </c>
      <c r="V35" s="857" t="s">
        <v>2299</v>
      </c>
      <c r="W35" s="857" t="s">
        <v>2299</v>
      </c>
      <c r="X35" s="854"/>
      <c r="Y35" s="1011"/>
      <c r="Z35" s="857"/>
      <c r="AA35" s="860"/>
      <c r="AB35" s="857"/>
      <c r="AC35" s="857"/>
      <c r="AD35" s="857"/>
    </row>
    <row customHeight="1" ht="18">
      <c r="A36" s="856"/>
      <c r="B36" s="910">
        <v>19</v>
      </c>
      <c r="C36" s="854">
        <v>11</v>
      </c>
      <c r="D36" s="978"/>
      <c r="E36" s="854"/>
      <c r="F36" s="854"/>
      <c r="G36" s="902"/>
      <c r="H36" s="969"/>
      <c r="I36" s="1016" t="str">
        <f>INDEX(TEMPLATE_NUMBER_POINT_FHD,B36,MATCH(TEMPLATE_SPHERE,TEMPLATE_SPHERE_LIST_FOR_NOTE,0))</f>
        <v>2.8</v>
      </c>
      <c r="J36" s="1016" t="str">
        <f>INDEX(TEMPLATE_DATA_POINT_FHD,B36,MATCH(TEMPLATE_SPHERE,TEMPLATE_SPHERE_LIST_FOR_NOTE,0))</f>
        <v>Расходы на амортизацию основных средств и нематериальных активов</v>
      </c>
      <c r="K36" s="1016">
        <f>INDEX(TEMPLATE_NOTE_POINT_FHD,B36,MATCH(TEMPLATE_SPHERE,TEMPLATE_SPHERE_LIST_FOR_NOTE,0))</f>
        <v>0</v>
      </c>
      <c r="L36" s="855" t="str">
        <f>IF(I36=0,"",I36)</f>
        <v>2.8</v>
      </c>
      <c r="M36" s="855" t="str">
        <f>IF(J36=0,"",J36)</f>
        <v>Расходы на амортизацию основных средств и нематериальных активов</v>
      </c>
      <c r="N36" s="855" t="str">
        <f>IF(K36=0,"",K36)</f>
        <v/>
      </c>
      <c r="O36" s="968" t="s">
        <v>816</v>
      </c>
      <c r="P36" s="968" t="s">
        <v>812</v>
      </c>
      <c r="Q36" s="968" t="s">
        <v>816</v>
      </c>
      <c r="R36" s="968" t="s">
        <v>812</v>
      </c>
      <c r="S36" s="968"/>
      <c r="T36" s="975" t="s">
        <v>2300</v>
      </c>
      <c r="U36" s="857" t="s">
        <v>2300</v>
      </c>
      <c r="V36" s="857" t="s">
        <v>2300</v>
      </c>
      <c r="W36" s="857" t="s">
        <v>2300</v>
      </c>
      <c r="X36" s="854"/>
      <c r="Y36" s="1011"/>
      <c r="Z36" s="857"/>
      <c r="AA36" s="860"/>
      <c r="AB36" s="857"/>
      <c r="AC36" s="857"/>
      <c r="AD36" s="857"/>
    </row>
    <row customHeight="1" ht="18">
      <c r="A37" s="856"/>
      <c r="B37" s="910">
        <v>20</v>
      </c>
      <c r="C37" s="854" t="s">
        <v>2301</v>
      </c>
      <c r="D37" s="978"/>
      <c r="E37" s="854"/>
      <c r="F37" s="854"/>
      <c r="G37" s="902"/>
      <c r="H37" s="969"/>
      <c r="I37" s="1016" t="str">
        <f>INDEX(TEMPLATE_NUMBER_POINT_FHD,B37,MATCH(TEMPLATE_SPHERE,TEMPLATE_SPHERE_LIST_FOR_NOTE,0))</f>
        <v>2.8.1</v>
      </c>
      <c r="J37" s="1016" t="str">
        <f>INDEX(TEMPLATE_DATA_POINT_FHD,B37,MATCH(TEMPLATE_SPHERE,TEMPLATE_SPHERE_LIST_FOR_NOTE,0))</f>
        <v>Расходы на амортизацию основных средств</v>
      </c>
      <c r="K37" s="1016">
        <f>INDEX(TEMPLATE_NOTE_POINT_FHD,B37,MATCH(TEMPLATE_SPHERE,TEMPLATE_SPHERE_LIST_FOR_NOTE,0))</f>
        <v>0</v>
      </c>
      <c r="L37" s="855" t="str">
        <f>IF(I37=0,"",I37)</f>
        <v>2.8.1</v>
      </c>
      <c r="M37" s="855" t="str">
        <f>IF(J37=0,"",J37)</f>
        <v>Расходы на амортизацию основных средств</v>
      </c>
      <c r="N37" s="855" t="str">
        <f>IF(K37=0,"",K37)</f>
        <v/>
      </c>
      <c r="O37" s="968" t="s">
        <v>2302</v>
      </c>
      <c r="P37" s="968" t="s">
        <v>2285</v>
      </c>
      <c r="Q37" s="968" t="s">
        <v>2302</v>
      </c>
      <c r="R37" s="968" t="s">
        <v>2285</v>
      </c>
      <c r="S37" s="968"/>
      <c r="T37" s="975" t="s">
        <v>2303</v>
      </c>
      <c r="U37" s="857" t="s">
        <v>2303</v>
      </c>
      <c r="V37" s="857" t="s">
        <v>2303</v>
      </c>
      <c r="W37" s="857" t="s">
        <v>2303</v>
      </c>
      <c r="X37" s="854"/>
      <c r="Y37" s="1011"/>
      <c r="Z37" s="857"/>
      <c r="AA37" s="860"/>
      <c r="AB37" s="857"/>
      <c r="AC37" s="857"/>
      <c r="AD37" s="857"/>
    </row>
    <row customHeight="1" ht="18">
      <c r="A38" s="856"/>
      <c r="B38" s="910">
        <v>21</v>
      </c>
      <c r="C38" s="854" t="s">
        <v>2304</v>
      </c>
      <c r="D38" s="978"/>
      <c r="E38" s="854"/>
      <c r="F38" s="854"/>
      <c r="G38" s="902"/>
      <c r="H38" s="969"/>
      <c r="I38" s="1016" t="str">
        <f>INDEX(TEMPLATE_NUMBER_POINT_FHD,B38,MATCH(TEMPLATE_SPHERE,TEMPLATE_SPHERE_LIST_FOR_NOTE,0))</f>
        <v>2.8.2</v>
      </c>
      <c r="J38" s="1016" t="str">
        <f>INDEX(TEMPLATE_DATA_POINT_FHD,B38,MATCH(TEMPLATE_SPHERE,TEMPLATE_SPHERE_LIST_FOR_NOTE,0))</f>
        <v>Расходы на амортизацию нематериальных активов</v>
      </c>
      <c r="K38" s="1016">
        <f>INDEX(TEMPLATE_NOTE_POINT_FHD,B38,MATCH(TEMPLATE_SPHERE,TEMPLATE_SPHERE_LIST_FOR_NOTE,0))</f>
        <v>0</v>
      </c>
      <c r="L38" s="855" t="str">
        <f>IF(I38=0,"",I38)</f>
        <v>2.8.2</v>
      </c>
      <c r="M38" s="855" t="str">
        <f>IF(J38=0,"",J38)</f>
        <v>Расходы на амортизацию нематериальных активов</v>
      </c>
      <c r="N38" s="855" t="str">
        <f>IF(K38=0,"",K38)</f>
        <v/>
      </c>
      <c r="O38" s="968" t="s">
        <v>2305</v>
      </c>
      <c r="P38" s="968" t="s">
        <v>2288</v>
      </c>
      <c r="Q38" s="968" t="s">
        <v>2305</v>
      </c>
      <c r="R38" s="968" t="s">
        <v>2288</v>
      </c>
      <c r="S38" s="968"/>
      <c r="T38" s="975" t="s">
        <v>2306</v>
      </c>
      <c r="U38" s="857" t="s">
        <v>2306</v>
      </c>
      <c r="V38" s="857" t="s">
        <v>2306</v>
      </c>
      <c r="W38" s="857" t="s">
        <v>2306</v>
      </c>
      <c r="X38" s="854"/>
      <c r="Y38" s="1011"/>
      <c r="Z38" s="857"/>
      <c r="AA38" s="860"/>
      <c r="AB38" s="857"/>
      <c r="AC38" s="857"/>
      <c r="AD38" s="857"/>
    </row>
    <row customHeight="1" ht="36">
      <c r="A39" s="856"/>
      <c r="B39" s="910">
        <v>22</v>
      </c>
      <c r="C39" s="854">
        <v>12</v>
      </c>
      <c r="D39" s="978"/>
      <c r="E39" s="854"/>
      <c r="F39" s="854"/>
      <c r="G39" s="902"/>
      <c r="H39" s="969"/>
      <c r="I39" s="1016" t="str">
        <f>INDEX(TEMPLATE_NUMBER_POINT_FHD,B39,MATCH(TEMPLATE_SPHERE,TEMPLATE_SPHERE_LIST_FOR_NOTE,0))</f>
        <v>2.9</v>
      </c>
      <c r="J39" s="1016" t="str">
        <f>INDEX(TEMPLATE_DATA_POINT_FHD,B39,MATCH(TEMPLATE_SPHERE,TEMPLATE_SPHERE_LIST_FOR_NOTE,0))</f>
        <v>Расходы на аренду имущества, используемого для осуществления регулируемого вида деятельности</v>
      </c>
      <c r="K39" s="1016">
        <f>INDEX(TEMPLATE_NOTE_POINT_FHD,B39,MATCH(TEMPLATE_SPHERE,TEMPLATE_SPHERE_LIST_FOR_NOTE,0))</f>
        <v>0</v>
      </c>
      <c r="L39" s="855" t="str">
        <f>IF(I39=0,"",I39)</f>
        <v>2.9</v>
      </c>
      <c r="M39" s="855" t="str">
        <f>IF(J39=0,"",J39)</f>
        <v>Расходы на аренду имущества, используемого для осуществления регулируемого вида деятельности</v>
      </c>
      <c r="N39" s="855" t="str">
        <f>IF(K39=0,"",K39)</f>
        <v/>
      </c>
      <c r="O39" s="968" t="s">
        <v>820</v>
      </c>
      <c r="P39" s="968" t="s">
        <v>814</v>
      </c>
      <c r="Q39" s="968" t="s">
        <v>820</v>
      </c>
      <c r="R39" s="968" t="s">
        <v>814</v>
      </c>
      <c r="S39" s="968"/>
      <c r="T39" s="975" t="s">
        <v>2307</v>
      </c>
      <c r="U39" s="857" t="s">
        <v>2308</v>
      </c>
      <c r="V39" s="857" t="s">
        <v>2309</v>
      </c>
      <c r="W39" s="857" t="s">
        <v>2310</v>
      </c>
      <c r="X39" s="854"/>
      <c r="Y39" s="1011"/>
      <c r="Z39" s="857"/>
      <c r="AA39" s="860"/>
      <c r="AB39" s="857"/>
      <c r="AC39" s="857"/>
      <c r="AD39" s="857"/>
    </row>
    <row customHeight="1" ht="18">
      <c r="A40" s="856"/>
      <c r="B40" s="910">
        <v>23</v>
      </c>
      <c r="C40" s="854">
        <v>13</v>
      </c>
      <c r="D40" s="978"/>
      <c r="E40" s="854"/>
      <c r="F40" s="854"/>
      <c r="G40" s="854"/>
      <c r="H40" s="905"/>
      <c r="I40" s="1016" t="str">
        <f>INDEX(TEMPLATE_NUMBER_POINT_FHD,B40,MATCH(TEMPLATE_SPHERE,TEMPLATE_SPHERE_LIST_FOR_NOTE,0))</f>
        <v>2.10</v>
      </c>
      <c r="J40" s="1016" t="str">
        <f>INDEX(TEMPLATE_DATA_POINT_FHD,B40,MATCH(TEMPLATE_SPHERE,TEMPLATE_SPHERE_LIST_FOR_NOTE,0))</f>
        <v>Общепроизводственные расходы, в том числе:</v>
      </c>
      <c r="K40" s="1016" t="str">
        <f>INDEX(TEMPLATE_NOTE_POINT_FHD,B40,MATCH(TEMPLATE_SPHERE,TEMPLATE_SPHERE_LIST_FOR_NOTE,0))</f>
        <v>Указывается общая сумма общепроизводственных расходов.</v>
      </c>
      <c r="L40" s="855" t="str">
        <f>IF(I40=0,"",I40)</f>
        <v>2.10</v>
      </c>
      <c r="M40" s="855" t="str">
        <f>IF(J40=0,"",J40)</f>
        <v>Общепроизводственные расходы, в том числе:</v>
      </c>
      <c r="N40" s="855" t="str">
        <f>IF(K40=0,"",K40)</f>
        <v>Указывается общая сумма общепроизводственных расходов.</v>
      </c>
      <c r="O40" s="968" t="s">
        <v>872</v>
      </c>
      <c r="P40" s="968" t="s">
        <v>816</v>
      </c>
      <c r="Q40" s="968" t="s">
        <v>872</v>
      </c>
      <c r="R40" s="968" t="s">
        <v>816</v>
      </c>
      <c r="S40" s="968"/>
      <c r="T40" s="854" t="s">
        <v>2311</v>
      </c>
      <c r="U40" s="854" t="s">
        <v>2311</v>
      </c>
      <c r="V40" s="854" t="s">
        <v>2311</v>
      </c>
      <c r="W40" s="854" t="s">
        <v>2311</v>
      </c>
      <c r="X40" s="854"/>
      <c r="Y40" s="1011"/>
      <c r="Z40" s="857" t="s">
        <v>2312</v>
      </c>
      <c r="AA40" s="860" t="s">
        <v>2312</v>
      </c>
      <c r="AB40" s="860" t="s">
        <v>2312</v>
      </c>
      <c r="AC40" s="860" t="s">
        <v>2312</v>
      </c>
      <c r="AD40" s="857"/>
    </row>
    <row customHeight="1" ht="27">
      <c r="A41" s="856"/>
      <c r="B41" s="910">
        <v>24</v>
      </c>
      <c r="C41" s="854" t="s">
        <v>2313</v>
      </c>
      <c r="D41" s="978"/>
      <c r="E41" s="854"/>
      <c r="F41" s="854"/>
      <c r="G41" s="854"/>
      <c r="H41" s="902"/>
      <c r="I41" s="1016" t="str">
        <f>INDEX(TEMPLATE_NUMBER_POINT_FHD,B41,MATCH(TEMPLATE_SPHERE,TEMPLATE_SPHERE_LIST_FOR_NOTE,0))</f>
        <v>2.10.1</v>
      </c>
      <c r="J41" s="1016" t="str">
        <f>INDEX(TEMPLATE_DATA_POINT_FHD,B41,MATCH(TEMPLATE_SPHERE,TEMPLATE_SPHERE_LIST_FOR_NOTE,0))</f>
        <v>Расходы на текущий ремонт</v>
      </c>
      <c r="K41" s="1016" t="str">
        <f>INDEX(TEMPLATE_NOTE_POINT_FHD,B41,MATCH(TEMPLATE_SPHERE,TEMPLATE_SPHERE_LIST_FOR_NOTE,0))</f>
        <v>Указываются расходы на текущий ремонт, отнесенные к общепроизводственным расходам.</v>
      </c>
      <c r="L41" s="855" t="str">
        <f>IF(I41=0,"",I41)</f>
        <v>2.10.1</v>
      </c>
      <c r="M41" s="855" t="str">
        <f>IF(J41=0,"",J41)</f>
        <v>Расходы на текущий ремонт</v>
      </c>
      <c r="N41" s="855" t="str">
        <f>IF(K41=0,"",K41)</f>
        <v>Указываются расходы на текущий ремонт, отнесенные к общепроизводственным расходам.</v>
      </c>
      <c r="O41" s="968" t="s">
        <v>2314</v>
      </c>
      <c r="P41" s="968" t="s">
        <v>2302</v>
      </c>
      <c r="Q41" s="968" t="s">
        <v>2314</v>
      </c>
      <c r="R41" s="968" t="s">
        <v>2302</v>
      </c>
      <c r="S41" s="968"/>
      <c r="T41" s="854" t="s">
        <v>2315</v>
      </c>
      <c r="U41" s="854" t="s">
        <v>2315</v>
      </c>
      <c r="V41" s="854" t="s">
        <v>2315</v>
      </c>
      <c r="W41" s="854" t="s">
        <v>2315</v>
      </c>
      <c r="X41" s="854"/>
      <c r="Y41" s="1011"/>
      <c r="Z41" s="857" t="s">
        <v>2316</v>
      </c>
      <c r="AA41" s="857" t="s">
        <v>2316</v>
      </c>
      <c r="AB41" s="857" t="s">
        <v>2316</v>
      </c>
      <c r="AC41" s="857" t="s">
        <v>2316</v>
      </c>
      <c r="AD41" s="857"/>
    </row>
    <row customHeight="1" ht="27">
      <c r="A42" s="856"/>
      <c r="B42" s="910">
        <v>25</v>
      </c>
      <c r="C42" s="854" t="s">
        <v>2317</v>
      </c>
      <c r="D42" s="978"/>
      <c r="E42" s="854"/>
      <c r="F42" s="854"/>
      <c r="G42" s="854"/>
      <c r="H42" s="902"/>
      <c r="I42" s="1016" t="str">
        <f>INDEX(TEMPLATE_NUMBER_POINT_FHD,B42,MATCH(TEMPLATE_SPHERE,TEMPLATE_SPHERE_LIST_FOR_NOTE,0))</f>
        <v>2.10.2</v>
      </c>
      <c r="J42" s="1016" t="str">
        <f>INDEX(TEMPLATE_DATA_POINT_FHD,B42,MATCH(TEMPLATE_SPHERE,TEMPLATE_SPHERE_LIST_FOR_NOTE,0))</f>
        <v>Расходы на капитальный ремонт</v>
      </c>
      <c r="K42" s="1016" t="str">
        <f>INDEX(TEMPLATE_NOTE_POINT_FHD,B42,MATCH(TEMPLATE_SPHERE,TEMPLATE_SPHERE_LIST_FOR_NOTE,0))</f>
        <v>Указываются расходы на капитальный ремонт, отнесенные к общепроизводственным расходам.</v>
      </c>
      <c r="L42" s="855" t="str">
        <f>IF(I42=0,"",I42)</f>
        <v>2.10.2</v>
      </c>
      <c r="M42" s="855" t="str">
        <f>IF(J42=0,"",J42)</f>
        <v>Расходы на капитальный ремонт</v>
      </c>
      <c r="N42" s="855" t="str">
        <f>IF(K42=0,"",K42)</f>
        <v>Указываются расходы на капитальный ремонт, отнесенные к общепроизводственным расходам.</v>
      </c>
      <c r="O42" s="968" t="s">
        <v>2318</v>
      </c>
      <c r="P42" s="968" t="s">
        <v>2305</v>
      </c>
      <c r="Q42" s="968" t="s">
        <v>2318</v>
      </c>
      <c r="R42" s="968" t="s">
        <v>2305</v>
      </c>
      <c r="S42" s="968"/>
      <c r="T42" s="854" t="s">
        <v>2319</v>
      </c>
      <c r="U42" s="854" t="s">
        <v>2319</v>
      </c>
      <c r="V42" s="854" t="s">
        <v>2319</v>
      </c>
      <c r="W42" s="854" t="s">
        <v>2319</v>
      </c>
      <c r="X42" s="854"/>
      <c r="Y42" s="1011"/>
      <c r="Z42" s="857" t="s">
        <v>2320</v>
      </c>
      <c r="AA42" s="857" t="s">
        <v>2320</v>
      </c>
      <c r="AB42" s="857" t="s">
        <v>2320</v>
      </c>
      <c r="AC42" s="857" t="s">
        <v>2320</v>
      </c>
      <c r="AD42" s="857"/>
    </row>
    <row customHeight="1" ht="18">
      <c r="A43" s="856"/>
      <c r="B43" s="910">
        <v>26</v>
      </c>
      <c r="C43" s="854">
        <v>14</v>
      </c>
      <c r="D43" s="978"/>
      <c r="E43" s="854"/>
      <c r="F43" s="854"/>
      <c r="G43" s="854"/>
      <c r="H43" s="902"/>
      <c r="I43" s="1016" t="str">
        <f>INDEX(TEMPLATE_NUMBER_POINT_FHD,B43,MATCH(TEMPLATE_SPHERE,TEMPLATE_SPHERE_LIST_FOR_NOTE,0))</f>
        <v>2.11</v>
      </c>
      <c r="J43" s="1016" t="str">
        <f>INDEX(TEMPLATE_DATA_POINT_FHD,B43,MATCH(TEMPLATE_SPHERE,TEMPLATE_SPHERE_LIST_FOR_NOTE,0))</f>
        <v>Общехозяйственные расходы, в том числе:</v>
      </c>
      <c r="K43" s="1016" t="str">
        <f>INDEX(TEMPLATE_NOTE_POINT_FHD,B43,MATCH(TEMPLATE_SPHERE,TEMPLATE_SPHERE_LIST_FOR_NOTE,0))</f>
        <v>Указывается общая сумма общехозяйственных расходов.</v>
      </c>
      <c r="L43" s="855" t="str">
        <f>IF(I43=0,"",I43)</f>
        <v>2.11</v>
      </c>
      <c r="M43" s="855" t="str">
        <f>IF(J43=0,"",J43)</f>
        <v>Общехозяйственные расходы, в том числе:</v>
      </c>
      <c r="N43" s="855" t="str">
        <f>IF(K43=0,"",K43)</f>
        <v>Указывается общая сумма общехозяйственных расходов.</v>
      </c>
      <c r="O43" s="968" t="s">
        <v>2321</v>
      </c>
      <c r="P43" s="968" t="s">
        <v>820</v>
      </c>
      <c r="Q43" s="968" t="s">
        <v>2321</v>
      </c>
      <c r="R43" s="968" t="s">
        <v>820</v>
      </c>
      <c r="S43" s="968"/>
      <c r="T43" s="854" t="s">
        <v>2322</v>
      </c>
      <c r="U43" s="854" t="s">
        <v>2322</v>
      </c>
      <c r="V43" s="854" t="s">
        <v>2322</v>
      </c>
      <c r="W43" s="854" t="s">
        <v>2322</v>
      </c>
      <c r="X43" s="854"/>
      <c r="Y43" s="1011"/>
      <c r="Z43" s="857" t="s">
        <v>2323</v>
      </c>
      <c r="AA43" s="857" t="s">
        <v>2323</v>
      </c>
      <c r="AB43" s="857" t="s">
        <v>2323</v>
      </c>
      <c r="AC43" s="857" t="s">
        <v>2323</v>
      </c>
      <c r="AD43" s="857"/>
    </row>
    <row customHeight="1" ht="27">
      <c r="A44" s="856"/>
      <c r="B44" s="910">
        <v>27</v>
      </c>
      <c r="C44" s="854" t="s">
        <v>2324</v>
      </c>
      <c r="D44" s="978"/>
      <c r="E44" s="854"/>
      <c r="F44" s="854"/>
      <c r="G44" s="854"/>
      <c r="H44" s="902"/>
      <c r="I44" s="1016" t="str">
        <f>INDEX(TEMPLATE_NUMBER_POINT_FHD,B44,MATCH(TEMPLATE_SPHERE,TEMPLATE_SPHERE_LIST_FOR_NOTE,0))</f>
        <v>2.11.1</v>
      </c>
      <c r="J44" s="1016" t="str">
        <f>INDEX(TEMPLATE_DATA_POINT_FHD,B44,MATCH(TEMPLATE_SPHERE,TEMPLATE_SPHERE_LIST_FOR_NOTE,0))</f>
        <v>Расходы на текущий ремонт</v>
      </c>
      <c r="K44" s="1016" t="str">
        <f>INDEX(TEMPLATE_NOTE_POINT_FHD,B44,MATCH(TEMPLATE_SPHERE,TEMPLATE_SPHERE_LIST_FOR_NOTE,0))</f>
        <v>Указываются расходы на текущий ремонт, отнесенные к общехозяйственным расходам.</v>
      </c>
      <c r="L44" s="855" t="str">
        <f>IF(I44=0,"",I44)</f>
        <v>2.11.1</v>
      </c>
      <c r="M44" s="855" t="str">
        <f>IF(J44=0,"",J44)</f>
        <v>Расходы на текущий ремонт</v>
      </c>
      <c r="N44" s="855" t="str">
        <f>IF(K44=0,"",K44)</f>
        <v>Указываются расходы на текущий ремонт, отнесенные к общехозяйственным расходам.</v>
      </c>
      <c r="O44" s="968" t="s">
        <v>2325</v>
      </c>
      <c r="P44" s="968" t="s">
        <v>823</v>
      </c>
      <c r="Q44" s="968" t="s">
        <v>2325</v>
      </c>
      <c r="R44" s="968" t="s">
        <v>823</v>
      </c>
      <c r="S44" s="968"/>
      <c r="T44" s="854" t="s">
        <v>2315</v>
      </c>
      <c r="U44" s="854" t="s">
        <v>2315</v>
      </c>
      <c r="V44" s="854" t="s">
        <v>2315</v>
      </c>
      <c r="W44" s="854" t="s">
        <v>2315</v>
      </c>
      <c r="X44" s="854"/>
      <c r="Y44" s="1011"/>
      <c r="Z44" s="857" t="s">
        <v>2326</v>
      </c>
      <c r="AA44" s="857" t="s">
        <v>2326</v>
      </c>
      <c r="AB44" s="857" t="s">
        <v>2326</v>
      </c>
      <c r="AC44" s="857" t="s">
        <v>2326</v>
      </c>
      <c r="AD44" s="857"/>
    </row>
    <row customHeight="1" ht="27">
      <c r="A45" s="856"/>
      <c r="B45" s="910">
        <v>28</v>
      </c>
      <c r="C45" s="854" t="s">
        <v>2327</v>
      </c>
      <c r="D45" s="978"/>
      <c r="E45" s="854"/>
      <c r="F45" s="854"/>
      <c r="G45" s="854"/>
      <c r="H45" s="902"/>
      <c r="I45" s="1016" t="str">
        <f>INDEX(TEMPLATE_NUMBER_POINT_FHD,B45,MATCH(TEMPLATE_SPHERE,TEMPLATE_SPHERE_LIST_FOR_NOTE,0))</f>
        <v>2.11.2</v>
      </c>
      <c r="J45" s="1016" t="str">
        <f>INDEX(TEMPLATE_DATA_POINT_FHD,B45,MATCH(TEMPLATE_SPHERE,TEMPLATE_SPHERE_LIST_FOR_NOTE,0))</f>
        <v>Расходы на капитальный ремонт</v>
      </c>
      <c r="K45" s="1016" t="str">
        <f>INDEX(TEMPLATE_NOTE_POINT_FHD,B45,MATCH(TEMPLATE_SPHERE,TEMPLATE_SPHERE_LIST_FOR_NOTE,0))</f>
        <v>Указываются расходы на капитальный ремонт, отнесенные к общехозяйственным расходам.</v>
      </c>
      <c r="L45" s="855" t="str">
        <f>IF(I45=0,"",I45)</f>
        <v>2.11.2</v>
      </c>
      <c r="M45" s="855" t="str">
        <f>IF(J45=0,"",J45)</f>
        <v>Расходы на капитальный ремонт</v>
      </c>
      <c r="N45" s="855" t="str">
        <f>IF(K45=0,"",K45)</f>
        <v>Указываются расходы на капитальный ремонт, отнесенные к общехозяйственным расходам.</v>
      </c>
      <c r="O45" s="968" t="s">
        <v>2328</v>
      </c>
      <c r="P45" s="968" t="s">
        <v>826</v>
      </c>
      <c r="Q45" s="968" t="s">
        <v>2328</v>
      </c>
      <c r="R45" s="968" t="s">
        <v>826</v>
      </c>
      <c r="S45" s="968"/>
      <c r="T45" s="854" t="s">
        <v>2319</v>
      </c>
      <c r="U45" s="854" t="s">
        <v>2319</v>
      </c>
      <c r="V45" s="854" t="s">
        <v>2319</v>
      </c>
      <c r="W45" s="854" t="s">
        <v>2319</v>
      </c>
      <c r="X45" s="854"/>
      <c r="Y45" s="1011"/>
      <c r="Z45" s="857" t="s">
        <v>2329</v>
      </c>
      <c r="AA45" s="857" t="s">
        <v>2329</v>
      </c>
      <c r="AB45" s="857" t="s">
        <v>2329</v>
      </c>
      <c r="AC45" s="857" t="s">
        <v>2329</v>
      </c>
      <c r="AD45" s="857"/>
    </row>
    <row customHeight="1" ht="54">
      <c r="A46" s="856"/>
      <c r="B46" s="910">
        <v>29</v>
      </c>
      <c r="C46" s="854">
        <v>15</v>
      </c>
      <c r="D46" s="978"/>
      <c r="E46" s="854"/>
      <c r="F46" s="854"/>
      <c r="G46" s="854"/>
      <c r="H46" s="902"/>
      <c r="I46" s="1016" t="str">
        <f>INDEX(TEMPLATE_NUMBER_POINT_FHD,B46,MATCH(TEMPLATE_SPHERE,TEMPLATE_SPHERE_LIST_FOR_NOTE,0))</f>
        <v>2.12</v>
      </c>
      <c r="J46" s="1016" t="str">
        <f>INDEX(TEMPLATE_DATA_POINT_FHD,B46,MATCH(TEMPLATE_SPHERE,TEMPLATE_SPHERE_LIST_FOR_NOTE,0))</f>
        <v>Расходы на капитальный и текущий ремонт основных средств</v>
      </c>
      <c r="K46" s="101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5" t="str">
        <f>IF(I46=0,"",I46)</f>
        <v>2.12</v>
      </c>
      <c r="M46" s="855" t="str">
        <f>IF(J46=0,"",J46)</f>
        <v>Расходы на капитальный и текущий ремонт основных средств</v>
      </c>
      <c r="N46" s="85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8" t="s">
        <v>2330</v>
      </c>
      <c r="P46" s="968" t="s">
        <v>872</v>
      </c>
      <c r="Q46" s="968" t="s">
        <v>2330</v>
      </c>
      <c r="R46" s="968" t="s">
        <v>872</v>
      </c>
      <c r="S46" s="968"/>
      <c r="T46" s="85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4" t="s">
        <v>2331</v>
      </c>
      <c r="V46" s="854" t="s">
        <v>2331</v>
      </c>
      <c r="W46" s="854" t="s">
        <v>2331</v>
      </c>
      <c r="X46" s="854"/>
      <c r="Y46" s="1011"/>
      <c r="Z46" s="857" t="s">
        <v>2332</v>
      </c>
      <c r="AA46" s="857" t="s">
        <v>2333</v>
      </c>
      <c r="AB46" s="857" t="s">
        <v>2333</v>
      </c>
      <c r="AC46" s="857" t="s">
        <v>2333</v>
      </c>
      <c r="AD46" s="857"/>
    </row>
    <row customHeight="1" ht="54">
      <c r="A47" s="856"/>
      <c r="B47" s="910">
        <v>30</v>
      </c>
      <c r="C47" s="854" t="s">
        <v>2334</v>
      </c>
      <c r="D47" s="978"/>
      <c r="E47" s="854"/>
      <c r="F47" s="854"/>
      <c r="G47" s="854"/>
      <c r="H47" s="902"/>
      <c r="I47" s="1016" t="str">
        <f>INDEX(TEMPLATE_NUMBER_POINT_FHD,B47,MATCH(TEMPLATE_SPHERE,TEMPLATE_SPHERE_LIST_FOR_NOTE,0))</f>
        <v>2.12.1</v>
      </c>
      <c r="J47" s="101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6">
        <f>INDEX(TEMPLATE_NOTE_POINT_FHD,B47,MATCH(TEMPLATE_SPHERE,TEMPLATE_SPHERE_LIST_FOR_NOTE,0))</f>
        <v>0</v>
      </c>
      <c r="L47" s="855" t="str">
        <f>IF(I47=0,"",I47)</f>
        <v>2.12.1</v>
      </c>
      <c r="M47" s="85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5" t="str">
        <f>IF(K47=0,"",K47)</f>
        <v/>
      </c>
      <c r="O47" s="968" t="s">
        <v>2335</v>
      </c>
      <c r="P47" s="968" t="s">
        <v>2314</v>
      </c>
      <c r="Q47" s="968" t="s">
        <v>2335</v>
      </c>
      <c r="R47" s="968" t="s">
        <v>2314</v>
      </c>
      <c r="S47" s="968"/>
      <c r="T47" s="854" t="s">
        <v>2336</v>
      </c>
      <c r="U47" s="854" t="s">
        <v>2336</v>
      </c>
      <c r="V47" s="854" t="s">
        <v>2336</v>
      </c>
      <c r="W47" s="854" t="s">
        <v>2336</v>
      </c>
      <c r="X47" s="854"/>
      <c r="Y47" s="1011"/>
      <c r="Z47" s="857"/>
      <c r="AA47" s="860"/>
      <c r="AB47" s="860"/>
      <c r="AC47" s="860"/>
      <c r="AD47" s="857"/>
    </row>
    <row customHeight="1" ht="54">
      <c r="A48" s="856"/>
      <c r="B48" s="910">
        <v>31</v>
      </c>
      <c r="C48" s="854">
        <v>16</v>
      </c>
      <c r="D48" s="978"/>
      <c r="E48" s="854"/>
      <c r="F48" s="854"/>
      <c r="G48" s="854"/>
      <c r="H48" s="902"/>
      <c r="I48" s="1016">
        <f>INDEX(TEMPLATE_NUMBER_POINT_FHD,B48,MATCH(TEMPLATE_SPHERE,TEMPLATE_SPHERE_LIST_FOR_NOTE,0))</f>
        <v>0</v>
      </c>
      <c r="J48" s="1016">
        <f>INDEX(TEMPLATE_DATA_POINT_FHD,B48,MATCH(TEMPLATE_SPHERE,TEMPLATE_SPHERE_LIST_FOR_NOTE,0))</f>
        <v>0</v>
      </c>
      <c r="K48" s="1016">
        <f>INDEX(TEMPLATE_NOTE_POINT_FHD,B48,MATCH(TEMPLATE_SPHERE,TEMPLATE_SPHERE_LIST_FOR_NOTE,0))</f>
        <v>0</v>
      </c>
      <c r="L48" s="855" t="str">
        <f>IF(I48=0,"",I48)</f>
        <v/>
      </c>
      <c r="M48" s="855" t="str">
        <f>IF(J48=0,"",J48)</f>
        <v/>
      </c>
      <c r="N48" s="855" t="str">
        <f>IF(K48=0,"",K48)</f>
        <v/>
      </c>
      <c r="O48" s="968"/>
      <c r="P48" s="968" t="s">
        <v>2321</v>
      </c>
      <c r="Q48" s="968" t="s">
        <v>2337</v>
      </c>
      <c r="R48" s="968" t="s">
        <v>2321</v>
      </c>
      <c r="S48" s="968"/>
      <c r="T48" s="854"/>
      <c r="U48" s="854" t="s">
        <v>2338</v>
      </c>
      <c r="V48" s="854" t="s">
        <v>2339</v>
      </c>
      <c r="W48" s="854" t="s">
        <v>2339</v>
      </c>
      <c r="X48" s="854"/>
      <c r="Y48" s="1011"/>
      <c r="Z48" s="857"/>
      <c r="AA48" s="860" t="s">
        <v>2333</v>
      </c>
      <c r="AB48" s="860" t="s">
        <v>2333</v>
      </c>
      <c r="AC48" s="860" t="s">
        <v>2333</v>
      </c>
      <c r="AD48" s="857"/>
    </row>
    <row customHeight="1" ht="54">
      <c r="A49" s="856"/>
      <c r="B49" s="910">
        <v>32</v>
      </c>
      <c r="C49" s="854" t="s">
        <v>2340</v>
      </c>
      <c r="D49" s="978"/>
      <c r="E49" s="854"/>
      <c r="F49" s="854"/>
      <c r="G49" s="854"/>
      <c r="H49" s="902"/>
      <c r="I49" s="1016">
        <f>INDEX(TEMPLATE_NUMBER_POINT_FHD,B49,MATCH(TEMPLATE_SPHERE,TEMPLATE_SPHERE_LIST_FOR_NOTE,0))</f>
        <v>0</v>
      </c>
      <c r="J49" s="1016">
        <f>INDEX(TEMPLATE_DATA_POINT_FHD,B49,MATCH(TEMPLATE_SPHERE,TEMPLATE_SPHERE_LIST_FOR_NOTE,0))</f>
        <v>0</v>
      </c>
      <c r="K49" s="1016">
        <f>INDEX(TEMPLATE_NOTE_POINT_FHD,B49,MATCH(TEMPLATE_SPHERE,TEMPLATE_SPHERE_LIST_FOR_NOTE,0))</f>
        <v>0</v>
      </c>
      <c r="L49" s="855" t="str">
        <f>IF(I49=0,"",I49)</f>
        <v/>
      </c>
      <c r="M49" s="855" t="str">
        <f>IF(J49=0,"",J49)</f>
        <v/>
      </c>
      <c r="N49" s="855" t="str">
        <f>IF(K49=0,"",K49)</f>
        <v/>
      </c>
      <c r="O49" s="968"/>
      <c r="P49" s="968" t="s">
        <v>2325</v>
      </c>
      <c r="Q49" s="968" t="s">
        <v>2341</v>
      </c>
      <c r="R49" s="968" t="s">
        <v>2325</v>
      </c>
      <c r="S49" s="968"/>
      <c r="T49" s="854"/>
      <c r="U49" s="854" t="s">
        <v>2336</v>
      </c>
      <c r="V49" s="854" t="s">
        <v>2336</v>
      </c>
      <c r="W49" s="854" t="s">
        <v>2336</v>
      </c>
      <c r="X49" s="854"/>
      <c r="Y49" s="1011"/>
      <c r="Z49" s="857"/>
      <c r="AA49" s="860"/>
      <c r="AB49" s="860"/>
      <c r="AC49" s="860"/>
      <c r="AD49" s="857"/>
    </row>
    <row customHeight="1" ht="126">
      <c r="A50" s="856"/>
      <c r="B50" s="910">
        <v>33</v>
      </c>
      <c r="C50" s="854">
        <v>17</v>
      </c>
      <c r="D50" s="978"/>
      <c r="E50" s="854"/>
      <c r="F50" s="854"/>
      <c r="G50" s="854"/>
      <c r="H50" s="902"/>
      <c r="I50" s="1016" t="str">
        <f>INDEX(TEMPLATE_NUMBER_POINT_FHD,B50,MATCH(TEMPLATE_SPHERE,TEMPLATE_SPHERE_LIST_FOR_NOTE,0))</f>
        <v>2.13</v>
      </c>
      <c r="J50" s="101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5" t="str">
        <f>IF(I50=0,"",I50)</f>
        <v>2.13</v>
      </c>
      <c r="M50" s="85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8" t="s">
        <v>2337</v>
      </c>
      <c r="P50" s="968" t="s">
        <v>2330</v>
      </c>
      <c r="Q50" s="968" t="s">
        <v>2342</v>
      </c>
      <c r="R50" s="968" t="s">
        <v>2330</v>
      </c>
      <c r="S50" s="968"/>
      <c r="T50" s="854" t="s">
        <v>2343</v>
      </c>
      <c r="U50" s="854" t="s">
        <v>2344</v>
      </c>
      <c r="V50" s="854" t="s">
        <v>2345</v>
      </c>
      <c r="W50" s="854" t="s">
        <v>2346</v>
      </c>
      <c r="X50" s="854"/>
      <c r="Y50" s="1011"/>
      <c r="Z50" s="857" t="s">
        <v>2347</v>
      </c>
      <c r="AA50" s="860" t="s">
        <v>2348</v>
      </c>
      <c r="AB50" s="860" t="s">
        <v>2348</v>
      </c>
      <c r="AC50" s="860" t="s">
        <v>2348</v>
      </c>
      <c r="AD50" s="857"/>
    </row>
    <row customHeight="1" ht="27">
      <c r="A51" s="856"/>
      <c r="B51" s="910">
        <v>34</v>
      </c>
      <c r="C51" s="854" t="s">
        <v>2349</v>
      </c>
      <c r="D51" s="978"/>
      <c r="E51" s="854"/>
      <c r="F51" s="854"/>
      <c r="G51" s="854"/>
      <c r="H51" s="902"/>
      <c r="I51" s="1016" t="str">
        <f>INDEX(TEMPLATE_NUMBER_POINT_FHD,B51,MATCH(TEMPLATE_SPHERE,TEMPLATE_SPHERE_LIST_FOR_NOTE,0))</f>
        <v>3</v>
      </c>
      <c r="J51" s="101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6">
        <f>INDEX(TEMPLATE_NOTE_POINT_FHD,B51,MATCH(TEMPLATE_SPHERE,TEMPLATE_SPHERE_LIST_FOR_NOTE,0))</f>
        <v>0</v>
      </c>
      <c r="L51" s="855" t="str">
        <f>IF(I51=0,"",I51)</f>
        <v>3</v>
      </c>
      <c r="M51" s="855" t="str">
        <f>IF(J51=0,"",J51)</f>
        <v>Валовая прибыль (убытки) от реализации товаров и оказания услуг по регулируемому виду деятельности</v>
      </c>
      <c r="N51" s="855" t="str">
        <f>IF(K51=0,"",K51)</f>
        <v/>
      </c>
      <c r="O51" s="968" t="s">
        <v>91</v>
      </c>
      <c r="P51" s="968"/>
      <c r="Q51" s="968"/>
      <c r="R51" s="968"/>
      <c r="S51" s="968"/>
      <c r="T51" s="854" t="s">
        <v>2350</v>
      </c>
      <c r="U51" s="854"/>
      <c r="V51" s="854"/>
      <c r="W51" s="854"/>
      <c r="X51" s="854"/>
      <c r="Y51" s="1011"/>
      <c r="Z51" s="857"/>
      <c r="AA51" s="860"/>
      <c r="AB51" s="860"/>
      <c r="AC51" s="860"/>
      <c r="AD51" s="857"/>
    </row>
    <row customHeight="1" ht="36">
      <c r="A52" s="856"/>
      <c r="B52" s="910">
        <v>35</v>
      </c>
      <c r="C52" s="854" t="s">
        <v>2246</v>
      </c>
      <c r="D52" s="978" t="s">
        <v>2246</v>
      </c>
      <c r="E52" s="854" t="s">
        <v>2246</v>
      </c>
      <c r="F52" s="854" t="s">
        <v>2246</v>
      </c>
      <c r="G52" s="854"/>
      <c r="H52" s="902"/>
      <c r="I52" s="1016" t="str">
        <f>INDEX(TEMPLATE_NUMBER_POINT_FHD,B52,MATCH(TEMPLATE_SPHERE,TEMPLATE_SPHERE_LIST_FOR_NOTE,0))</f>
        <v>4</v>
      </c>
      <c r="J52" s="1016" t="str">
        <f>INDEX(TEMPLATE_DATA_POINT_FHD,B52,MATCH(TEMPLATE_SPHERE,TEMPLATE_SPHERE_LIST_FOR_NOTE,0))</f>
        <v>Чистая прибыль, полученная от регулируемого вида деятельности, в том числе:</v>
      </c>
      <c r="K52" s="1016" t="str">
        <f>INDEX(TEMPLATE_NOTE_POINT_FHD,B52,MATCH(TEMPLATE_SPHERE,TEMPLATE_SPHERE_LIST_FOR_NOTE,0))</f>
        <v>Указывается общая сумма чистой прибыли, полученной от регулируемого вида деятельности.</v>
      </c>
      <c r="L52" s="855" t="str">
        <f>IF(I52=0,"",I52)</f>
        <v>4</v>
      </c>
      <c r="M52" s="855" t="str">
        <f>IF(J52=0,"",J52)</f>
        <v>Чистая прибыль, полученная от регулируемого вида деятельности, в том числе:</v>
      </c>
      <c r="N52" s="855" t="str">
        <f>IF(K52=0,"",K52)</f>
        <v>Указывается общая сумма чистой прибыли, полученной от регулируемого вида деятельности.</v>
      </c>
      <c r="O52" s="968" t="s">
        <v>92</v>
      </c>
      <c r="P52" s="968" t="s">
        <v>91</v>
      </c>
      <c r="Q52" s="968" t="s">
        <v>91</v>
      </c>
      <c r="R52" s="968" t="s">
        <v>91</v>
      </c>
      <c r="S52" s="968"/>
      <c r="T52" s="854" t="s">
        <v>2351</v>
      </c>
      <c r="U52" s="854" t="s">
        <v>2352</v>
      </c>
      <c r="V52" s="854" t="s">
        <v>2353</v>
      </c>
      <c r="W52" s="854" t="s">
        <v>2354</v>
      </c>
      <c r="X52" s="854"/>
      <c r="Y52" s="1011"/>
      <c r="Z52" s="857" t="s">
        <v>830</v>
      </c>
      <c r="AA52" s="860" t="s">
        <v>830</v>
      </c>
      <c r="AB52" s="860" t="s">
        <v>830</v>
      </c>
      <c r="AC52" s="860" t="s">
        <v>830</v>
      </c>
      <c r="AD52" s="857"/>
    </row>
    <row customHeight="1" ht="36">
      <c r="A53" s="856"/>
      <c r="B53" s="910">
        <v>36</v>
      </c>
      <c r="C53" s="854">
        <v>1</v>
      </c>
      <c r="D53" s="978"/>
      <c r="E53" s="854"/>
      <c r="F53" s="854"/>
      <c r="G53" s="854"/>
      <c r="H53" s="902"/>
      <c r="I53" s="1016" t="str">
        <f>INDEX(TEMPLATE_NUMBER_POINT_FHD,B53,MATCH(TEMPLATE_SPHERE,TEMPLATE_SPHERE_LIST_FOR_NOTE,0))</f>
        <v>4.1</v>
      </c>
      <c r="J53" s="101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6">
        <f>INDEX(TEMPLATE_NOTE_POINT_FHD,B53,MATCH(TEMPLATE_SPHERE,TEMPLATE_SPHERE_LIST_FOR_NOTE,0))</f>
        <v>0</v>
      </c>
      <c r="L53" s="855" t="str">
        <f>IF(I53=0,"",I53)</f>
        <v>4.1</v>
      </c>
      <c r="M53" s="85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5" t="str">
        <f>IF(K53=0,"",K53)</f>
        <v/>
      </c>
      <c r="O53" s="968" t="s">
        <v>834</v>
      </c>
      <c r="P53" s="968" t="s">
        <v>338</v>
      </c>
      <c r="Q53" s="968" t="s">
        <v>338</v>
      </c>
      <c r="R53" s="968" t="s">
        <v>338</v>
      </c>
      <c r="S53" s="968"/>
      <c r="T53" s="854" t="s">
        <v>2355</v>
      </c>
      <c r="U53" s="854" t="s">
        <v>2355</v>
      </c>
      <c r="V53" s="854" t="s">
        <v>2355</v>
      </c>
      <c r="W53" s="854" t="s">
        <v>2355</v>
      </c>
      <c r="X53" s="854"/>
      <c r="Y53" s="1011"/>
      <c r="Z53" s="857"/>
      <c r="AA53" s="860"/>
      <c r="AB53" s="857"/>
      <c r="AC53" s="857"/>
      <c r="AD53" s="857"/>
    </row>
    <row customHeight="1" ht="18">
      <c r="A54" s="856"/>
      <c r="B54" s="910">
        <v>37</v>
      </c>
      <c r="C54" s="854" t="s">
        <v>2252</v>
      </c>
      <c r="D54" s="978" t="s">
        <v>2252</v>
      </c>
      <c r="E54" s="854" t="s">
        <v>2252</v>
      </c>
      <c r="F54" s="854" t="s">
        <v>2252</v>
      </c>
      <c r="G54" s="854"/>
      <c r="H54" s="902"/>
      <c r="I54" s="1016" t="str">
        <f>INDEX(TEMPLATE_NUMBER_POINT_FHD,B54,MATCH(TEMPLATE_SPHERE,TEMPLATE_SPHERE_LIST_FOR_NOTE,0))</f>
        <v>5</v>
      </c>
      <c r="J54" s="1016" t="str">
        <f>INDEX(TEMPLATE_DATA_POINT_FHD,B54,MATCH(TEMPLATE_SPHERE,TEMPLATE_SPHERE_LIST_FOR_NOTE,0))</f>
        <v>Изменение стоимости основных фондов, в том числе:</v>
      </c>
      <c r="K54" s="1016" t="str">
        <f>INDEX(TEMPLATE_NOTE_POINT_FHD,B54,MATCH(TEMPLATE_SPHERE,TEMPLATE_SPHERE_LIST_FOR_NOTE,0))</f>
        <v>Указывается общее изменение стоимости основных фондов.</v>
      </c>
      <c r="L54" s="855" t="str">
        <f>IF(I54=0,"",I54)</f>
        <v>5</v>
      </c>
      <c r="M54" s="855" t="str">
        <f>IF(J54=0,"",J54)</f>
        <v>Изменение стоимости основных фондов, в том числе:</v>
      </c>
      <c r="N54" s="855" t="str">
        <f>IF(K54=0,"",K54)</f>
        <v>Указывается общее изменение стоимости основных фондов.</v>
      </c>
      <c r="O54" s="968" t="s">
        <v>121</v>
      </c>
      <c r="P54" s="968" t="s">
        <v>92</v>
      </c>
      <c r="Q54" s="968" t="s">
        <v>92</v>
      </c>
      <c r="R54" s="968" t="s">
        <v>92</v>
      </c>
      <c r="S54" s="968"/>
      <c r="T54" s="854" t="s">
        <v>832</v>
      </c>
      <c r="U54" s="854" t="s">
        <v>832</v>
      </c>
      <c r="V54" s="854" t="s">
        <v>832</v>
      </c>
      <c r="W54" s="854" t="s">
        <v>832</v>
      </c>
      <c r="X54" s="854"/>
      <c r="Y54" s="1011"/>
      <c r="Z54" s="857" t="s">
        <v>833</v>
      </c>
      <c r="AA54" s="857" t="s">
        <v>833</v>
      </c>
      <c r="AB54" s="857" t="s">
        <v>833</v>
      </c>
      <c r="AC54" s="857" t="s">
        <v>833</v>
      </c>
      <c r="AD54" s="857"/>
    </row>
    <row customHeight="1" ht="36">
      <c r="A55" s="856"/>
      <c r="B55" s="910">
        <v>38</v>
      </c>
      <c r="C55" s="854">
        <v>1</v>
      </c>
      <c r="D55" s="978"/>
      <c r="E55" s="854"/>
      <c r="F55" s="854"/>
      <c r="G55" s="854"/>
      <c r="H55" s="902"/>
      <c r="I55" s="1016" t="str">
        <f>INDEX(TEMPLATE_NUMBER_POINT_FHD,B55,MATCH(TEMPLATE_SPHERE,TEMPLATE_SPHERE_LIST_FOR_NOTE,0))</f>
        <v>5.1</v>
      </c>
      <c r="J55" s="1016" t="str">
        <f>INDEX(TEMPLATE_DATA_POINT_FHD,B55,MATCH(TEMPLATE_SPHERE,TEMPLATE_SPHERE_LIST_FOR_NOTE,0))</f>
        <v>Изменение стоимости основных фондов за счет:</v>
      </c>
      <c r="K55" s="101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5" t="str">
        <f>IF(I55=0,"",I55)</f>
        <v>5.1</v>
      </c>
      <c r="M55" s="855" t="str">
        <f>IF(J55=0,"",J55)</f>
        <v>Изменение стоимости основных фондов за счет:</v>
      </c>
      <c r="N55" s="855" t="str">
        <f>IF(K55=0,"",K55)</f>
        <v>Указываются общее изменение стоимости основных фондов за счет их ввода в эксплуатацию и вывода из эксплуатации.</v>
      </c>
      <c r="O55" s="968" t="s">
        <v>327</v>
      </c>
      <c r="P55" s="968" t="s">
        <v>834</v>
      </c>
      <c r="Q55" s="968" t="s">
        <v>834</v>
      </c>
      <c r="R55" s="968" t="s">
        <v>834</v>
      </c>
      <c r="S55" s="968"/>
      <c r="T55" s="85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4" t="s">
        <v>2356</v>
      </c>
      <c r="V55" s="854" t="s">
        <v>2356</v>
      </c>
      <c r="W55" s="854" t="s">
        <v>2356</v>
      </c>
      <c r="X55" s="854"/>
      <c r="Y55" s="1011"/>
      <c r="Z55" s="857" t="s">
        <v>2357</v>
      </c>
      <c r="AA55" s="857" t="s">
        <v>2357</v>
      </c>
      <c r="AB55" s="857" t="s">
        <v>2357</v>
      </c>
      <c r="AC55" s="857" t="s">
        <v>2357</v>
      </c>
      <c r="AD55" s="857"/>
    </row>
    <row customHeight="1" ht="27">
      <c r="A56" s="856"/>
      <c r="B56" s="910">
        <v>39</v>
      </c>
      <c r="C56" s="854" t="s">
        <v>675</v>
      </c>
      <c r="D56" s="978"/>
      <c r="E56" s="854"/>
      <c r="F56" s="854"/>
      <c r="G56" s="854"/>
      <c r="H56" s="902"/>
      <c r="I56" s="1016" t="str">
        <f>INDEX(TEMPLATE_NUMBER_POINT_FHD,B56,MATCH(TEMPLATE_SPHERE,TEMPLATE_SPHERE_LIST_FOR_NOTE,0))</f>
        <v>5.1.1</v>
      </c>
      <c r="J56" s="1016" t="str">
        <f>INDEX(TEMPLATE_DATA_POINT_FHD,B56,MATCH(TEMPLATE_SPHERE,TEMPLATE_SPHERE_LIST_FOR_NOTE,0))</f>
        <v>Изменения стоимости основных фондов за счет их ввода в эксплуатацию</v>
      </c>
      <c r="K56" s="1016" t="str">
        <f>INDEX(TEMPLATE_NOTE_POINT_FHD,B56,MATCH(TEMPLATE_SPHERE,TEMPLATE_SPHERE_LIST_FOR_NOTE,0))</f>
        <v>Указываются изменение стоимости основных фондов за счет их ввода в эксплуатацию.</v>
      </c>
      <c r="L56" s="855" t="str">
        <f>IF(I56=0,"",I56)</f>
        <v>5.1.1</v>
      </c>
      <c r="M56" s="855" t="str">
        <f>IF(J56=0,"",J56)</f>
        <v>Изменения стоимости основных фондов за счет их ввода в эксплуатацию</v>
      </c>
      <c r="N56" s="855" t="str">
        <f>IF(K56=0,"",K56)</f>
        <v>Указываются изменение стоимости основных фондов за счет их ввода в эксплуатацию.</v>
      </c>
      <c r="O56" s="968" t="s">
        <v>1415</v>
      </c>
      <c r="P56" s="968" t="s">
        <v>837</v>
      </c>
      <c r="Q56" s="968" t="s">
        <v>837</v>
      </c>
      <c r="R56" s="968" t="s">
        <v>837</v>
      </c>
      <c r="S56" s="968"/>
      <c r="T56" s="85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4" t="s">
        <v>2358</v>
      </c>
      <c r="V56" s="854" t="s">
        <v>2358</v>
      </c>
      <c r="W56" s="854" t="s">
        <v>2358</v>
      </c>
      <c r="X56" s="854"/>
      <c r="Y56" s="1011"/>
      <c r="Z56" s="857" t="s">
        <v>839</v>
      </c>
      <c r="AA56" s="857" t="s">
        <v>839</v>
      </c>
      <c r="AB56" s="857" t="s">
        <v>839</v>
      </c>
      <c r="AC56" s="857" t="s">
        <v>839</v>
      </c>
      <c r="AD56" s="857"/>
    </row>
    <row customHeight="1" ht="27">
      <c r="A57" s="856"/>
      <c r="B57" s="910">
        <v>40</v>
      </c>
      <c r="C57" s="854" t="s">
        <v>1285</v>
      </c>
      <c r="D57" s="978"/>
      <c r="E57" s="854"/>
      <c r="F57" s="854"/>
      <c r="G57" s="854"/>
      <c r="H57" s="902"/>
      <c r="I57" s="1016" t="str">
        <f>INDEX(TEMPLATE_NUMBER_POINT_FHD,B57,MATCH(TEMPLATE_SPHERE,TEMPLATE_SPHERE_LIST_FOR_NOTE,0))</f>
        <v>5.1.2</v>
      </c>
      <c r="J57" s="1016" t="str">
        <f>INDEX(TEMPLATE_DATA_POINT_FHD,B57,MATCH(TEMPLATE_SPHERE,TEMPLATE_SPHERE_LIST_FOR_NOTE,0))</f>
        <v>Изменения стоимости основных фондов за счет их вывода в эксплуатацию</v>
      </c>
      <c r="K57" s="1016" t="str">
        <f>INDEX(TEMPLATE_NOTE_POINT_FHD,B57,MATCH(TEMPLATE_SPHERE,TEMPLATE_SPHERE_LIST_FOR_NOTE,0))</f>
        <v>Указываются изменение стоимости основных фондов за счет их вывода из эксплуатации.</v>
      </c>
      <c r="L57" s="855" t="str">
        <f>IF(I57=0,"",I57)</f>
        <v>5.1.2</v>
      </c>
      <c r="M57" s="855" t="str">
        <f>IF(J57=0,"",J57)</f>
        <v>Изменения стоимости основных фондов за счет их вывода в эксплуатацию</v>
      </c>
      <c r="N57" s="855" t="str">
        <f>IF(K57=0,"",K57)</f>
        <v>Указываются изменение стоимости основных фондов за счет их вывода из эксплуатации.</v>
      </c>
      <c r="O57" s="968" t="s">
        <v>2359</v>
      </c>
      <c r="P57" s="968" t="s">
        <v>840</v>
      </c>
      <c r="Q57" s="968" t="s">
        <v>840</v>
      </c>
      <c r="R57" s="968" t="s">
        <v>840</v>
      </c>
      <c r="S57" s="968"/>
      <c r="T57" s="85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4" t="s">
        <v>2360</v>
      </c>
      <c r="V57" s="854" t="s">
        <v>2360</v>
      </c>
      <c r="W57" s="854" t="s">
        <v>2360</v>
      </c>
      <c r="X57" s="854"/>
      <c r="Y57" s="1011"/>
      <c r="Z57" s="857" t="s">
        <v>842</v>
      </c>
      <c r="AA57" s="857" t="s">
        <v>842</v>
      </c>
      <c r="AB57" s="857" t="s">
        <v>842</v>
      </c>
      <c r="AC57" s="857" t="s">
        <v>842</v>
      </c>
      <c r="AD57" s="857"/>
    </row>
    <row customHeight="1" ht="18">
      <c r="A58" s="856"/>
      <c r="B58" s="910">
        <v>41</v>
      </c>
      <c r="C58" s="854">
        <v>2</v>
      </c>
      <c r="D58" s="978"/>
      <c r="E58" s="854"/>
      <c r="F58" s="854"/>
      <c r="G58" s="854"/>
      <c r="H58" s="902"/>
      <c r="I58" s="1016" t="str">
        <f>INDEX(TEMPLATE_NUMBER_POINT_FHD,B58,MATCH(TEMPLATE_SPHERE,TEMPLATE_SPHERE_LIST_FOR_NOTE,0))</f>
        <v>5.2</v>
      </c>
      <c r="J58" s="1016" t="str">
        <f>INDEX(TEMPLATE_DATA_POINT_FHD,B58,MATCH(TEMPLATE_SPHERE,TEMPLATE_SPHERE_LIST_FOR_NOTE,0))</f>
        <v>Изменение стоимости основных фондов за счет их переоценки</v>
      </c>
      <c r="K58" s="1016">
        <f>INDEX(TEMPLATE_NOTE_POINT_FHD,B58,MATCH(TEMPLATE_SPHERE,TEMPLATE_SPHERE_LIST_FOR_NOTE,0))</f>
        <v>0</v>
      </c>
      <c r="L58" s="855" t="str">
        <f>IF(I58=0,"",I58)</f>
        <v>5.2</v>
      </c>
      <c r="M58" s="855" t="str">
        <f>IF(J58=0,"",J58)</f>
        <v>Изменение стоимости основных фондов за счет их переоценки</v>
      </c>
      <c r="N58" s="855" t="str">
        <f>IF(K58=0,"",K58)</f>
        <v/>
      </c>
      <c r="O58" s="968" t="s">
        <v>975</v>
      </c>
      <c r="P58" s="968" t="s">
        <v>878</v>
      </c>
      <c r="Q58" s="968" t="s">
        <v>878</v>
      </c>
      <c r="R58" s="968" t="s">
        <v>878</v>
      </c>
      <c r="S58" s="968"/>
      <c r="T58" s="85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4" t="s">
        <v>2361</v>
      </c>
      <c r="V58" s="854" t="s">
        <v>2361</v>
      </c>
      <c r="W58" s="854" t="s">
        <v>2361</v>
      </c>
      <c r="X58" s="854"/>
      <c r="Y58" s="1011"/>
      <c r="Z58" s="857"/>
      <c r="AA58" s="860"/>
      <c r="AB58" s="857"/>
      <c r="AC58" s="857"/>
      <c r="AD58" s="857"/>
    </row>
    <row customHeight="1" ht="36">
      <c r="A59" s="856"/>
      <c r="B59" s="910">
        <v>42</v>
      </c>
      <c r="C59" s="854">
        <v>3</v>
      </c>
      <c r="D59" s="978" t="s">
        <v>2349</v>
      </c>
      <c r="E59" s="854" t="s">
        <v>2349</v>
      </c>
      <c r="F59" s="854" t="s">
        <v>2349</v>
      </c>
      <c r="G59" s="854"/>
      <c r="H59" s="902"/>
      <c r="I59" s="1016">
        <f>INDEX(TEMPLATE_NUMBER_POINT_FHD,B59,MATCH(TEMPLATE_SPHERE,TEMPLATE_SPHERE_LIST_FOR_NOTE,0))</f>
        <v>0</v>
      </c>
      <c r="J59" s="1016">
        <f>INDEX(TEMPLATE_DATA_POINT_FHD,B59,MATCH(TEMPLATE_SPHERE,TEMPLATE_SPHERE_LIST_FOR_NOTE,0))</f>
        <v>0</v>
      </c>
      <c r="K59" s="1016">
        <f>INDEX(TEMPLATE_NOTE_POINT_FHD,B59,MATCH(TEMPLATE_SPHERE,TEMPLATE_SPHERE_LIST_FOR_NOTE,0))</f>
        <v>0</v>
      </c>
      <c r="L59" s="855" t="str">
        <f>IF(I59=0,"",I59)</f>
        <v/>
      </c>
      <c r="M59" s="855" t="str">
        <f>IF(J59=0,"",J59)</f>
        <v/>
      </c>
      <c r="N59" s="855" t="str">
        <f>IF(K59=0,"",K59)</f>
        <v/>
      </c>
      <c r="O59" s="968"/>
      <c r="P59" s="968" t="s">
        <v>121</v>
      </c>
      <c r="Q59" s="968" t="s">
        <v>121</v>
      </c>
      <c r="R59" s="968" t="s">
        <v>121</v>
      </c>
      <c r="S59" s="968"/>
      <c r="T59" s="854"/>
      <c r="U59" s="854" t="s">
        <v>2362</v>
      </c>
      <c r="V59" s="854" t="s">
        <v>2363</v>
      </c>
      <c r="W59" s="854" t="s">
        <v>2364</v>
      </c>
      <c r="X59" s="854"/>
      <c r="Y59" s="1011"/>
      <c r="Z59" s="857"/>
      <c r="AA59" s="860"/>
      <c r="AB59" s="857"/>
      <c r="AC59" s="857"/>
      <c r="AD59" s="857"/>
    </row>
    <row customHeight="1" ht="81">
      <c r="A60" s="856"/>
      <c r="B60" s="910">
        <v>43</v>
      </c>
      <c r="C60" s="854" t="s">
        <v>2365</v>
      </c>
      <c r="D60" s="978" t="s">
        <v>2365</v>
      </c>
      <c r="E60" s="854" t="s">
        <v>2365</v>
      </c>
      <c r="F60" s="854" t="s">
        <v>2365</v>
      </c>
      <c r="G60" s="854"/>
      <c r="H60" s="902"/>
      <c r="I60" s="1016" t="str">
        <f>INDEX(TEMPLATE_NUMBER_POINT_FHD,B60,MATCH(TEMPLATE_SPHERE,TEMPLATE_SPHERE_LIST_FOR_NOTE,0))</f>
        <v>6</v>
      </c>
      <c r="J60" s="101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5" t="str">
        <f>IF(I60=0,"",I60)</f>
        <v>6</v>
      </c>
      <c r="M60" s="855" t="str">
        <f>IF(J60=0,"",J60)</f>
        <v>Годовая бухгалтерская (финансовая) отчетность, включая бухгалтерский баланс и приложения к нему</v>
      </c>
      <c r="N60" s="85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8" t="s">
        <v>93</v>
      </c>
      <c r="P60" s="968" t="s">
        <v>93</v>
      </c>
      <c r="Q60" s="968" t="s">
        <v>93</v>
      </c>
      <c r="R60" s="968" t="s">
        <v>93</v>
      </c>
      <c r="S60" s="968"/>
      <c r="T60" s="854" t="s">
        <v>704</v>
      </c>
      <c r="U60" s="854" t="s">
        <v>704</v>
      </c>
      <c r="V60" s="854" t="s">
        <v>704</v>
      </c>
      <c r="W60" s="854" t="s">
        <v>704</v>
      </c>
      <c r="X60" s="854"/>
      <c r="Y60" s="1011"/>
      <c r="Z60" s="857" t="s">
        <v>2366</v>
      </c>
      <c r="AA60" s="860" t="s">
        <v>2367</v>
      </c>
      <c r="AB60" s="857" t="s">
        <v>2368</v>
      </c>
      <c r="AC60" s="857" t="s">
        <v>2367</v>
      </c>
      <c r="AD60" s="857"/>
    </row>
    <row customHeight="1" ht="9">
      <c r="A61" s="856"/>
      <c r="B61" s="910">
        <v>44</v>
      </c>
      <c r="C61" s="854"/>
      <c r="D61" s="978" t="s">
        <v>2369</v>
      </c>
      <c r="E61" s="854"/>
      <c r="F61" s="854"/>
      <c r="G61" s="854"/>
      <c r="H61" s="902"/>
      <c r="I61" s="1016">
        <f>INDEX(TEMPLATE_NUMBER_POINT_FHD,B61,MATCH(TEMPLATE_SPHERE,TEMPLATE_SPHERE_LIST_FOR_NOTE,0))</f>
        <v>0</v>
      </c>
      <c r="J61" s="1016">
        <f>INDEX(TEMPLATE_DATA_POINT_FHD,B61,MATCH(TEMPLATE_SPHERE,TEMPLATE_SPHERE_LIST_FOR_NOTE,0))</f>
        <v>0</v>
      </c>
      <c r="K61" s="1016">
        <f>INDEX(TEMPLATE_NOTE_POINT_FHD,B61,MATCH(TEMPLATE_SPHERE,TEMPLATE_SPHERE_LIST_FOR_NOTE,0))</f>
        <v>0</v>
      </c>
      <c r="L61" s="855" t="str">
        <f>IF(I61=0,"",I61)</f>
        <v/>
      </c>
      <c r="M61" s="855" t="str">
        <f>IF(J61=0,"",J61)</f>
        <v/>
      </c>
      <c r="N61" s="855" t="str">
        <f>IF(K61=0,"",K61)</f>
        <v/>
      </c>
      <c r="O61" s="968"/>
      <c r="P61" s="968" t="s">
        <v>94</v>
      </c>
      <c r="Q61" s="968"/>
      <c r="R61" s="968"/>
      <c r="S61" s="968"/>
      <c r="T61" s="854"/>
      <c r="U61" s="854" t="s">
        <v>2370</v>
      </c>
      <c r="V61" s="854"/>
      <c r="W61" s="854"/>
      <c r="X61" s="854"/>
      <c r="Y61" s="1011"/>
      <c r="Z61" s="857"/>
      <c r="AA61" s="860"/>
      <c r="AB61" s="857"/>
      <c r="AC61" s="857"/>
      <c r="AD61" s="857"/>
    </row>
    <row customHeight="1" ht="9">
      <c r="A62" s="856"/>
      <c r="B62" s="910">
        <v>45</v>
      </c>
      <c r="C62" s="854"/>
      <c r="D62" s="978" t="s">
        <v>2371</v>
      </c>
      <c r="E62" s="854"/>
      <c r="F62" s="854"/>
      <c r="G62" s="854"/>
      <c r="H62" s="902"/>
      <c r="I62" s="1016">
        <f>INDEX(TEMPLATE_NUMBER_POINT_FHD,B62,MATCH(TEMPLATE_SPHERE,TEMPLATE_SPHERE_LIST_FOR_NOTE,0))</f>
        <v>0</v>
      </c>
      <c r="J62" s="1016">
        <f>INDEX(TEMPLATE_DATA_POINT_FHD,B62,MATCH(TEMPLATE_SPHERE,TEMPLATE_SPHERE_LIST_FOR_NOTE,0))</f>
        <v>0</v>
      </c>
      <c r="K62" s="1016">
        <f>INDEX(TEMPLATE_NOTE_POINT_FHD,B62,MATCH(TEMPLATE_SPHERE,TEMPLATE_SPHERE_LIST_FOR_NOTE,0))</f>
        <v>0</v>
      </c>
      <c r="L62" s="855" t="str">
        <f>IF(I62=0,"",I62)</f>
        <v/>
      </c>
      <c r="M62" s="855" t="str">
        <f>IF(J62=0,"",J62)</f>
        <v/>
      </c>
      <c r="N62" s="855" t="str">
        <f>IF(K62=0,"",K62)</f>
        <v/>
      </c>
      <c r="O62" s="968"/>
      <c r="P62" s="968" t="s">
        <v>122</v>
      </c>
      <c r="Q62" s="968"/>
      <c r="R62" s="968"/>
      <c r="S62" s="968"/>
      <c r="T62" s="854"/>
      <c r="U62" s="854" t="s">
        <v>2372</v>
      </c>
      <c r="V62" s="854"/>
      <c r="W62" s="854"/>
      <c r="X62" s="854"/>
      <c r="Y62" s="1011"/>
      <c r="Z62" s="857"/>
      <c r="AA62" s="860"/>
      <c r="AB62" s="857"/>
      <c r="AC62" s="857"/>
      <c r="AD62" s="857"/>
    </row>
    <row customHeight="1" ht="18">
      <c r="A63" s="856"/>
      <c r="B63" s="910">
        <v>46</v>
      </c>
      <c r="C63" s="854"/>
      <c r="D63" s="978" t="s">
        <v>2373</v>
      </c>
      <c r="E63" s="854"/>
      <c r="F63" s="854"/>
      <c r="G63" s="854"/>
      <c r="H63" s="902"/>
      <c r="I63" s="1016">
        <f>INDEX(TEMPLATE_NUMBER_POINT_FHD,B63,MATCH(TEMPLATE_SPHERE,TEMPLATE_SPHERE_LIST_FOR_NOTE,0))</f>
        <v>0</v>
      </c>
      <c r="J63" s="1016">
        <f>INDEX(TEMPLATE_DATA_POINT_FHD,B63,MATCH(TEMPLATE_SPHERE,TEMPLATE_SPHERE_LIST_FOR_NOTE,0))</f>
        <v>0</v>
      </c>
      <c r="K63" s="1016">
        <f>INDEX(TEMPLATE_NOTE_POINT_FHD,B63,MATCH(TEMPLATE_SPHERE,TEMPLATE_SPHERE_LIST_FOR_NOTE,0))</f>
        <v>0</v>
      </c>
      <c r="L63" s="855" t="str">
        <f>IF(I63=0,"",I63)</f>
        <v/>
      </c>
      <c r="M63" s="855" t="str">
        <f>IF(J63=0,"",J63)</f>
        <v/>
      </c>
      <c r="N63" s="855" t="str">
        <f>IF(K63=0,"",K63)</f>
        <v/>
      </c>
      <c r="O63" s="968"/>
      <c r="P63" s="968" t="s">
        <v>164</v>
      </c>
      <c r="Q63" s="968"/>
      <c r="R63" s="968"/>
      <c r="S63" s="968"/>
      <c r="T63" s="854"/>
      <c r="U63" s="854" t="s">
        <v>2374</v>
      </c>
      <c r="V63" s="854"/>
      <c r="W63" s="854"/>
      <c r="X63" s="854"/>
      <c r="Y63" s="1011"/>
      <c r="Z63" s="857"/>
      <c r="AA63" s="860"/>
      <c r="AB63" s="857"/>
      <c r="AC63" s="857"/>
      <c r="AD63" s="857"/>
    </row>
    <row customHeight="1" ht="18">
      <c r="A64" s="856"/>
      <c r="B64" s="910">
        <v>47</v>
      </c>
      <c r="C64" s="854"/>
      <c r="D64" s="978" t="s">
        <v>2375</v>
      </c>
      <c r="E64" s="854"/>
      <c r="F64" s="854"/>
      <c r="G64" s="854"/>
      <c r="H64" s="902"/>
      <c r="I64" s="1016">
        <f>INDEX(TEMPLATE_NUMBER_POINT_FHD,B64,MATCH(TEMPLATE_SPHERE,TEMPLATE_SPHERE_LIST_FOR_NOTE,0))</f>
        <v>0</v>
      </c>
      <c r="J64" s="1016">
        <f>INDEX(TEMPLATE_DATA_POINT_FHD,B64,MATCH(TEMPLATE_SPHERE,TEMPLATE_SPHERE_LIST_FOR_NOTE,0))</f>
        <v>0</v>
      </c>
      <c r="K64" s="1016">
        <f>INDEX(TEMPLATE_NOTE_POINT_FHD,B64,MATCH(TEMPLATE_SPHERE,TEMPLATE_SPHERE_LIST_FOR_NOTE,0))</f>
        <v>0</v>
      </c>
      <c r="L64" s="855" t="str">
        <f>IF(I64=0,"",I64)</f>
        <v/>
      </c>
      <c r="M64" s="855" t="str">
        <f>IF(J64=0,"",J64)</f>
        <v/>
      </c>
      <c r="N64" s="855" t="str">
        <f>IF(K64=0,"",K64)</f>
        <v/>
      </c>
      <c r="O64" s="968"/>
      <c r="P64" s="968" t="s">
        <v>165</v>
      </c>
      <c r="Q64" s="968"/>
      <c r="R64" s="968"/>
      <c r="S64" s="968"/>
      <c r="T64" s="854"/>
      <c r="U64" s="854" t="s">
        <v>2376</v>
      </c>
      <c r="V64" s="854"/>
      <c r="W64" s="854"/>
      <c r="X64" s="854"/>
      <c r="Y64" s="1011"/>
      <c r="Z64" s="857"/>
      <c r="AA64" s="860" t="s">
        <v>2377</v>
      </c>
      <c r="AB64" s="857"/>
      <c r="AC64" s="857"/>
      <c r="AD64" s="857"/>
    </row>
    <row customHeight="1" ht="18">
      <c r="A65" s="856"/>
      <c r="B65" s="910">
        <v>48</v>
      </c>
      <c r="C65" s="854"/>
      <c r="D65" s="978"/>
      <c r="E65" s="854"/>
      <c r="F65" s="854"/>
      <c r="G65" s="854"/>
      <c r="H65" s="902"/>
      <c r="I65" s="1016">
        <f>INDEX(TEMPLATE_NUMBER_POINT_FHD,B65,MATCH(TEMPLATE_SPHERE,TEMPLATE_SPHERE_LIST_FOR_NOTE,0))</f>
        <v>0</v>
      </c>
      <c r="J65" s="1016">
        <f>INDEX(TEMPLATE_DATA_POINT_FHD,B65,MATCH(TEMPLATE_SPHERE,TEMPLATE_SPHERE_LIST_FOR_NOTE,0))</f>
        <v>0</v>
      </c>
      <c r="K65" s="1016">
        <f>INDEX(TEMPLATE_NOTE_POINT_FHD,B65,MATCH(TEMPLATE_SPHERE,TEMPLATE_SPHERE_LIST_FOR_NOTE,0))</f>
        <v>0</v>
      </c>
      <c r="L65" s="855" t="str">
        <f>IF(I65=0,"",I65)</f>
        <v/>
      </c>
      <c r="M65" s="855" t="str">
        <f>IF(J65=0,"",J65)</f>
        <v/>
      </c>
      <c r="N65" s="855" t="str">
        <f>IF(K65=0,"",K65)</f>
        <v/>
      </c>
      <c r="O65" s="968"/>
      <c r="P65" s="968" t="s">
        <v>2293</v>
      </c>
      <c r="Q65" s="968"/>
      <c r="R65" s="968"/>
      <c r="S65" s="968"/>
      <c r="T65" s="854"/>
      <c r="U65" s="854" t="s">
        <v>2378</v>
      </c>
      <c r="V65" s="854"/>
      <c r="W65" s="854"/>
      <c r="X65" s="854"/>
      <c r="Y65" s="1011"/>
      <c r="Z65" s="857"/>
      <c r="AA65" s="860"/>
      <c r="AB65" s="857"/>
      <c r="AC65" s="857"/>
      <c r="AD65" s="857"/>
    </row>
    <row customHeight="1" ht="18">
      <c r="A66" s="856"/>
      <c r="B66" s="910">
        <v>49</v>
      </c>
      <c r="C66" s="854"/>
      <c r="D66" s="978"/>
      <c r="E66" s="854"/>
      <c r="F66" s="854"/>
      <c r="G66" s="854"/>
      <c r="H66" s="902"/>
      <c r="I66" s="1016">
        <f>INDEX(TEMPLATE_NUMBER_POINT_FHD,B66,MATCH(TEMPLATE_SPHERE,TEMPLATE_SPHERE_LIST_FOR_NOTE,0))</f>
        <v>0</v>
      </c>
      <c r="J66" s="1016">
        <f>INDEX(TEMPLATE_DATA_POINT_FHD,B66,MATCH(TEMPLATE_SPHERE,TEMPLATE_SPHERE_LIST_FOR_NOTE,0))</f>
        <v>0</v>
      </c>
      <c r="K66" s="1016">
        <f>INDEX(TEMPLATE_NOTE_POINT_FHD,B66,MATCH(TEMPLATE_SPHERE,TEMPLATE_SPHERE_LIST_FOR_NOTE,0))</f>
        <v>0</v>
      </c>
      <c r="L66" s="855" t="str">
        <f>IF(I66=0,"",I66)</f>
        <v/>
      </c>
      <c r="M66" s="855" t="str">
        <f>IF(J66=0,"",J66)</f>
        <v/>
      </c>
      <c r="N66" s="855" t="str">
        <f>IF(K66=0,"",K66)</f>
        <v/>
      </c>
      <c r="O66" s="968"/>
      <c r="P66" s="968" t="s">
        <v>2297</v>
      </c>
      <c r="Q66" s="968"/>
      <c r="R66" s="968"/>
      <c r="S66" s="968"/>
      <c r="T66" s="854"/>
      <c r="U66" s="854" t="s">
        <v>2379</v>
      </c>
      <c r="V66" s="854"/>
      <c r="W66" s="854"/>
      <c r="X66" s="854"/>
      <c r="Y66" s="1011"/>
      <c r="Z66" s="857"/>
      <c r="AA66" s="860"/>
      <c r="AB66" s="857"/>
      <c r="AC66" s="857"/>
      <c r="AD66" s="857"/>
    </row>
    <row customHeight="1" ht="27">
      <c r="A67" s="856"/>
      <c r="B67" s="910">
        <v>50</v>
      </c>
      <c r="C67" s="854"/>
      <c r="D67" s="978"/>
      <c r="E67" s="854"/>
      <c r="F67" s="854"/>
      <c r="G67" s="854"/>
      <c r="H67" s="902"/>
      <c r="I67" s="1016">
        <f>INDEX(TEMPLATE_NUMBER_POINT_FHD,B67,MATCH(TEMPLATE_SPHERE,TEMPLATE_SPHERE_LIST_FOR_NOTE,0))</f>
        <v>0</v>
      </c>
      <c r="J67" s="1016">
        <f>INDEX(TEMPLATE_DATA_POINT_FHD,B67,MATCH(TEMPLATE_SPHERE,TEMPLATE_SPHERE_LIST_FOR_NOTE,0))</f>
        <v>0</v>
      </c>
      <c r="K67" s="1016">
        <f>INDEX(TEMPLATE_NOTE_POINT_FHD,B67,MATCH(TEMPLATE_SPHERE,TEMPLATE_SPHERE_LIST_FOR_NOTE,0))</f>
        <v>0</v>
      </c>
      <c r="L67" s="855" t="str">
        <f>IF(I67=0,"",I67)</f>
        <v/>
      </c>
      <c r="M67" s="855" t="str">
        <f>IF(J67=0,"",J67)</f>
        <v/>
      </c>
      <c r="N67" s="855" t="str">
        <f>IF(K67=0,"",K67)</f>
        <v/>
      </c>
      <c r="O67" s="968"/>
      <c r="P67" s="968" t="s">
        <v>2380</v>
      </c>
      <c r="Q67" s="968"/>
      <c r="R67" s="968"/>
      <c r="S67" s="968"/>
      <c r="T67" s="854"/>
      <c r="U67" s="854" t="s">
        <v>2381</v>
      </c>
      <c r="V67" s="854"/>
      <c r="W67" s="854"/>
      <c r="X67" s="854"/>
      <c r="Y67" s="1011"/>
      <c r="Z67" s="857"/>
      <c r="AA67" s="860"/>
      <c r="AB67" s="857"/>
      <c r="AC67" s="857"/>
      <c r="AD67" s="857"/>
    </row>
    <row customHeight="1" ht="27">
      <c r="A68" s="856"/>
      <c r="B68" s="910">
        <v>51</v>
      </c>
      <c r="C68" s="854"/>
      <c r="D68" s="978"/>
      <c r="E68" s="854"/>
      <c r="F68" s="854"/>
      <c r="G68" s="854"/>
      <c r="H68" s="902"/>
      <c r="I68" s="1016">
        <f>INDEX(TEMPLATE_NUMBER_POINT_FHD,B68,MATCH(TEMPLATE_SPHERE,TEMPLATE_SPHERE_LIST_FOR_NOTE,0))</f>
        <v>0</v>
      </c>
      <c r="J68" s="1016">
        <f>INDEX(TEMPLATE_DATA_POINT_FHD,B68,MATCH(TEMPLATE_SPHERE,TEMPLATE_SPHERE_LIST_FOR_NOTE,0))</f>
        <v>0</v>
      </c>
      <c r="K68" s="1016">
        <f>INDEX(TEMPLATE_NOTE_POINT_FHD,B68,MATCH(TEMPLATE_SPHERE,TEMPLATE_SPHERE_LIST_FOR_NOTE,0))</f>
        <v>0</v>
      </c>
      <c r="L68" s="855" t="str">
        <f>IF(I68=0,"",I68)</f>
        <v/>
      </c>
      <c r="M68" s="855" t="str">
        <f>IF(J68=0,"",J68)</f>
        <v/>
      </c>
      <c r="N68" s="855" t="str">
        <f>IF(K68=0,"",K68)</f>
        <v/>
      </c>
      <c r="O68" s="968"/>
      <c r="P68" s="968" t="s">
        <v>2382</v>
      </c>
      <c r="Q68" s="968"/>
      <c r="R68" s="968"/>
      <c r="S68" s="968"/>
      <c r="T68" s="854"/>
      <c r="U68" s="854" t="s">
        <v>2383</v>
      </c>
      <c r="V68" s="854"/>
      <c r="W68" s="854"/>
      <c r="X68" s="854"/>
      <c r="Y68" s="1011"/>
      <c r="Z68" s="857"/>
      <c r="AA68" s="860"/>
      <c r="AB68" s="857"/>
      <c r="AC68" s="857"/>
      <c r="AD68" s="857"/>
    </row>
    <row customHeight="1" ht="9">
      <c r="A69" s="856"/>
      <c r="B69" s="910">
        <v>52</v>
      </c>
      <c r="C69" s="854"/>
      <c r="D69" s="978" t="s">
        <v>2384</v>
      </c>
      <c r="E69" s="854"/>
      <c r="F69" s="854"/>
      <c r="G69" s="854"/>
      <c r="H69" s="902"/>
      <c r="I69" s="1016">
        <f>INDEX(TEMPLATE_NUMBER_POINT_FHD,B69,MATCH(TEMPLATE_SPHERE,TEMPLATE_SPHERE_LIST_FOR_NOTE,0))</f>
        <v>0</v>
      </c>
      <c r="J69" s="1016">
        <f>INDEX(TEMPLATE_DATA_POINT_FHD,B69,MATCH(TEMPLATE_SPHERE,TEMPLATE_SPHERE_LIST_FOR_NOTE,0))</f>
        <v>0</v>
      </c>
      <c r="K69" s="1016">
        <f>INDEX(TEMPLATE_NOTE_POINT_FHD,B69,MATCH(TEMPLATE_SPHERE,TEMPLATE_SPHERE_LIST_FOR_NOTE,0))</f>
        <v>0</v>
      </c>
      <c r="L69" s="855" t="str">
        <f>IF(I69=0,"",I69)</f>
        <v/>
      </c>
      <c r="M69" s="855" t="str">
        <f>IF(J69=0,"",J69)</f>
        <v/>
      </c>
      <c r="N69" s="855" t="str">
        <f>IF(K69=0,"",K69)</f>
        <v/>
      </c>
      <c r="O69" s="968"/>
      <c r="P69" s="968" t="s">
        <v>166</v>
      </c>
      <c r="Q69" s="968"/>
      <c r="R69" s="968"/>
      <c r="S69" s="968"/>
      <c r="T69" s="854"/>
      <c r="U69" s="854" t="s">
        <v>2385</v>
      </c>
      <c r="V69" s="854"/>
      <c r="W69" s="854"/>
      <c r="X69" s="854"/>
      <c r="Y69" s="1011"/>
      <c r="Z69" s="857"/>
      <c r="AA69" s="860"/>
      <c r="AB69" s="857"/>
      <c r="AC69" s="857"/>
      <c r="AD69" s="857"/>
    </row>
    <row customHeight="1" ht="27">
      <c r="A70" s="856"/>
      <c r="B70" s="910">
        <v>53</v>
      </c>
      <c r="C70" s="854"/>
      <c r="D70" s="978"/>
      <c r="E70" s="854" t="s">
        <v>2369</v>
      </c>
      <c r="F70" s="854"/>
      <c r="G70" s="854"/>
      <c r="H70" s="902"/>
      <c r="I70" s="1016">
        <f>INDEX(TEMPLATE_NUMBER_POINT_FHD,B70,MATCH(TEMPLATE_SPHERE,TEMPLATE_SPHERE_LIST_FOR_NOTE,0))</f>
        <v>0</v>
      </c>
      <c r="J70" s="1016">
        <f>INDEX(TEMPLATE_DATA_POINT_FHD,B70,MATCH(TEMPLATE_SPHERE,TEMPLATE_SPHERE_LIST_FOR_NOTE,0))</f>
        <v>0</v>
      </c>
      <c r="K70" s="1016">
        <f>INDEX(TEMPLATE_NOTE_POINT_FHD,B70,MATCH(TEMPLATE_SPHERE,TEMPLATE_SPHERE_LIST_FOR_NOTE,0))</f>
        <v>0</v>
      </c>
      <c r="L70" s="855" t="str">
        <f>IF(I70=0,"",I70)</f>
        <v/>
      </c>
      <c r="M70" s="855" t="str">
        <f>IF(J70=0,"",J70)</f>
        <v/>
      </c>
      <c r="N70" s="855" t="str">
        <f>IF(K70=0,"",K70)</f>
        <v/>
      </c>
      <c r="O70" s="968"/>
      <c r="P70" s="968"/>
      <c r="Q70" s="968" t="s">
        <v>94</v>
      </c>
      <c r="R70" s="968"/>
      <c r="S70" s="968"/>
      <c r="T70" s="854"/>
      <c r="U70" s="854"/>
      <c r="V70" s="854" t="s">
        <v>2386</v>
      </c>
      <c r="W70" s="854"/>
      <c r="X70" s="854"/>
      <c r="Y70" s="1011"/>
      <c r="Z70" s="857"/>
      <c r="AA70" s="860"/>
      <c r="AB70" s="857"/>
      <c r="AC70" s="857"/>
      <c r="AD70" s="857"/>
    </row>
    <row customHeight="1" ht="36">
      <c r="A71" s="856"/>
      <c r="B71" s="910">
        <v>54</v>
      </c>
      <c r="C71" s="854"/>
      <c r="D71" s="978"/>
      <c r="E71" s="854" t="s">
        <v>2371</v>
      </c>
      <c r="F71" s="854"/>
      <c r="G71" s="854"/>
      <c r="H71" s="902"/>
      <c r="I71" s="1016">
        <f>INDEX(TEMPLATE_NUMBER_POINT_FHD,B71,MATCH(TEMPLATE_SPHERE,TEMPLATE_SPHERE_LIST_FOR_NOTE,0))</f>
        <v>0</v>
      </c>
      <c r="J71" s="1016">
        <f>INDEX(TEMPLATE_DATA_POINT_FHD,B71,MATCH(TEMPLATE_SPHERE,TEMPLATE_SPHERE_LIST_FOR_NOTE,0))</f>
        <v>0</v>
      </c>
      <c r="K71" s="1016">
        <f>INDEX(TEMPLATE_NOTE_POINT_FHD,B71,MATCH(TEMPLATE_SPHERE,TEMPLATE_SPHERE_LIST_FOR_NOTE,0))</f>
        <v>0</v>
      </c>
      <c r="L71" s="855" t="str">
        <f>IF(I71=0,"",I71)</f>
        <v/>
      </c>
      <c r="M71" s="855" t="str">
        <f>IF(J71=0,"",J71)</f>
        <v/>
      </c>
      <c r="N71" s="855" t="str">
        <f>IF(K71=0,"",K71)</f>
        <v/>
      </c>
      <c r="O71" s="968"/>
      <c r="P71" s="968"/>
      <c r="Q71" s="968" t="s">
        <v>122</v>
      </c>
      <c r="R71" s="968"/>
      <c r="S71" s="968"/>
      <c r="T71" s="854"/>
      <c r="U71" s="854"/>
      <c r="V71" s="854" t="s">
        <v>2387</v>
      </c>
      <c r="W71" s="854"/>
      <c r="X71" s="854"/>
      <c r="Y71" s="1011"/>
      <c r="Z71" s="857"/>
      <c r="AA71" s="860"/>
      <c r="AB71" s="857"/>
      <c r="AC71" s="857"/>
      <c r="AD71" s="857"/>
    </row>
    <row customHeight="1" ht="27">
      <c r="A72" s="856"/>
      <c r="B72" s="910">
        <v>55</v>
      </c>
      <c r="C72" s="854"/>
      <c r="D72" s="978"/>
      <c r="E72" s="854" t="s">
        <v>2373</v>
      </c>
      <c r="F72" s="854"/>
      <c r="G72" s="854"/>
      <c r="H72" s="902"/>
      <c r="I72" s="1016">
        <f>INDEX(TEMPLATE_NUMBER_POINT_FHD,B72,MATCH(TEMPLATE_SPHERE,TEMPLATE_SPHERE_LIST_FOR_NOTE,0))</f>
        <v>0</v>
      </c>
      <c r="J72" s="1016">
        <f>INDEX(TEMPLATE_DATA_POINT_FHD,B72,MATCH(TEMPLATE_SPHERE,TEMPLATE_SPHERE_LIST_FOR_NOTE,0))</f>
        <v>0</v>
      </c>
      <c r="K72" s="1016">
        <f>INDEX(TEMPLATE_NOTE_POINT_FHD,B72,MATCH(TEMPLATE_SPHERE,TEMPLATE_SPHERE_LIST_FOR_NOTE,0))</f>
        <v>0</v>
      </c>
      <c r="L72" s="855" t="str">
        <f>IF(I72=0,"",I72)</f>
        <v/>
      </c>
      <c r="M72" s="855" t="str">
        <f>IF(J72=0,"",J72)</f>
        <v/>
      </c>
      <c r="N72" s="855" t="str">
        <f>IF(K72=0,"",K72)</f>
        <v/>
      </c>
      <c r="O72" s="968"/>
      <c r="P72" s="968"/>
      <c r="Q72" s="968" t="s">
        <v>164</v>
      </c>
      <c r="R72" s="968"/>
      <c r="S72" s="968"/>
      <c r="T72" s="854"/>
      <c r="U72" s="854"/>
      <c r="V72" s="854" t="s">
        <v>2388</v>
      </c>
      <c r="W72" s="854"/>
      <c r="X72" s="854"/>
      <c r="Y72" s="1011"/>
      <c r="Z72" s="857"/>
      <c r="AA72" s="860"/>
      <c r="AB72" s="857"/>
      <c r="AC72" s="857"/>
      <c r="AD72" s="857"/>
    </row>
    <row customHeight="1" ht="36">
      <c r="A73" s="856"/>
      <c r="B73" s="910">
        <v>56</v>
      </c>
      <c r="C73" s="854"/>
      <c r="D73" s="978"/>
      <c r="E73" s="854" t="s">
        <v>2375</v>
      </c>
      <c r="F73" s="854"/>
      <c r="G73" s="854"/>
      <c r="H73" s="902"/>
      <c r="I73" s="1016">
        <f>INDEX(TEMPLATE_NUMBER_POINT_FHD,B73,MATCH(TEMPLATE_SPHERE,TEMPLATE_SPHERE_LIST_FOR_NOTE,0))</f>
        <v>0</v>
      </c>
      <c r="J73" s="1016">
        <f>INDEX(TEMPLATE_DATA_POINT_FHD,B73,MATCH(TEMPLATE_SPHERE,TEMPLATE_SPHERE_LIST_FOR_NOTE,0))</f>
        <v>0</v>
      </c>
      <c r="K73" s="1016">
        <f>INDEX(TEMPLATE_NOTE_POINT_FHD,B73,MATCH(TEMPLATE_SPHERE,TEMPLATE_SPHERE_LIST_FOR_NOTE,0))</f>
        <v>0</v>
      </c>
      <c r="L73" s="855" t="str">
        <f>IF(I73=0,"",I73)</f>
        <v/>
      </c>
      <c r="M73" s="855" t="str">
        <f>IF(J73=0,"",J73)</f>
        <v/>
      </c>
      <c r="N73" s="855" t="str">
        <f>IF(K73=0,"",K73)</f>
        <v/>
      </c>
      <c r="O73" s="968"/>
      <c r="P73" s="968"/>
      <c r="Q73" s="968" t="s">
        <v>165</v>
      </c>
      <c r="R73" s="968"/>
      <c r="S73" s="968"/>
      <c r="T73" s="854"/>
      <c r="U73" s="854"/>
      <c r="V73" s="854" t="s">
        <v>2389</v>
      </c>
      <c r="W73" s="854"/>
      <c r="X73" s="854"/>
      <c r="Y73" s="1011"/>
      <c r="Z73" s="857"/>
      <c r="AA73" s="860"/>
      <c r="AB73" s="857"/>
      <c r="AC73" s="857"/>
      <c r="AD73" s="857"/>
    </row>
    <row customHeight="1" ht="18">
      <c r="A74" s="856"/>
      <c r="B74" s="910">
        <v>57</v>
      </c>
      <c r="C74" s="854"/>
      <c r="D74" s="978"/>
      <c r="E74" s="854" t="s">
        <v>2384</v>
      </c>
      <c r="F74" s="854"/>
      <c r="G74" s="854"/>
      <c r="H74" s="902"/>
      <c r="I74" s="1016">
        <f>INDEX(TEMPLATE_NUMBER_POINT_FHD,B74,MATCH(TEMPLATE_SPHERE,TEMPLATE_SPHERE_LIST_FOR_NOTE,0))</f>
        <v>0</v>
      </c>
      <c r="J74" s="1016">
        <f>INDEX(TEMPLATE_DATA_POINT_FHD,B74,MATCH(TEMPLATE_SPHERE,TEMPLATE_SPHERE_LIST_FOR_NOTE,0))</f>
        <v>0</v>
      </c>
      <c r="K74" s="1016">
        <f>INDEX(TEMPLATE_NOTE_POINT_FHD,B74,MATCH(TEMPLATE_SPHERE,TEMPLATE_SPHERE_LIST_FOR_NOTE,0))</f>
        <v>0</v>
      </c>
      <c r="L74" s="855" t="str">
        <f>IF(I74=0,"",I74)</f>
        <v/>
      </c>
      <c r="M74" s="855" t="str">
        <f>IF(J74=0,"",J74)</f>
        <v/>
      </c>
      <c r="N74" s="855" t="str">
        <f>IF(K74=0,"",K74)</f>
        <v/>
      </c>
      <c r="O74" s="968"/>
      <c r="P74" s="968"/>
      <c r="Q74" s="968" t="s">
        <v>166</v>
      </c>
      <c r="R74" s="968"/>
      <c r="S74" s="968"/>
      <c r="T74" s="854"/>
      <c r="U74" s="854"/>
      <c r="V74" s="854" t="s">
        <v>2390</v>
      </c>
      <c r="W74" s="854"/>
      <c r="X74" s="854"/>
      <c r="Y74" s="1011"/>
      <c r="Z74" s="857"/>
      <c r="AA74" s="860"/>
      <c r="AB74" s="857"/>
      <c r="AC74" s="857"/>
      <c r="AD74" s="857"/>
    </row>
    <row customHeight="1" ht="18">
      <c r="A75" s="856"/>
      <c r="B75" s="910">
        <v>58</v>
      </c>
      <c r="C75" s="854"/>
      <c r="D75" s="978"/>
      <c r="E75" s="854"/>
      <c r="F75" s="854" t="s">
        <v>2369</v>
      </c>
      <c r="G75" s="854"/>
      <c r="H75" s="902"/>
      <c r="I75" s="1016">
        <f>INDEX(TEMPLATE_NUMBER_POINT_FHD,B75,MATCH(TEMPLATE_SPHERE,TEMPLATE_SPHERE_LIST_FOR_NOTE,0))</f>
        <v>0</v>
      </c>
      <c r="J75" s="1016">
        <f>INDEX(TEMPLATE_DATA_POINT_FHD,B75,MATCH(TEMPLATE_SPHERE,TEMPLATE_SPHERE_LIST_FOR_NOTE,0))</f>
        <v>0</v>
      </c>
      <c r="K75" s="1016">
        <f>INDEX(TEMPLATE_NOTE_POINT_FHD,B75,MATCH(TEMPLATE_SPHERE,TEMPLATE_SPHERE_LIST_FOR_NOTE,0))</f>
        <v>0</v>
      </c>
      <c r="L75" s="855" t="str">
        <f>IF(I75=0,"",I75)</f>
        <v/>
      </c>
      <c r="M75" s="855" t="str">
        <f>IF(J75=0,"",J75)</f>
        <v/>
      </c>
      <c r="N75" s="855" t="str">
        <f>IF(K75=0,"",K75)</f>
        <v/>
      </c>
      <c r="O75" s="968"/>
      <c r="P75" s="968"/>
      <c r="Q75" s="968"/>
      <c r="R75" s="968" t="s">
        <v>94</v>
      </c>
      <c r="S75" s="968"/>
      <c r="T75" s="854"/>
      <c r="U75" s="854"/>
      <c r="V75" s="854"/>
      <c r="W75" s="854" t="s">
        <v>2391</v>
      </c>
      <c r="X75" s="854"/>
      <c r="Y75" s="1011"/>
      <c r="Z75" s="857"/>
      <c r="AA75" s="860"/>
      <c r="AB75" s="857"/>
      <c r="AC75" s="857"/>
      <c r="AD75" s="857"/>
    </row>
    <row customHeight="1" ht="36">
      <c r="A76" s="856"/>
      <c r="B76" s="910">
        <v>59</v>
      </c>
      <c r="C76" s="854"/>
      <c r="D76" s="978"/>
      <c r="E76" s="854"/>
      <c r="F76" s="854" t="s">
        <v>2371</v>
      </c>
      <c r="G76" s="854"/>
      <c r="H76" s="902"/>
      <c r="I76" s="1016">
        <f>INDEX(TEMPLATE_NUMBER_POINT_FHD,B76,MATCH(TEMPLATE_SPHERE,TEMPLATE_SPHERE_LIST_FOR_NOTE,0))</f>
        <v>0</v>
      </c>
      <c r="J76" s="1016">
        <f>INDEX(TEMPLATE_DATA_POINT_FHD,B76,MATCH(TEMPLATE_SPHERE,TEMPLATE_SPHERE_LIST_FOR_NOTE,0))</f>
        <v>0</v>
      </c>
      <c r="K76" s="1016">
        <f>INDEX(TEMPLATE_NOTE_POINT_FHD,B76,MATCH(TEMPLATE_SPHERE,TEMPLATE_SPHERE_LIST_FOR_NOTE,0))</f>
        <v>0</v>
      </c>
      <c r="L76" s="855" t="str">
        <f>IF(I76=0,"",I76)</f>
        <v/>
      </c>
      <c r="M76" s="855" t="str">
        <f>IF(J76=0,"",J76)</f>
        <v/>
      </c>
      <c r="N76" s="855" t="str">
        <f>IF(K76=0,"",K76)</f>
        <v/>
      </c>
      <c r="O76" s="968"/>
      <c r="P76" s="968"/>
      <c r="Q76" s="968"/>
      <c r="R76" s="968" t="s">
        <v>122</v>
      </c>
      <c r="S76" s="968"/>
      <c r="T76" s="854"/>
      <c r="U76" s="854"/>
      <c r="V76" s="854"/>
      <c r="W76" s="854" t="s">
        <v>2392</v>
      </c>
      <c r="X76" s="854"/>
      <c r="Y76" s="1011"/>
      <c r="Z76" s="857"/>
      <c r="AA76" s="860"/>
      <c r="AB76" s="857"/>
      <c r="AC76" s="857"/>
      <c r="AD76" s="857"/>
    </row>
    <row customHeight="1" ht="18">
      <c r="A77" s="856"/>
      <c r="B77" s="910">
        <v>60</v>
      </c>
      <c r="C77" s="854"/>
      <c r="D77" s="978"/>
      <c r="E77" s="854"/>
      <c r="F77" s="854" t="s">
        <v>2373</v>
      </c>
      <c r="G77" s="854"/>
      <c r="H77" s="902"/>
      <c r="I77" s="1016">
        <f>INDEX(TEMPLATE_NUMBER_POINT_FHD,B77,MATCH(TEMPLATE_SPHERE,TEMPLATE_SPHERE_LIST_FOR_NOTE,0))</f>
        <v>0</v>
      </c>
      <c r="J77" s="1016">
        <f>INDEX(TEMPLATE_DATA_POINT_FHD,B77,MATCH(TEMPLATE_SPHERE,TEMPLATE_SPHERE_LIST_FOR_NOTE,0))</f>
        <v>0</v>
      </c>
      <c r="K77" s="1016">
        <f>INDEX(TEMPLATE_NOTE_POINT_FHD,B77,MATCH(TEMPLATE_SPHERE,TEMPLATE_SPHERE_LIST_FOR_NOTE,0))</f>
        <v>0</v>
      </c>
      <c r="L77" s="855" t="str">
        <f>IF(I77=0,"",I77)</f>
        <v/>
      </c>
      <c r="M77" s="855" t="str">
        <f>IF(J77=0,"",J77)</f>
        <v/>
      </c>
      <c r="N77" s="855" t="str">
        <f>IF(K77=0,"",K77)</f>
        <v/>
      </c>
      <c r="O77" s="968"/>
      <c r="P77" s="968"/>
      <c r="Q77" s="968"/>
      <c r="R77" s="968" t="s">
        <v>164</v>
      </c>
      <c r="S77" s="968"/>
      <c r="T77" s="854"/>
      <c r="U77" s="854"/>
      <c r="V77" s="854"/>
      <c r="W77" s="854" t="s">
        <v>2393</v>
      </c>
      <c r="X77" s="854"/>
      <c r="Y77" s="1011"/>
      <c r="Z77" s="857"/>
      <c r="AA77" s="860"/>
      <c r="AB77" s="857"/>
      <c r="AC77" s="857"/>
      <c r="AD77" s="857"/>
    </row>
    <row customHeight="1" ht="72">
      <c r="A78" s="856"/>
      <c r="B78" s="910">
        <v>61</v>
      </c>
      <c r="C78" s="854" t="s">
        <v>2369</v>
      </c>
      <c r="D78" s="978"/>
      <c r="E78" s="854"/>
      <c r="F78" s="854"/>
      <c r="G78" s="854"/>
      <c r="H78" s="902"/>
      <c r="I78" s="1016" t="str">
        <f>INDEX(TEMPLATE_NUMBER_POINT_FHD,B78,MATCH(TEMPLATE_SPHERE,TEMPLATE_SPHERE_LIST_FOR_NOTE,0))</f>
        <v>7</v>
      </c>
      <c r="J78" s="101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5" t="str">
        <f>IF(I78=0,"",I78)</f>
        <v>7</v>
      </c>
      <c r="M78" s="85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8" t="s">
        <v>94</v>
      </c>
      <c r="P78" s="968"/>
      <c r="Q78" s="968"/>
      <c r="R78" s="968"/>
      <c r="S78" s="968"/>
      <c r="T78" s="854" t="s">
        <v>709</v>
      </c>
      <c r="U78" s="854"/>
      <c r="V78" s="854"/>
      <c r="W78" s="854"/>
      <c r="X78" s="854"/>
      <c r="Y78" s="1011"/>
      <c r="Z78" s="857" t="s">
        <v>2394</v>
      </c>
      <c r="AA78" s="860"/>
      <c r="AB78" s="857"/>
      <c r="AC78" s="857"/>
      <c r="AD78" s="857"/>
    </row>
    <row customHeight="1" ht="36">
      <c r="A79" s="856"/>
      <c r="B79" s="910">
        <v>62</v>
      </c>
      <c r="C79" s="854" t="s">
        <v>2371</v>
      </c>
      <c r="D79" s="978"/>
      <c r="E79" s="854"/>
      <c r="F79" s="854"/>
      <c r="G79" s="854"/>
      <c r="H79" s="902"/>
      <c r="I79" s="1016" t="str">
        <f>INDEX(TEMPLATE_NUMBER_POINT_FHD,B79,MATCH(TEMPLATE_SPHERE,TEMPLATE_SPHERE_LIST_FOR_NOTE,0))</f>
        <v>8</v>
      </c>
      <c r="J79" s="101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5" t="str">
        <f>IF(I79=0,"",I79)</f>
        <v>8</v>
      </c>
      <c r="M79" s="855" t="str">
        <f>IF(J79=0,"",J79)</f>
        <v>Тепловая нагрузка по договорам, заключенным в рамках осуществления регулируемых видов деятельности</v>
      </c>
      <c r="N79" s="85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8" t="s">
        <v>122</v>
      </c>
      <c r="P79" s="968"/>
      <c r="Q79" s="968"/>
      <c r="R79" s="968"/>
      <c r="S79" s="968"/>
      <c r="T79" s="854" t="s">
        <v>2395</v>
      </c>
      <c r="U79" s="854"/>
      <c r="V79" s="854"/>
      <c r="W79" s="854"/>
      <c r="X79" s="854"/>
      <c r="Y79" s="1011"/>
      <c r="Z79" s="857" t="s">
        <v>2396</v>
      </c>
      <c r="AA79" s="860"/>
      <c r="AB79" s="857"/>
      <c r="AC79" s="857"/>
      <c r="AD79" s="857"/>
    </row>
    <row customHeight="1" ht="45">
      <c r="A80" s="856"/>
      <c r="B80" s="910">
        <v>63</v>
      </c>
      <c r="C80" s="854" t="s">
        <v>2373</v>
      </c>
      <c r="D80" s="978"/>
      <c r="E80" s="854"/>
      <c r="F80" s="854"/>
      <c r="G80" s="854"/>
      <c r="H80" s="902"/>
      <c r="I80" s="1016" t="str">
        <f>INDEX(TEMPLATE_NUMBER_POINT_FHD,B80,MATCH(TEMPLATE_SPHERE,TEMPLATE_SPHERE_LIST_FOR_NOTE,0))</f>
        <v>9</v>
      </c>
      <c r="J80" s="101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5" t="str">
        <f>IF(I80=0,"",I80)</f>
        <v>9</v>
      </c>
      <c r="M80" s="855" t="str">
        <f>IF(J80=0,"",J80)</f>
        <v>Объем вырабатываемой регулируемой организацией тепловой энергии в рамках осуществления регулируемых видов деятельности</v>
      </c>
      <c r="N80" s="85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8" t="s">
        <v>164</v>
      </c>
      <c r="P80" s="968"/>
      <c r="Q80" s="968"/>
      <c r="R80" s="968"/>
      <c r="S80" s="968"/>
      <c r="T80" s="854" t="s">
        <v>2397</v>
      </c>
      <c r="U80" s="854"/>
      <c r="V80" s="854"/>
      <c r="W80" s="854"/>
      <c r="X80" s="854"/>
      <c r="Y80" s="1011"/>
      <c r="Z80" s="857" t="s">
        <v>2398</v>
      </c>
      <c r="AA80" s="860"/>
      <c r="AB80" s="857"/>
      <c r="AC80" s="857"/>
      <c r="AD80" s="857"/>
    </row>
    <row customHeight="1" ht="36">
      <c r="A81" s="856"/>
      <c r="B81" s="910">
        <v>64</v>
      </c>
      <c r="C81" s="854" t="s">
        <v>2375</v>
      </c>
      <c r="D81" s="978"/>
      <c r="E81" s="854"/>
      <c r="F81" s="854"/>
      <c r="G81" s="854"/>
      <c r="H81" s="902"/>
      <c r="I81" s="1016" t="str">
        <f>INDEX(TEMPLATE_NUMBER_POINT_FHD,B81,MATCH(TEMPLATE_SPHERE,TEMPLATE_SPHERE_LIST_FOR_NOTE,0))</f>
        <v>9.1</v>
      </c>
      <c r="J81" s="101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6" t="str">
        <f>INDEX(TEMPLATE_NOTE_POINT_FHD,B81,MATCH(TEMPLATE_SPHERE,TEMPLATE_SPHERE_LIST_FOR_NOTE,0))</f>
        <v>Информация указывается только едиными теплоснабжающими организациями.</v>
      </c>
      <c r="L81" s="855" t="str">
        <f>IF(I81=0,"",I81)</f>
        <v>9.1</v>
      </c>
      <c r="M81" s="855" t="str">
        <f>IF(J81=0,"",J81)</f>
        <v>Объем приобретаемой регулируемой организацией тепловой энергии в рамках осуществления регулируемых видов деятельности</v>
      </c>
      <c r="N81" s="855" t="str">
        <f>IF(K81=0,"",K81)</f>
        <v>Информация указывается только едиными теплоснабжающими организациями.</v>
      </c>
      <c r="O81" s="968" t="s">
        <v>2284</v>
      </c>
      <c r="P81" s="968"/>
      <c r="Q81" s="968"/>
      <c r="R81" s="968"/>
      <c r="S81" s="968"/>
      <c r="T81" s="854" t="s">
        <v>2399</v>
      </c>
      <c r="U81" s="854"/>
      <c r="V81" s="854"/>
      <c r="W81" s="854"/>
      <c r="X81" s="854"/>
      <c r="Y81" s="1011"/>
      <c r="Z81" s="857" t="s">
        <v>2400</v>
      </c>
      <c r="AA81" s="860"/>
      <c r="AB81" s="857"/>
      <c r="AC81" s="857"/>
      <c r="AD81" s="857"/>
    </row>
    <row customHeight="1" ht="90">
      <c r="A82" s="856"/>
      <c r="B82" s="910">
        <v>65</v>
      </c>
      <c r="C82" s="854" t="s">
        <v>2384</v>
      </c>
      <c r="D82" s="978"/>
      <c r="E82" s="854"/>
      <c r="F82" s="854"/>
      <c r="G82" s="854"/>
      <c r="H82" s="902"/>
      <c r="I82" s="1016" t="str">
        <f>INDEX(TEMPLATE_NUMBER_POINT_FHD,B82,MATCH(TEMPLATE_SPHERE,TEMPLATE_SPHERE_LIST_FOR_NOTE,0))</f>
        <v>10</v>
      </c>
      <c r="J82" s="101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5" t="str">
        <f>IF(I82=0,"",I82)</f>
        <v>10</v>
      </c>
      <c r="M82" s="85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8" t="s">
        <v>165</v>
      </c>
      <c r="P82" s="968"/>
      <c r="Q82" s="968"/>
      <c r="R82" s="968"/>
      <c r="S82" s="968"/>
      <c r="T82" s="854" t="s">
        <v>2401</v>
      </c>
      <c r="U82" s="854"/>
      <c r="V82" s="854"/>
      <c r="W82" s="854"/>
      <c r="X82" s="854"/>
      <c r="Y82" s="1011"/>
      <c r="Z82" s="857" t="s">
        <v>2402</v>
      </c>
      <c r="AA82" s="860"/>
      <c r="AB82" s="857"/>
      <c r="AC82" s="857"/>
      <c r="AD82" s="857"/>
    </row>
    <row customHeight="1" ht="9">
      <c r="A83" s="856"/>
      <c r="B83" s="910">
        <v>66</v>
      </c>
      <c r="C83" s="854"/>
      <c r="D83" s="978"/>
      <c r="E83" s="854"/>
      <c r="F83" s="854"/>
      <c r="G83" s="854"/>
      <c r="H83" s="902"/>
      <c r="I83" s="1016" t="str">
        <f>INDEX(TEMPLATE_NUMBER_POINT_FHD,B83,MATCH(TEMPLATE_SPHERE,TEMPLATE_SPHERE_LIST_FOR_NOTE,0))</f>
        <v>10.1</v>
      </c>
      <c r="J83" s="1016" t="str">
        <f>INDEX(TEMPLATE_DATA_POINT_FHD,B83,MATCH(TEMPLATE_SPHERE,TEMPLATE_SPHERE_LIST_FOR_NOTE,0))</f>
        <v>По приборам учёта </v>
      </c>
      <c r="K83" s="1016">
        <f>INDEX(TEMPLATE_NOTE_POINT_FHD,B83,MATCH(TEMPLATE_SPHERE,TEMPLATE_SPHERE_LIST_FOR_NOTE,0))</f>
        <v>0</v>
      </c>
      <c r="L83" s="855" t="str">
        <f>IF(I83=0,"",I83)</f>
        <v>10.1</v>
      </c>
      <c r="M83" s="855" t="str">
        <f>IF(J83=0,"",J83)</f>
        <v>По приборам учёта </v>
      </c>
      <c r="N83" s="855" t="str">
        <f>IF(K83=0,"",K83)</f>
        <v/>
      </c>
      <c r="O83" s="968" t="s">
        <v>2293</v>
      </c>
      <c r="P83" s="968"/>
      <c r="Q83" s="968"/>
      <c r="R83" s="968"/>
      <c r="S83" s="968"/>
      <c r="T83" s="854" t="s">
        <v>2403</v>
      </c>
      <c r="U83" s="854"/>
      <c r="V83" s="854"/>
      <c r="W83" s="854"/>
      <c r="X83" s="854"/>
      <c r="Y83" s="1011"/>
      <c r="Z83" s="857"/>
      <c r="AA83" s="860"/>
      <c r="AB83" s="857"/>
      <c r="AC83" s="857"/>
      <c r="AD83" s="857"/>
    </row>
    <row customHeight="1" ht="54">
      <c r="A84" s="856"/>
      <c r="B84" s="910">
        <v>67</v>
      </c>
      <c r="C84" s="854"/>
      <c r="D84" s="978"/>
      <c r="E84" s="854"/>
      <c r="F84" s="854"/>
      <c r="G84" s="854"/>
      <c r="H84" s="902"/>
      <c r="I84" s="1016" t="str">
        <f>INDEX(TEMPLATE_NUMBER_POINT_FHD,B84,MATCH(TEMPLATE_SPHERE,TEMPLATE_SPHERE_LIST_FOR_NOTE,0))</f>
        <v>10.1.1</v>
      </c>
      <c r="J84" s="101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6">
        <f>INDEX(TEMPLATE_NOTE_POINT_FHD,B84,MATCH(TEMPLATE_SPHERE,TEMPLATE_SPHERE_LIST_FOR_NOTE,0))</f>
        <v>0</v>
      </c>
      <c r="L84" s="855" t="str">
        <f>IF(I84=0,"",I84)</f>
        <v>10.1.1</v>
      </c>
      <c r="M84" s="85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5" t="str">
        <f>IF(K84=0,"",K84)</f>
        <v/>
      </c>
      <c r="O84" s="968" t="s">
        <v>2404</v>
      </c>
      <c r="P84" s="968"/>
      <c r="Q84" s="968"/>
      <c r="R84" s="968"/>
      <c r="S84" s="968"/>
      <c r="T84" s="854" t="s">
        <v>2405</v>
      </c>
      <c r="U84" s="854"/>
      <c r="V84" s="854"/>
      <c r="W84" s="854"/>
      <c r="X84" s="854"/>
      <c r="Y84" s="1011"/>
      <c r="Z84" s="857"/>
      <c r="AA84" s="860"/>
      <c r="AB84" s="857"/>
      <c r="AC84" s="857"/>
      <c r="AD84" s="857"/>
    </row>
    <row customHeight="1" ht="9">
      <c r="A85" s="856"/>
      <c r="B85" s="910">
        <v>68</v>
      </c>
      <c r="C85" s="854"/>
      <c r="D85" s="978"/>
      <c r="E85" s="854"/>
      <c r="F85" s="854"/>
      <c r="G85" s="854"/>
      <c r="H85" s="902"/>
      <c r="I85" s="1016" t="str">
        <f>INDEX(TEMPLATE_NUMBER_POINT_FHD,B85,MATCH(TEMPLATE_SPHERE,TEMPLATE_SPHERE_LIST_FOR_NOTE,0))</f>
        <v>10.2</v>
      </c>
      <c r="J85" s="1016" t="str">
        <f>INDEX(TEMPLATE_DATA_POINT_FHD,B85,MATCH(TEMPLATE_SPHERE,TEMPLATE_SPHERE_LIST_FOR_NOTE,0))</f>
        <v>Расчётным путём</v>
      </c>
      <c r="K85" s="1016">
        <f>INDEX(TEMPLATE_NOTE_POINT_FHD,B85,MATCH(TEMPLATE_SPHERE,TEMPLATE_SPHERE_LIST_FOR_NOTE,0))</f>
        <v>0</v>
      </c>
      <c r="L85" s="855" t="str">
        <f>IF(I85=0,"",I85)</f>
        <v>10.2</v>
      </c>
      <c r="M85" s="855" t="str">
        <f>IF(J85=0,"",J85)</f>
        <v>Расчётным путём</v>
      </c>
      <c r="N85" s="855" t="str">
        <f>IF(K85=0,"",K85)</f>
        <v/>
      </c>
      <c r="O85" s="968" t="s">
        <v>2297</v>
      </c>
      <c r="P85" s="968"/>
      <c r="Q85" s="968"/>
      <c r="R85" s="968"/>
      <c r="S85" s="968"/>
      <c r="T85" s="854" t="s">
        <v>2406</v>
      </c>
      <c r="U85" s="854"/>
      <c r="V85" s="854"/>
      <c r="W85" s="854"/>
      <c r="X85" s="854"/>
      <c r="Y85" s="1011"/>
      <c r="Z85" s="857"/>
      <c r="AA85" s="860"/>
      <c r="AB85" s="857"/>
      <c r="AC85" s="857"/>
      <c r="AD85" s="857"/>
    </row>
    <row customHeight="1" ht="27">
      <c r="A86" s="856"/>
      <c r="B86" s="910">
        <v>69</v>
      </c>
      <c r="C86" s="854"/>
      <c r="D86" s="978"/>
      <c r="E86" s="854"/>
      <c r="F86" s="854"/>
      <c r="G86" s="854"/>
      <c r="H86" s="902"/>
      <c r="I86" s="1016" t="str">
        <f>INDEX(TEMPLATE_NUMBER_POINT_FHD,B86,MATCH(TEMPLATE_SPHERE,TEMPLATE_SPHERE_LIST_FOR_NOTE,0))</f>
        <v>10.3</v>
      </c>
      <c r="J86" s="1016" t="str">
        <f>INDEX(TEMPLATE_DATA_POINT_FHD,B86,MATCH(TEMPLATE_SPHERE,TEMPLATE_SPHERE_LIST_FOR_NOTE,0))</f>
        <v>По нормативам потребления коммунальных услуг и нормативам потребления коммунальных ресурсов</v>
      </c>
      <c r="K86" s="1016">
        <f>INDEX(TEMPLATE_NOTE_POINT_FHD,B86,MATCH(TEMPLATE_SPHERE,TEMPLATE_SPHERE_LIST_FOR_NOTE,0))</f>
        <v>0</v>
      </c>
      <c r="L86" s="855" t="str">
        <f>IF(I86=0,"",I86)</f>
        <v>10.3</v>
      </c>
      <c r="M86" s="855" t="str">
        <f>IF(J86=0,"",J86)</f>
        <v>По нормативам потребления коммунальных услуг и нормативам потребления коммунальных ресурсов</v>
      </c>
      <c r="N86" s="855" t="str">
        <f>IF(K86=0,"",K86)</f>
        <v/>
      </c>
      <c r="O86" s="968" t="s">
        <v>2407</v>
      </c>
      <c r="P86" s="968"/>
      <c r="Q86" s="968"/>
      <c r="R86" s="968"/>
      <c r="S86" s="968"/>
      <c r="T86" s="854" t="s">
        <v>2408</v>
      </c>
      <c r="U86" s="854"/>
      <c r="V86" s="854"/>
      <c r="W86" s="854"/>
      <c r="X86" s="854"/>
      <c r="Y86" s="1011"/>
      <c r="Z86" s="857"/>
      <c r="AA86" s="860"/>
      <c r="AB86" s="857"/>
      <c r="AC86" s="857"/>
      <c r="AD86" s="857"/>
    </row>
    <row customHeight="1" ht="36">
      <c r="A87" s="856"/>
      <c r="B87" s="910">
        <v>70</v>
      </c>
      <c r="C87" s="854" t="s">
        <v>2409</v>
      </c>
      <c r="D87" s="978"/>
      <c r="E87" s="854"/>
      <c r="F87" s="854"/>
      <c r="G87" s="854"/>
      <c r="H87" s="902"/>
      <c r="I87" s="1016" t="str">
        <f>INDEX(TEMPLATE_NUMBER_POINT_FHD,B87,MATCH(TEMPLATE_SPHERE,TEMPLATE_SPHERE_LIST_FOR_NOTE,0))</f>
        <v>11</v>
      </c>
      <c r="J87" s="101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6">
        <f>INDEX(TEMPLATE_NOTE_POINT_FHD,B87,MATCH(TEMPLATE_SPHERE,TEMPLATE_SPHERE_LIST_FOR_NOTE,0))</f>
        <v>0</v>
      </c>
      <c r="L87" s="855" t="str">
        <f>IF(I87=0,"",I87)</f>
        <v>11</v>
      </c>
      <c r="M87" s="85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5" t="str">
        <f>IF(K87=0,"",K87)</f>
        <v/>
      </c>
      <c r="O87" s="968" t="s">
        <v>166</v>
      </c>
      <c r="P87" s="968"/>
      <c r="Q87" s="968"/>
      <c r="R87" s="968"/>
      <c r="S87" s="968"/>
      <c r="T87" s="854" t="s">
        <v>2410</v>
      </c>
      <c r="U87" s="854"/>
      <c r="V87" s="854"/>
      <c r="W87" s="854"/>
      <c r="X87" s="854"/>
      <c r="Y87" s="1011"/>
      <c r="Z87" s="857"/>
      <c r="AA87" s="860"/>
      <c r="AB87" s="857"/>
      <c r="AC87" s="857"/>
      <c r="AD87" s="857"/>
    </row>
    <row customHeight="1" ht="18">
      <c r="A88" s="856"/>
      <c r="B88" s="910">
        <v>71</v>
      </c>
      <c r="C88" s="854" t="s">
        <v>2411</v>
      </c>
      <c r="D88" s="978"/>
      <c r="E88" s="854"/>
      <c r="F88" s="854"/>
      <c r="G88" s="854"/>
      <c r="H88" s="902"/>
      <c r="I88" s="1016" t="str">
        <f>INDEX(TEMPLATE_NUMBER_POINT_FHD,B88,MATCH(TEMPLATE_SPHERE,TEMPLATE_SPHERE_LIST_FOR_NOTE,0))</f>
        <v>12</v>
      </c>
      <c r="J88" s="1016" t="str">
        <f>INDEX(TEMPLATE_DATA_POINT_FHD,B88,MATCH(TEMPLATE_SPHERE,TEMPLATE_SPHERE_LIST_FOR_NOTE,0))</f>
        <v>Фактический объем потерь при передаче тепловой энергии</v>
      </c>
      <c r="K88" s="1016">
        <f>INDEX(TEMPLATE_NOTE_POINT_FHD,B88,MATCH(TEMPLATE_SPHERE,TEMPLATE_SPHERE_LIST_FOR_NOTE,0))</f>
        <v>0</v>
      </c>
      <c r="L88" s="855" t="str">
        <f>IF(I88=0,"",I88)</f>
        <v>12</v>
      </c>
      <c r="M88" s="855" t="str">
        <f>IF(J88=0,"",J88)</f>
        <v>Фактический объем потерь при передаче тепловой энергии</v>
      </c>
      <c r="N88" s="855" t="str">
        <f>IF(K88=0,"",K88)</f>
        <v/>
      </c>
      <c r="O88" s="968" t="s">
        <v>167</v>
      </c>
      <c r="P88" s="968"/>
      <c r="Q88" s="968"/>
      <c r="R88" s="968"/>
      <c r="S88" s="968"/>
      <c r="T88" s="854" t="s">
        <v>741</v>
      </c>
      <c r="U88" s="854"/>
      <c r="V88" s="854"/>
      <c r="W88" s="854"/>
      <c r="X88" s="854"/>
      <c r="Y88" s="1011"/>
      <c r="Z88" s="857"/>
      <c r="AA88" s="860"/>
      <c r="AB88" s="857"/>
      <c r="AC88" s="857"/>
      <c r="AD88" s="857"/>
    </row>
    <row customHeight="1" ht="18">
      <c r="A89" s="856"/>
      <c r="B89" s="910">
        <v>72</v>
      </c>
      <c r="C89" s="854" t="s">
        <v>2412</v>
      </c>
      <c r="D89" s="978" t="s">
        <v>2409</v>
      </c>
      <c r="E89" s="854" t="s">
        <v>2409</v>
      </c>
      <c r="F89" s="854" t="s">
        <v>2375</v>
      </c>
      <c r="G89" s="854"/>
      <c r="H89" s="902"/>
      <c r="I89" s="1016" t="str">
        <f>INDEX(TEMPLATE_NUMBER_POINT_FHD,B89,MATCH(TEMPLATE_SPHERE,TEMPLATE_SPHERE_LIST_FOR_NOTE,0))</f>
        <v>13</v>
      </c>
      <c r="J89" s="1016" t="str">
        <f>INDEX(TEMPLATE_DATA_POINT_FHD,B89,MATCH(TEMPLATE_SPHERE,TEMPLATE_SPHERE_LIST_FOR_NOTE,0))</f>
        <v>Среднесписочная численность основного производственного персонала</v>
      </c>
      <c r="K89" s="1016">
        <f>INDEX(TEMPLATE_NOTE_POINT_FHD,B89,MATCH(TEMPLATE_SPHERE,TEMPLATE_SPHERE_LIST_FOR_NOTE,0))</f>
        <v>0</v>
      </c>
      <c r="L89" s="855" t="str">
        <f>IF(I89=0,"",I89)</f>
        <v>13</v>
      </c>
      <c r="M89" s="855" t="str">
        <f>IF(J89=0,"",J89)</f>
        <v>Среднесписочная численность основного производственного персонала</v>
      </c>
      <c r="N89" s="855" t="str">
        <f>IF(K89=0,"",K89)</f>
        <v/>
      </c>
      <c r="O89" s="968" t="s">
        <v>168</v>
      </c>
      <c r="P89" s="968" t="s">
        <v>167</v>
      </c>
      <c r="Q89" s="968" t="s">
        <v>167</v>
      </c>
      <c r="R89" s="968" t="s">
        <v>165</v>
      </c>
      <c r="S89" s="968"/>
      <c r="T89" s="854" t="s">
        <v>749</v>
      </c>
      <c r="U89" s="854" t="s">
        <v>749</v>
      </c>
      <c r="V89" s="854" t="s">
        <v>749</v>
      </c>
      <c r="W89" s="854" t="s">
        <v>749</v>
      </c>
      <c r="X89" s="854"/>
      <c r="Y89" s="1011"/>
      <c r="Z89" s="857"/>
      <c r="AA89" s="860"/>
      <c r="AB89" s="857"/>
      <c r="AC89" s="857"/>
      <c r="AD89" s="857"/>
    </row>
    <row customHeight="1" ht="27">
      <c r="A90" s="856"/>
      <c r="B90" s="910">
        <v>73</v>
      </c>
      <c r="C90" s="854" t="s">
        <v>2413</v>
      </c>
      <c r="D90" s="978"/>
      <c r="E90" s="854"/>
      <c r="F90" s="854"/>
      <c r="G90" s="854"/>
      <c r="H90" s="902"/>
      <c r="I90" s="1016" t="str">
        <f>INDEX(TEMPLATE_NUMBER_POINT_FHD,B90,MATCH(TEMPLATE_SPHERE,TEMPLATE_SPHERE_LIST_FOR_NOTE,0))</f>
        <v>14</v>
      </c>
      <c r="J90" s="1016" t="str">
        <f>INDEX(TEMPLATE_DATA_POINT_FHD,B90,MATCH(TEMPLATE_SPHERE,TEMPLATE_SPHERE_LIST_FOR_NOTE,0))</f>
        <v>Среднесписочная численность административно-управленческого персонала</v>
      </c>
      <c r="K90" s="1016">
        <f>INDEX(TEMPLATE_NOTE_POINT_FHD,B90,MATCH(TEMPLATE_SPHERE,TEMPLATE_SPHERE_LIST_FOR_NOTE,0))</f>
        <v>0</v>
      </c>
      <c r="L90" s="855" t="str">
        <f>IF(I90=0,"",I90)</f>
        <v>14</v>
      </c>
      <c r="M90" s="855" t="str">
        <f>IF(J90=0,"",J90)</f>
        <v>Среднесписочная численность административно-управленческого персонала</v>
      </c>
      <c r="N90" s="855" t="str">
        <f>IF(K90=0,"",K90)</f>
        <v/>
      </c>
      <c r="O90" s="968" t="s">
        <v>169</v>
      </c>
      <c r="P90" s="968"/>
      <c r="Q90" s="968"/>
      <c r="R90" s="968"/>
      <c r="S90" s="968"/>
      <c r="T90" s="854" t="s">
        <v>751</v>
      </c>
      <c r="U90" s="854"/>
      <c r="V90" s="854"/>
      <c r="W90" s="854"/>
      <c r="X90" s="854"/>
      <c r="Y90" s="1011"/>
      <c r="Z90" s="857"/>
      <c r="AA90" s="860"/>
      <c r="AB90" s="857"/>
      <c r="AC90" s="857"/>
      <c r="AD90" s="857"/>
    </row>
    <row customHeight="1" ht="18">
      <c r="A91" s="856"/>
      <c r="B91" s="910">
        <v>74</v>
      </c>
      <c r="C91" s="854"/>
      <c r="D91" s="978" t="s">
        <v>2411</v>
      </c>
      <c r="E91" s="854" t="s">
        <v>2411</v>
      </c>
      <c r="F91" s="854"/>
      <c r="G91" s="854"/>
      <c r="H91" s="902"/>
      <c r="I91" s="1016">
        <f>INDEX(TEMPLATE_NUMBER_POINT_FHD,B91,MATCH(TEMPLATE_SPHERE,TEMPLATE_SPHERE_LIST_FOR_NOTE,0))</f>
        <v>0</v>
      </c>
      <c r="J91" s="1016">
        <f>INDEX(TEMPLATE_DATA_POINT_FHD,B91,MATCH(TEMPLATE_SPHERE,TEMPLATE_SPHERE_LIST_FOR_NOTE,0))</f>
        <v>0</v>
      </c>
      <c r="K91" s="1016">
        <f>INDEX(TEMPLATE_NOTE_POINT_FHD,B91,MATCH(TEMPLATE_SPHERE,TEMPLATE_SPHERE_LIST_FOR_NOTE,0))</f>
        <v>0</v>
      </c>
      <c r="L91" s="855" t="str">
        <f>IF(I91=0,"",I91)</f>
        <v/>
      </c>
      <c r="M91" s="855" t="str">
        <f>IF(J91=0,"",J91)</f>
        <v/>
      </c>
      <c r="N91" s="855" t="str">
        <f>IF(K91=0,"",K91)</f>
        <v/>
      </c>
      <c r="O91" s="968"/>
      <c r="P91" s="968" t="s">
        <v>168</v>
      </c>
      <c r="Q91" s="968" t="s">
        <v>168</v>
      </c>
      <c r="R91" s="968"/>
      <c r="S91" s="968"/>
      <c r="T91" s="854"/>
      <c r="U91" s="854" t="s">
        <v>2414</v>
      </c>
      <c r="V91" s="854" t="s">
        <v>2414</v>
      </c>
      <c r="W91" s="854"/>
      <c r="X91" s="854"/>
      <c r="Y91" s="1011"/>
      <c r="Z91" s="857"/>
      <c r="AA91" s="860"/>
      <c r="AB91" s="857"/>
      <c r="AC91" s="857"/>
      <c r="AD91" s="857"/>
    </row>
    <row customHeight="1" ht="27">
      <c r="A92" s="856"/>
      <c r="B92" s="910">
        <v>75</v>
      </c>
      <c r="C92" s="854"/>
      <c r="D92" s="978" t="s">
        <v>2412</v>
      </c>
      <c r="E92" s="854"/>
      <c r="F92" s="854"/>
      <c r="G92" s="854"/>
      <c r="H92" s="902"/>
      <c r="I92" s="1016">
        <f>INDEX(TEMPLATE_NUMBER_POINT_FHD,B92,MATCH(TEMPLATE_SPHERE,TEMPLATE_SPHERE_LIST_FOR_NOTE,0))</f>
        <v>0</v>
      </c>
      <c r="J92" s="1016">
        <f>INDEX(TEMPLATE_DATA_POINT_FHD,B92,MATCH(TEMPLATE_SPHERE,TEMPLATE_SPHERE_LIST_FOR_NOTE,0))</f>
        <v>0</v>
      </c>
      <c r="K92" s="1016">
        <f>INDEX(TEMPLATE_NOTE_POINT_FHD,B92,MATCH(TEMPLATE_SPHERE,TEMPLATE_SPHERE_LIST_FOR_NOTE,0))</f>
        <v>0</v>
      </c>
      <c r="L92" s="855" t="str">
        <f>IF(I92=0,"",I92)</f>
        <v/>
      </c>
      <c r="M92" s="855" t="str">
        <f>IF(J92=0,"",J92)</f>
        <v/>
      </c>
      <c r="N92" s="855" t="str">
        <f>IF(K92=0,"",K92)</f>
        <v/>
      </c>
      <c r="O92" s="968"/>
      <c r="P92" s="968" t="s">
        <v>169</v>
      </c>
      <c r="Q92" s="968"/>
      <c r="R92" s="968"/>
      <c r="S92" s="968"/>
      <c r="T92" s="854"/>
      <c r="U92" s="854" t="s">
        <v>2415</v>
      </c>
      <c r="V92" s="854"/>
      <c r="W92" s="854"/>
      <c r="X92" s="854"/>
      <c r="Y92" s="1011"/>
      <c r="Z92" s="857"/>
      <c r="AA92" s="860" t="s">
        <v>2416</v>
      </c>
      <c r="AB92" s="857"/>
      <c r="AC92" s="857"/>
      <c r="AD92" s="857"/>
    </row>
    <row customHeight="1" ht="27">
      <c r="A93" s="856"/>
      <c r="B93" s="910">
        <v>76</v>
      </c>
      <c r="C93" s="854"/>
      <c r="D93" s="978"/>
      <c r="E93" s="854"/>
      <c r="F93" s="854"/>
      <c r="G93" s="854"/>
      <c r="H93" s="902"/>
      <c r="I93" s="1016">
        <f>INDEX(TEMPLATE_NUMBER_POINT_FHD,B93,MATCH(TEMPLATE_SPHERE,TEMPLATE_SPHERE_LIST_FOR_NOTE,0))</f>
        <v>0</v>
      </c>
      <c r="J93" s="1016">
        <f>INDEX(TEMPLATE_DATA_POINT_FHD,B93,MATCH(TEMPLATE_SPHERE,TEMPLATE_SPHERE_LIST_FOR_NOTE,0))</f>
        <v>0</v>
      </c>
      <c r="K93" s="1016">
        <f>INDEX(TEMPLATE_NOTE_POINT_FHD,B93,MATCH(TEMPLATE_SPHERE,TEMPLATE_SPHERE_LIST_FOR_NOTE,0))</f>
        <v>0</v>
      </c>
      <c r="L93" s="855" t="str">
        <f>IF(I93=0,"",I93)</f>
        <v/>
      </c>
      <c r="M93" s="855" t="str">
        <f>IF(J93=0,"",J93)</f>
        <v/>
      </c>
      <c r="N93" s="855" t="str">
        <f>IF(K93=0,"",K93)</f>
        <v/>
      </c>
      <c r="O93" s="968"/>
      <c r="P93" s="968" t="s">
        <v>2324</v>
      </c>
      <c r="Q93" s="968"/>
      <c r="R93" s="968"/>
      <c r="S93" s="968"/>
      <c r="T93" s="854"/>
      <c r="U93" s="854" t="s">
        <v>2417</v>
      </c>
      <c r="V93" s="854"/>
      <c r="W93" s="854"/>
      <c r="X93" s="854"/>
      <c r="Y93" s="1011"/>
      <c r="Z93" s="857"/>
      <c r="AA93" s="860" t="s">
        <v>2418</v>
      </c>
      <c r="AB93" s="857"/>
      <c r="AC93" s="857"/>
      <c r="AD93" s="857"/>
    </row>
    <row customHeight="1" ht="45">
      <c r="A94" s="856"/>
      <c r="B94" s="910">
        <v>77</v>
      </c>
      <c r="C94" s="854"/>
      <c r="D94" s="978" t="s">
        <v>2413</v>
      </c>
      <c r="E94" s="854"/>
      <c r="F94" s="854"/>
      <c r="G94" s="854"/>
      <c r="H94" s="902"/>
      <c r="I94" s="1016">
        <f>INDEX(TEMPLATE_NUMBER_POINT_FHD,B94,MATCH(TEMPLATE_SPHERE,TEMPLATE_SPHERE_LIST_FOR_NOTE,0))</f>
        <v>0</v>
      </c>
      <c r="J94" s="1016">
        <f>INDEX(TEMPLATE_DATA_POINT_FHD,B94,MATCH(TEMPLATE_SPHERE,TEMPLATE_SPHERE_LIST_FOR_NOTE,0))</f>
        <v>0</v>
      </c>
      <c r="K94" s="1016">
        <f>INDEX(TEMPLATE_NOTE_POINT_FHD,B94,MATCH(TEMPLATE_SPHERE,TEMPLATE_SPHERE_LIST_FOR_NOTE,0))</f>
        <v>0</v>
      </c>
      <c r="L94" s="855" t="str">
        <f>IF(I94=0,"",I94)</f>
        <v/>
      </c>
      <c r="M94" s="855" t="str">
        <f>IF(J94=0,"",J94)</f>
        <v/>
      </c>
      <c r="N94" s="855" t="str">
        <f>IF(K94=0,"",K94)</f>
        <v/>
      </c>
      <c r="O94" s="968"/>
      <c r="P94" s="968" t="s">
        <v>1165</v>
      </c>
      <c r="Q94" s="968"/>
      <c r="R94" s="968"/>
      <c r="S94" s="968"/>
      <c r="T94" s="854"/>
      <c r="U94" s="854" t="s">
        <v>2419</v>
      </c>
      <c r="V94" s="854"/>
      <c r="W94" s="854"/>
      <c r="X94" s="854"/>
      <c r="Y94" s="1011"/>
      <c r="Z94" s="857"/>
      <c r="AA94" s="860" t="s">
        <v>2420</v>
      </c>
      <c r="AB94" s="857"/>
      <c r="AC94" s="857"/>
      <c r="AD94" s="857"/>
    </row>
    <row customHeight="1" ht="99">
      <c r="A95" s="856"/>
      <c r="B95" s="910">
        <v>78</v>
      </c>
      <c r="C95" s="854" t="s">
        <v>2421</v>
      </c>
      <c r="D95" s="978"/>
      <c r="E95" s="854"/>
      <c r="F95" s="854"/>
      <c r="G95" s="854"/>
      <c r="H95" s="902"/>
      <c r="I95" s="1016" t="str">
        <f>INDEX(TEMPLATE_NUMBER_POINT_FHD,B95,MATCH(TEMPLATE_SPHERE,TEMPLATE_SPHERE_LIST_FOR_NOTE,0))</f>
        <v>15</v>
      </c>
      <c r="J95" s="101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6">
        <f>INDEX(TEMPLATE_NOTE_POINT_FHD,B95,MATCH(TEMPLATE_SPHERE,TEMPLATE_SPHERE_LIST_FOR_NOTE,0))</f>
        <v>0</v>
      </c>
      <c r="L95" s="855" t="str">
        <f>IF(I95=0,"",I95)</f>
        <v>15</v>
      </c>
      <c r="M95" s="85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5" t="str">
        <f>IF(K95=0,"",K95)</f>
        <v/>
      </c>
      <c r="O95" s="968" t="s">
        <v>1165</v>
      </c>
      <c r="P95" s="968"/>
      <c r="Q95" s="968"/>
      <c r="R95" s="968"/>
      <c r="S95" s="968"/>
      <c r="T95" s="854" t="s">
        <v>2422</v>
      </c>
      <c r="U95" s="854"/>
      <c r="V95" s="854"/>
      <c r="W95" s="854"/>
      <c r="X95" s="854"/>
      <c r="Y95" s="1011"/>
      <c r="Z95" s="857"/>
      <c r="AA95" s="860"/>
      <c r="AB95" s="857"/>
      <c r="AC95" s="857"/>
      <c r="AD95" s="857"/>
    </row>
    <row customHeight="1" ht="99">
      <c r="A96" s="856"/>
      <c r="B96" s="910">
        <v>79</v>
      </c>
      <c r="C96" s="854" t="s">
        <v>1424</v>
      </c>
      <c r="D96" s="978"/>
      <c r="E96" s="854"/>
      <c r="F96" s="854"/>
      <c r="G96" s="854"/>
      <c r="H96" s="902"/>
      <c r="I96" s="1016" t="str">
        <f>INDEX(TEMPLATE_NUMBER_POINT_FHD,B96,MATCH(TEMPLATE_SPHERE,TEMPLATE_SPHERE_LIST_FOR_NOTE,0))</f>
        <v>16</v>
      </c>
      <c r="J96" s="101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5" t="str">
        <f>IF(I96=0,"",I96)</f>
        <v>16</v>
      </c>
      <c r="M96" s="85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8" t="s">
        <v>1167</v>
      </c>
      <c r="P96" s="968"/>
      <c r="Q96" s="968"/>
      <c r="R96" s="968"/>
      <c r="S96" s="968"/>
      <c r="T96" s="854" t="s">
        <v>2423</v>
      </c>
      <c r="U96" s="854"/>
      <c r="V96" s="854"/>
      <c r="W96" s="854"/>
      <c r="X96" s="854"/>
      <c r="Y96" s="1011"/>
      <c r="Z96" s="857" t="s">
        <v>2424</v>
      </c>
      <c r="AA96" s="860"/>
      <c r="AB96" s="857"/>
      <c r="AC96" s="857"/>
      <c r="AD96" s="857"/>
    </row>
    <row customHeight="1" ht="63">
      <c r="A97" s="856"/>
      <c r="B97" s="910">
        <v>80</v>
      </c>
      <c r="C97" s="854" t="s">
        <v>2425</v>
      </c>
      <c r="D97" s="978"/>
      <c r="E97" s="854"/>
      <c r="F97" s="854"/>
      <c r="G97" s="854"/>
      <c r="H97" s="902"/>
      <c r="I97" s="1016" t="str">
        <f>INDEX(TEMPLATE_NUMBER_POINT_FHD,B97,MATCH(TEMPLATE_SPHERE,TEMPLATE_SPHERE_LIST_FOR_NOTE,0))</f>
        <v>17</v>
      </c>
      <c r="J97" s="101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5" t="str">
        <f>IF(I97=0,"",I97)</f>
        <v>17</v>
      </c>
      <c r="M97" s="85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5" t="str">
        <f>IF(K97=0,"",K97)</f>
        <v>Регулируемыми организациями указывается информация с по договорам, заключенным в рамках осуществления регулируемой деятельности.</v>
      </c>
      <c r="O97" s="968" t="s">
        <v>1172</v>
      </c>
      <c r="P97" s="968"/>
      <c r="Q97" s="968"/>
      <c r="R97" s="968"/>
      <c r="S97" s="968"/>
      <c r="T97" s="854" t="s">
        <v>2426</v>
      </c>
      <c r="U97" s="854"/>
      <c r="V97" s="854"/>
      <c r="W97" s="854"/>
      <c r="X97" s="854"/>
      <c r="Y97" s="1011"/>
      <c r="Z97" s="857" t="s">
        <v>2427</v>
      </c>
      <c r="AA97" s="860"/>
      <c r="AB97" s="857"/>
      <c r="AC97" s="857"/>
      <c r="AD97" s="857"/>
    </row>
    <row customHeight="1" ht="63">
      <c r="A98" s="856"/>
      <c r="B98" s="910">
        <v>81</v>
      </c>
      <c r="C98" s="854" t="s">
        <v>2428</v>
      </c>
      <c r="D98" s="978"/>
      <c r="E98" s="854"/>
      <c r="F98" s="854"/>
      <c r="G98" s="854"/>
      <c r="H98" s="902"/>
      <c r="I98" s="1016" t="str">
        <f>INDEX(TEMPLATE_NUMBER_POINT_FHD,B98,MATCH(TEMPLATE_SPHERE,TEMPLATE_SPHERE_LIST_FOR_NOTE,0))</f>
        <v>18</v>
      </c>
      <c r="J98" s="101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5" t="str">
        <f>IF(I98=0,"",I98)</f>
        <v>18</v>
      </c>
      <c r="M98" s="85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5" t="str">
        <f>IF(K98=0,"",K98)</f>
        <v>Регулируемыми организациями указывается информация с по договорам, заключенным в рамках осуществления регулируемой деятельности.</v>
      </c>
      <c r="O98" s="968" t="s">
        <v>1177</v>
      </c>
      <c r="P98" s="968"/>
      <c r="Q98" s="968"/>
      <c r="R98" s="968"/>
      <c r="S98" s="968"/>
      <c r="T98" s="854" t="s">
        <v>2429</v>
      </c>
      <c r="U98" s="854"/>
      <c r="V98" s="854"/>
      <c r="W98" s="854"/>
      <c r="X98" s="854"/>
      <c r="Y98" s="1011"/>
      <c r="Z98" s="857" t="s">
        <v>2427</v>
      </c>
      <c r="AA98" s="860"/>
      <c r="AB98" s="857"/>
      <c r="AC98" s="857"/>
      <c r="AD98" s="857"/>
    </row>
    <row customHeight="1" ht="90">
      <c r="A99" s="856"/>
      <c r="B99" s="910">
        <v>82</v>
      </c>
      <c r="C99" s="854" t="s">
        <v>2430</v>
      </c>
      <c r="D99" s="978"/>
      <c r="E99" s="854"/>
      <c r="F99" s="854"/>
      <c r="G99" s="854"/>
      <c r="H99" s="902"/>
      <c r="I99" s="1016" t="str">
        <f>INDEX(TEMPLATE_NUMBER_POINT_FHD,B99,MATCH(TEMPLATE_SPHERE,TEMPLATE_SPHERE_LIST_FOR_NOTE,0))</f>
        <v>19</v>
      </c>
      <c r="J99" s="101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6" t="str">
        <f>INDEX(TEMPLATE_NOTE_POINT_FHD,B99,MATCH(TEMPLATE_SPHERE,TEMPLATE_SPHERE_LIST_FOR_NOTE,0))</f>
        <v>Указывается ссылка на документ, предварительно загруженный в хранилище файлов ФГИС ЕИАС.</v>
      </c>
      <c r="L99" s="855" t="str">
        <f>IF(I99=0,"",I99)</f>
        <v>19</v>
      </c>
      <c r="M99" s="85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5" t="str">
        <f>IF(K99=0,"",K99)</f>
        <v>Указывается ссылка на документ, предварительно загруженный в хранилище файлов ФГИС ЕИАС.</v>
      </c>
      <c r="O99" s="968" t="s">
        <v>1179</v>
      </c>
      <c r="P99" s="968"/>
      <c r="Q99" s="968"/>
      <c r="R99" s="968"/>
      <c r="S99" s="968"/>
      <c r="T99" s="854" t="s">
        <v>2431</v>
      </c>
      <c r="U99" s="854"/>
      <c r="V99" s="854"/>
      <c r="W99" s="854"/>
      <c r="X99" s="854"/>
      <c r="Y99" s="1011"/>
      <c r="Z99" s="857" t="s">
        <v>706</v>
      </c>
      <c r="AA99" s="860"/>
      <c r="AB99" s="857"/>
      <c r="AC99" s="857"/>
      <c r="AD99" s="857"/>
    </row>
    <row customHeight="1" ht="27">
      <c r="A100" s="856"/>
      <c r="B100" s="910">
        <v>83</v>
      </c>
      <c r="C100" s="854"/>
      <c r="D100" s="978"/>
      <c r="E100" s="854"/>
      <c r="F100" s="854"/>
      <c r="G100" s="854"/>
      <c r="H100" s="902"/>
      <c r="I100" s="1016" t="str">
        <f>INDEX(TEMPLATE_NUMBER_POINT_FHD,B100,MATCH(TEMPLATE_SPHERE,TEMPLATE_SPHERE_LIST_FOR_NOTE,0))</f>
        <v>19.1</v>
      </c>
      <c r="J100" s="1016" t="str">
        <f>INDEX(TEMPLATE_DATA_POINT_FHD,B100,MATCH(TEMPLATE_SPHERE,TEMPLATE_SPHERE_LIST_FOR_NOTE,0))</f>
        <v>Информация о показателях физического износа объектов теплоснабжения</v>
      </c>
      <c r="K100" s="1016" t="str">
        <f>INDEX(TEMPLATE_NOTE_POINT_FHD,B100,MATCH(TEMPLATE_SPHERE,TEMPLATE_SPHERE_LIST_FOR_NOTE,0))</f>
        <v>Указывается ссылка на документ, предварительно загруженный в хранилище файлов ФГИС ЕИАС.</v>
      </c>
      <c r="L100" s="855" t="str">
        <f>IF(I100=0,"",I100)</f>
        <v>19.1</v>
      </c>
      <c r="M100" s="855" t="str">
        <f>IF(J100=0,"",J100)</f>
        <v>Информация о показателях физического износа объектов теплоснабжения</v>
      </c>
      <c r="N100" s="855" t="str">
        <f>IF(K100=0,"",K100)</f>
        <v>Указывается ссылка на документ, предварительно загруженный в хранилище файлов ФГИС ЕИАС.</v>
      </c>
      <c r="O100" s="968" t="s">
        <v>2432</v>
      </c>
      <c r="P100" s="968"/>
      <c r="Q100" s="968"/>
      <c r="R100" s="968"/>
      <c r="S100" s="968"/>
      <c r="T100" s="854" t="s">
        <v>2433</v>
      </c>
      <c r="U100" s="854"/>
      <c r="V100" s="854"/>
      <c r="W100" s="854"/>
      <c r="X100" s="854"/>
      <c r="Y100" s="1011"/>
      <c r="Z100" s="857" t="s">
        <v>706</v>
      </c>
      <c r="AA100" s="860"/>
      <c r="AB100" s="857"/>
      <c r="AC100" s="857"/>
      <c r="AD100" s="857"/>
    </row>
    <row customHeight="1" ht="27">
      <c r="A101" s="856"/>
      <c r="B101" s="910">
        <v>84</v>
      </c>
      <c r="C101" s="854"/>
      <c r="D101" s="978"/>
      <c r="E101" s="854"/>
      <c r="F101" s="854"/>
      <c r="G101" s="854"/>
      <c r="H101" s="902"/>
      <c r="I101" s="1016" t="str">
        <f>INDEX(TEMPLATE_NUMBER_POINT_FHD,B101,MATCH(TEMPLATE_SPHERE,TEMPLATE_SPHERE_LIST_FOR_NOTE,0))</f>
        <v>19.2</v>
      </c>
      <c r="J101" s="1016" t="str">
        <f>INDEX(TEMPLATE_DATA_POINT_FHD,B101,MATCH(TEMPLATE_SPHERE,TEMPLATE_SPHERE_LIST_FOR_NOTE,0))</f>
        <v>Информация о показателях энергетической эффективности объектов теплоснабжения</v>
      </c>
      <c r="K101" s="1016" t="str">
        <f>INDEX(TEMPLATE_NOTE_POINT_FHD,B101,MATCH(TEMPLATE_SPHERE,TEMPLATE_SPHERE_LIST_FOR_NOTE,0))</f>
        <v>Указывается ссылка на документ, предварительно загруженный в хранилище файлов ФГИС ЕИАС.</v>
      </c>
      <c r="L101" s="855" t="str">
        <f>IF(I101=0,"",I101)</f>
        <v>19.2</v>
      </c>
      <c r="M101" s="855" t="str">
        <f>IF(J101=0,"",J101)</f>
        <v>Информация о показателях энергетической эффективности объектов теплоснабжения</v>
      </c>
      <c r="N101" s="855" t="str">
        <f>IF(K101=0,"",K101)</f>
        <v>Указывается ссылка на документ, предварительно загруженный в хранилище файлов ФГИС ЕИАС.</v>
      </c>
      <c r="O101" s="968" t="s">
        <v>2434</v>
      </c>
      <c r="P101" s="968"/>
      <c r="Q101" s="968"/>
      <c r="R101" s="968"/>
      <c r="S101" s="968"/>
      <c r="T101" s="854" t="s">
        <v>2435</v>
      </c>
      <c r="U101" s="854"/>
      <c r="V101" s="854"/>
      <c r="W101" s="854"/>
      <c r="X101" s="854"/>
      <c r="Y101" s="1011"/>
      <c r="Z101" s="857" t="s">
        <v>706</v>
      </c>
      <c r="AA101" s="860"/>
      <c r="AB101" s="857"/>
      <c r="AC101" s="857"/>
      <c r="AD101" s="857"/>
    </row>
    <row customHeight="1" ht="9">
      <c r="A102" s="856"/>
      <c r="B102" s="856"/>
      <c r="C102" s="854"/>
      <c r="D102" s="854"/>
      <c r="E102" s="854"/>
      <c r="F102" s="854"/>
      <c r="G102" s="854"/>
      <c r="H102" s="902"/>
      <c r="I102" s="902"/>
      <c r="J102" s="902"/>
      <c r="K102" s="902"/>
      <c r="L102" s="902"/>
      <c r="M102" s="854"/>
      <c r="N102" s="901"/>
      <c r="O102" s="968"/>
      <c r="P102" s="968"/>
      <c r="Q102" s="968"/>
      <c r="R102" s="968"/>
      <c r="S102" s="854"/>
      <c r="T102" s="854"/>
      <c r="U102" s="854"/>
      <c r="V102" s="854"/>
      <c r="W102" s="854"/>
      <c r="X102" s="854"/>
      <c r="Y102" s="1011"/>
      <c r="Z102" s="857"/>
      <c r="AA102" s="860"/>
      <c r="AB102" s="857"/>
      <c r="AC102" s="857"/>
      <c r="AD102" s="857"/>
    </row>
    <row customHeight="1" ht="9">
      <c r="A103" s="856"/>
      <c r="B103" s="856"/>
      <c r="C103" s="854"/>
      <c r="D103" s="854"/>
      <c r="E103" s="854"/>
      <c r="F103" s="854"/>
      <c r="G103" s="854"/>
      <c r="H103" s="902"/>
      <c r="I103" s="902"/>
      <c r="J103" s="902"/>
      <c r="K103" s="902"/>
      <c r="L103" s="902"/>
      <c r="M103" s="854"/>
      <c r="N103" s="901"/>
      <c r="O103" s="968"/>
      <c r="P103" s="968"/>
      <c r="Q103" s="968"/>
      <c r="R103" s="968"/>
      <c r="S103" s="854"/>
      <c r="T103" s="854"/>
      <c r="U103" s="854"/>
      <c r="V103" s="854"/>
      <c r="W103" s="854"/>
      <c r="X103" s="854"/>
      <c r="Y103" s="1011"/>
      <c r="Z103" s="857"/>
      <c r="AA103" s="860"/>
      <c r="AB103" s="857"/>
      <c r="AC103" s="857"/>
      <c r="AD103" s="857"/>
    </row>
    <row customHeight="1" ht="9">
      <c r="A104" s="856"/>
      <c r="B104" s="856"/>
      <c r="C104" s="854"/>
      <c r="D104" s="854"/>
      <c r="E104" s="854"/>
      <c r="F104" s="854"/>
      <c r="G104" s="854"/>
      <c r="H104" s="902"/>
      <c r="I104" s="902"/>
      <c r="J104" s="902"/>
      <c r="K104" s="902"/>
      <c r="L104" s="902"/>
      <c r="M104" s="854"/>
      <c r="N104" s="901"/>
      <c r="O104" s="968"/>
      <c r="P104" s="968"/>
      <c r="Q104" s="968"/>
      <c r="R104" s="968"/>
      <c r="S104" s="854"/>
      <c r="T104" s="854"/>
      <c r="U104" s="854"/>
      <c r="V104" s="854"/>
      <c r="W104" s="854"/>
      <c r="X104" s="854"/>
      <c r="Y104" s="1011"/>
      <c r="Z104" s="857"/>
      <c r="AA104" s="860"/>
      <c r="AB104" s="857"/>
      <c r="AC104" s="857"/>
      <c r="AD104" s="857"/>
    </row>
    <row customHeight="1" ht="9">
      <c r="A105" s="856"/>
      <c r="B105" s="856"/>
      <c r="C105" s="854"/>
      <c r="D105" s="854"/>
      <c r="E105" s="854"/>
      <c r="F105" s="854"/>
      <c r="G105" s="854"/>
      <c r="H105" s="902"/>
      <c r="I105" s="902"/>
      <c r="J105" s="902"/>
      <c r="K105" s="902"/>
      <c r="L105" s="902"/>
      <c r="M105" s="854"/>
      <c r="N105" s="901"/>
      <c r="O105" s="968"/>
      <c r="P105" s="968"/>
      <c r="Q105" s="968"/>
      <c r="R105" s="968"/>
      <c r="S105" s="854"/>
      <c r="T105" s="854"/>
      <c r="U105" s="854"/>
      <c r="V105" s="854"/>
      <c r="W105" s="854"/>
      <c r="X105" s="854"/>
      <c r="Y105" s="1011"/>
      <c r="Z105" s="857"/>
      <c r="AA105" s="860"/>
      <c r="AB105" s="857"/>
      <c r="AC105" s="857"/>
      <c r="AD105" s="857"/>
    </row>
    <row customHeight="1" ht="9">
      <c r="A106" s="856"/>
      <c r="B106" s="856"/>
      <c r="C106" s="854"/>
      <c r="D106" s="854"/>
      <c r="E106" s="854"/>
      <c r="F106" s="854"/>
      <c r="G106" s="854"/>
      <c r="H106" s="902"/>
      <c r="I106" s="902"/>
      <c r="J106" s="902"/>
      <c r="K106" s="902"/>
      <c r="L106" s="902"/>
      <c r="M106" s="854"/>
      <c r="N106" s="901"/>
      <c r="O106" s="968"/>
      <c r="P106" s="968"/>
      <c r="Q106" s="968"/>
      <c r="R106" s="968"/>
      <c r="S106" s="854"/>
      <c r="T106" s="854"/>
      <c r="U106" s="854"/>
      <c r="V106" s="854"/>
      <c r="W106" s="854"/>
      <c r="X106" s="854"/>
      <c r="Y106" s="1011"/>
      <c r="Z106" s="857"/>
      <c r="AA106" s="860"/>
      <c r="AB106" s="857"/>
      <c r="AC106" s="857"/>
      <c r="AD106" s="857"/>
    </row>
    <row customHeight="1" ht="9">
      <c r="A107" s="856"/>
      <c r="B107" s="856"/>
      <c r="C107" s="854"/>
      <c r="D107" s="854"/>
      <c r="E107" s="854"/>
      <c r="F107" s="854"/>
      <c r="G107" s="854"/>
      <c r="H107" s="902"/>
      <c r="I107" s="902"/>
      <c r="J107" s="902"/>
      <c r="K107" s="902"/>
      <c r="L107" s="902"/>
      <c r="M107" s="854"/>
      <c r="N107" s="901"/>
      <c r="O107" s="968"/>
      <c r="P107" s="968"/>
      <c r="Q107" s="968"/>
      <c r="R107" s="968"/>
      <c r="S107" s="854"/>
      <c r="T107" s="854"/>
      <c r="U107" s="854"/>
      <c r="V107" s="854"/>
      <c r="W107" s="854"/>
      <c r="X107" s="854"/>
      <c r="Y107" s="1011"/>
      <c r="Z107" s="857"/>
      <c r="AA107" s="860"/>
      <c r="AB107" s="857"/>
      <c r="AC107" s="857"/>
      <c r="AD107" s="857"/>
    </row>
    <row customHeight="1" ht="9">
      <c r="A108" s="856"/>
      <c r="B108" s="856"/>
      <c r="C108" s="854"/>
      <c r="D108" s="854"/>
      <c r="E108" s="854"/>
      <c r="F108" s="854"/>
      <c r="G108" s="854"/>
      <c r="H108" s="902"/>
      <c r="I108" s="902"/>
      <c r="J108" s="902"/>
      <c r="K108" s="902"/>
      <c r="L108" s="902"/>
      <c r="M108" s="854"/>
      <c r="N108" s="901"/>
      <c r="O108" s="968"/>
      <c r="P108" s="968"/>
      <c r="Q108" s="968"/>
      <c r="R108" s="968"/>
      <c r="S108" s="854"/>
      <c r="T108" s="854"/>
      <c r="U108" s="854"/>
      <c r="V108" s="854"/>
      <c r="W108" s="854"/>
      <c r="X108" s="854"/>
      <c r="Y108" s="1011"/>
      <c r="Z108" s="857"/>
      <c r="AA108" s="860"/>
      <c r="AB108" s="857"/>
      <c r="AC108" s="857"/>
      <c r="AD108" s="857"/>
    </row>
    <row customHeight="1" ht="9">
      <c r="A109" s="856"/>
      <c r="B109" s="856"/>
      <c r="C109" s="854"/>
      <c r="D109" s="854"/>
      <c r="E109" s="854"/>
      <c r="F109" s="854"/>
      <c r="G109" s="854"/>
      <c r="H109" s="902"/>
      <c r="I109" s="902"/>
      <c r="J109" s="902"/>
      <c r="K109" s="902"/>
      <c r="L109" s="902"/>
      <c r="M109" s="854"/>
      <c r="N109" s="901"/>
      <c r="O109" s="968"/>
      <c r="P109" s="968"/>
      <c r="Q109" s="968"/>
      <c r="R109" s="968"/>
      <c r="S109" s="854"/>
      <c r="T109" s="854"/>
      <c r="U109" s="854"/>
      <c r="V109" s="854"/>
      <c r="W109" s="854"/>
      <c r="X109" s="854"/>
      <c r="Y109" s="1011"/>
      <c r="Z109" s="857"/>
      <c r="AA109" s="860"/>
      <c r="AB109" s="857"/>
      <c r="AC109" s="857"/>
      <c r="AD109" s="857"/>
    </row>
    <row customHeight="1" ht="9">
      <c r="A110" s="856"/>
      <c r="B110" s="856"/>
      <c r="C110" s="854"/>
      <c r="D110" s="854"/>
      <c r="E110" s="854"/>
      <c r="F110" s="854"/>
      <c r="G110" s="854"/>
      <c r="H110" s="902"/>
      <c r="I110" s="902"/>
      <c r="J110" s="902"/>
      <c r="K110" s="902"/>
      <c r="L110" s="902"/>
      <c r="M110" s="854"/>
      <c r="N110" s="901"/>
      <c r="O110" s="968"/>
      <c r="P110" s="968"/>
      <c r="Q110" s="968"/>
      <c r="R110" s="968"/>
      <c r="S110" s="854"/>
      <c r="T110" s="854"/>
      <c r="U110" s="854"/>
      <c r="V110" s="854"/>
      <c r="W110" s="854"/>
      <c r="X110" s="854"/>
      <c r="Y110" s="1011"/>
      <c r="Z110" s="857"/>
      <c r="AA110" s="860"/>
      <c r="AB110" s="857"/>
      <c r="AC110" s="857"/>
      <c r="AD110" s="857"/>
    </row>
    <row customHeight="1" ht="9">
      <c r="A111" s="856"/>
      <c r="B111" s="856"/>
      <c r="C111" s="854"/>
      <c r="D111" s="854"/>
      <c r="E111" s="854"/>
      <c r="F111" s="854"/>
      <c r="G111" s="854"/>
      <c r="H111" s="902"/>
      <c r="I111" s="902"/>
      <c r="J111" s="902"/>
      <c r="K111" s="902"/>
      <c r="L111" s="902"/>
      <c r="M111" s="854"/>
      <c r="N111" s="901"/>
      <c r="O111" s="968"/>
      <c r="P111" s="968"/>
      <c r="Q111" s="968"/>
      <c r="R111" s="968"/>
      <c r="S111" s="854"/>
      <c r="T111" s="854"/>
      <c r="U111" s="854"/>
      <c r="V111" s="854"/>
      <c r="W111" s="854"/>
      <c r="X111" s="854"/>
      <c r="Y111" s="1011"/>
      <c r="Z111" s="857"/>
      <c r="AA111" s="860"/>
      <c r="AB111" s="857"/>
      <c r="AC111" s="857"/>
      <c r="AD111" s="857"/>
    </row>
    <row customHeight="1" ht="9">
      <c r="A112" s="856"/>
      <c r="B112" s="856"/>
      <c r="C112" s="854"/>
      <c r="D112" s="854"/>
      <c r="E112" s="854"/>
      <c r="F112" s="854"/>
      <c r="G112" s="854"/>
      <c r="H112" s="902"/>
      <c r="I112" s="902"/>
      <c r="J112" s="902"/>
      <c r="K112" s="902"/>
      <c r="L112" s="902"/>
      <c r="M112" s="854"/>
      <c r="N112" s="901"/>
      <c r="O112" s="968"/>
      <c r="P112" s="968"/>
      <c r="Q112" s="968"/>
      <c r="R112" s="968"/>
      <c r="S112" s="854"/>
      <c r="T112" s="854"/>
      <c r="U112" s="854"/>
      <c r="V112" s="854"/>
      <c r="W112" s="854"/>
      <c r="X112" s="854"/>
      <c r="Y112" s="1011"/>
      <c r="Z112" s="857"/>
      <c r="AA112" s="860"/>
      <c r="AB112" s="857"/>
      <c r="AC112" s="857"/>
      <c r="AD112" s="857"/>
    </row>
    <row customHeight="1" ht="9">
      <c r="A113" s="856"/>
      <c r="B113" s="856"/>
      <c r="C113" s="854"/>
      <c r="D113" s="854"/>
      <c r="E113" s="854"/>
      <c r="F113" s="854"/>
      <c r="G113" s="854"/>
      <c r="H113" s="902"/>
      <c r="I113" s="902"/>
      <c r="J113" s="902"/>
      <c r="K113" s="902"/>
      <c r="L113" s="902"/>
      <c r="M113" s="854"/>
      <c r="N113" s="901"/>
      <c r="O113" s="968"/>
      <c r="P113" s="968"/>
      <c r="Q113" s="968"/>
      <c r="R113" s="968"/>
      <c r="S113" s="854"/>
      <c r="T113" s="854"/>
      <c r="U113" s="854"/>
      <c r="V113" s="854"/>
      <c r="W113" s="854"/>
      <c r="X113" s="854"/>
      <c r="Y113" s="1011"/>
      <c r="Z113" s="857"/>
      <c r="AA113" s="860"/>
      <c r="AB113" s="857"/>
      <c r="AC113" s="857"/>
      <c r="AD113" s="857"/>
    </row>
    <row customHeight="1" ht="9">
      <c r="A114" s="856"/>
      <c r="B114" s="856"/>
      <c r="C114" s="854"/>
      <c r="D114" s="854"/>
      <c r="E114" s="854"/>
      <c r="F114" s="854"/>
      <c r="G114" s="854"/>
      <c r="H114" s="902"/>
      <c r="I114" s="902"/>
      <c r="J114" s="902"/>
      <c r="K114" s="902"/>
      <c r="L114" s="902"/>
      <c r="M114" s="854"/>
      <c r="N114" s="901"/>
      <c r="O114" s="968"/>
      <c r="P114" s="968"/>
      <c r="Q114" s="968"/>
      <c r="R114" s="968"/>
      <c r="S114" s="854"/>
      <c r="T114" s="854"/>
      <c r="U114" s="854"/>
      <c r="V114" s="854"/>
      <c r="W114" s="854"/>
      <c r="X114" s="854"/>
      <c r="Y114" s="1011"/>
      <c r="Z114" s="857"/>
      <c r="AA114" s="860"/>
      <c r="AB114" s="857"/>
      <c r="AC114" s="857"/>
      <c r="AD114" s="857"/>
    </row>
    <row customHeight="1" ht="9">
      <c r="A115" s="856"/>
      <c r="B115" s="856"/>
      <c r="C115" s="854"/>
      <c r="D115" s="854"/>
      <c r="E115" s="854"/>
      <c r="F115" s="854"/>
      <c r="G115" s="854"/>
      <c r="H115" s="902"/>
      <c r="I115" s="902"/>
      <c r="J115" s="902"/>
      <c r="K115" s="902"/>
      <c r="L115" s="902"/>
      <c r="M115" s="854"/>
      <c r="N115" s="901"/>
      <c r="O115" s="968"/>
      <c r="P115" s="968"/>
      <c r="Q115" s="968"/>
      <c r="R115" s="968"/>
      <c r="S115" s="854"/>
      <c r="T115" s="854"/>
      <c r="U115" s="854"/>
      <c r="V115" s="854"/>
      <c r="W115" s="854"/>
      <c r="X115" s="854"/>
      <c r="Y115" s="1011"/>
      <c r="Z115" s="857"/>
      <c r="AA115" s="860"/>
      <c r="AB115" s="857"/>
      <c r="AC115" s="857"/>
      <c r="AD115" s="857"/>
    </row>
    <row customHeight="1" ht="9">
      <c r="A116" s="856"/>
      <c r="B116" s="856"/>
      <c r="C116" s="854"/>
      <c r="D116" s="854"/>
      <c r="E116" s="854"/>
      <c r="F116" s="854"/>
      <c r="G116" s="854"/>
      <c r="H116" s="902"/>
      <c r="I116" s="902"/>
      <c r="J116" s="902"/>
      <c r="K116" s="902"/>
      <c r="L116" s="902"/>
      <c r="M116" s="854"/>
      <c r="N116" s="901"/>
      <c r="O116" s="968"/>
      <c r="P116" s="968"/>
      <c r="Q116" s="968"/>
      <c r="R116" s="968"/>
      <c r="S116" s="854"/>
      <c r="T116" s="854"/>
      <c r="U116" s="854"/>
      <c r="V116" s="854"/>
      <c r="W116" s="854"/>
      <c r="X116" s="854"/>
      <c r="Y116" s="1011"/>
      <c r="Z116" s="857"/>
      <c r="AA116" s="860"/>
      <c r="AB116" s="857"/>
      <c r="AC116" s="857"/>
      <c r="AD116" s="857"/>
    </row>
    <row customHeight="1" ht="9">
      <c r="A117" s="856"/>
      <c r="B117" s="856"/>
      <c r="C117" s="854"/>
      <c r="D117" s="854"/>
      <c r="E117" s="854"/>
      <c r="F117" s="854"/>
      <c r="G117" s="854"/>
      <c r="H117" s="902"/>
      <c r="I117" s="902"/>
      <c r="J117" s="902"/>
      <c r="K117" s="902"/>
      <c r="L117" s="902"/>
      <c r="M117" s="854"/>
      <c r="N117" s="901"/>
      <c r="O117" s="968"/>
      <c r="P117" s="968"/>
      <c r="Q117" s="968"/>
      <c r="R117" s="968"/>
      <c r="S117" s="854"/>
      <c r="T117" s="854"/>
      <c r="U117" s="854"/>
      <c r="V117" s="854"/>
      <c r="W117" s="854"/>
      <c r="X117" s="854"/>
      <c r="Y117" s="1011"/>
      <c r="Z117" s="857"/>
      <c r="AA117" s="860"/>
      <c r="AB117" s="857"/>
      <c r="AC117" s="857"/>
      <c r="AD117" s="857"/>
    </row>
    <row customHeight="1" ht="9">
      <c r="A118" s="856"/>
      <c r="B118" s="856"/>
      <c r="C118" s="854"/>
      <c r="D118" s="854"/>
      <c r="E118" s="854"/>
      <c r="F118" s="854"/>
      <c r="G118" s="854"/>
      <c r="H118" s="902"/>
      <c r="I118" s="902"/>
      <c r="J118" s="902"/>
      <c r="K118" s="902"/>
      <c r="L118" s="902"/>
      <c r="M118" s="854"/>
      <c r="N118" s="901"/>
      <c r="O118" s="968"/>
      <c r="P118" s="968"/>
      <c r="Q118" s="968"/>
      <c r="R118" s="968"/>
      <c r="S118" s="854"/>
      <c r="T118" s="854"/>
      <c r="U118" s="854"/>
      <c r="V118" s="854"/>
      <c r="W118" s="854"/>
      <c r="X118" s="854"/>
      <c r="Y118" s="1011"/>
      <c r="Z118" s="857"/>
      <c r="AA118" s="860"/>
      <c r="AB118" s="857"/>
      <c r="AC118" s="857"/>
      <c r="AD118" s="857"/>
    </row>
    <row customHeight="1" ht="9">
      <c r="A119" s="856"/>
      <c r="B119" s="856"/>
      <c r="C119" s="854"/>
      <c r="D119" s="854"/>
      <c r="E119" s="854"/>
      <c r="F119" s="854"/>
      <c r="G119" s="854"/>
      <c r="H119" s="902"/>
      <c r="I119" s="902"/>
      <c r="J119" s="902"/>
      <c r="K119" s="902"/>
      <c r="L119" s="902"/>
      <c r="M119" s="854"/>
      <c r="N119" s="901"/>
      <c r="O119" s="968"/>
      <c r="P119" s="968"/>
      <c r="Q119" s="968"/>
      <c r="R119" s="968"/>
      <c r="S119" s="854"/>
      <c r="T119" s="854"/>
      <c r="U119" s="854"/>
      <c r="V119" s="854"/>
      <c r="W119" s="854"/>
      <c r="X119" s="854"/>
      <c r="Y119" s="1011"/>
      <c r="Z119" s="857"/>
      <c r="AA119" s="860"/>
      <c r="AB119" s="857"/>
      <c r="AC119" s="857"/>
      <c r="AD119" s="857"/>
    </row>
    <row customHeight="1" ht="9">
      <c r="A120" s="856"/>
      <c r="B120" s="856"/>
      <c r="C120" s="854"/>
      <c r="D120" s="854"/>
      <c r="E120" s="854"/>
      <c r="F120" s="854"/>
      <c r="G120" s="854"/>
      <c r="H120" s="902"/>
      <c r="I120" s="902"/>
      <c r="J120" s="902"/>
      <c r="K120" s="902"/>
      <c r="L120" s="902"/>
      <c r="M120" s="854"/>
      <c r="N120" s="901"/>
      <c r="O120" s="968"/>
      <c r="P120" s="968"/>
      <c r="Q120" s="968"/>
      <c r="R120" s="968"/>
      <c r="S120" s="854"/>
      <c r="T120" s="854"/>
      <c r="U120" s="854"/>
      <c r="V120" s="854"/>
      <c r="W120" s="854"/>
      <c r="X120" s="854"/>
      <c r="Y120" s="1011"/>
      <c r="Z120" s="857"/>
      <c r="AA120" s="860"/>
      <c r="AB120" s="857"/>
      <c r="AC120" s="857"/>
      <c r="AD120" s="857"/>
    </row>
    <row customHeight="1" ht="9">
      <c r="A121" s="856"/>
      <c r="B121" s="856"/>
      <c r="C121" s="854"/>
      <c r="D121" s="854"/>
      <c r="E121" s="854"/>
      <c r="F121" s="854"/>
      <c r="G121" s="854"/>
      <c r="H121" s="902"/>
      <c r="I121" s="902"/>
      <c r="J121" s="902"/>
      <c r="K121" s="902"/>
      <c r="L121" s="902"/>
      <c r="M121" s="854"/>
      <c r="N121" s="901"/>
      <c r="O121" s="968"/>
      <c r="P121" s="968"/>
      <c r="Q121" s="968"/>
      <c r="R121" s="968"/>
      <c r="S121" s="854"/>
      <c r="T121" s="854"/>
      <c r="U121" s="854"/>
      <c r="V121" s="854"/>
      <c r="W121" s="854"/>
      <c r="X121" s="854"/>
      <c r="Y121" s="1011"/>
      <c r="Z121" s="857"/>
      <c r="AA121" s="860"/>
      <c r="AB121" s="857"/>
      <c r="AC121" s="857"/>
      <c r="AD121" s="857"/>
    </row>
    <row customHeight="1" ht="9">
      <c r="A122" s="856"/>
      <c r="B122" s="856"/>
      <c r="C122" s="854"/>
      <c r="D122" s="854"/>
      <c r="E122" s="854"/>
      <c r="F122" s="854"/>
      <c r="G122" s="854"/>
      <c r="H122" s="902"/>
      <c r="I122" s="902"/>
      <c r="J122" s="902"/>
      <c r="K122" s="902"/>
      <c r="L122" s="902"/>
      <c r="M122" s="854"/>
      <c r="N122" s="901"/>
      <c r="O122" s="968"/>
      <c r="P122" s="968"/>
      <c r="Q122" s="968"/>
      <c r="R122" s="968"/>
      <c r="S122" s="854"/>
      <c r="T122" s="854"/>
      <c r="U122" s="854"/>
      <c r="V122" s="854"/>
      <c r="W122" s="854"/>
      <c r="X122" s="854"/>
      <c r="Y122" s="1011"/>
      <c r="Z122" s="857"/>
      <c r="AA122" s="860"/>
      <c r="AB122" s="857"/>
      <c r="AC122" s="857"/>
      <c r="AD122" s="857"/>
    </row>
    <row customHeight="1" ht="9">
      <c r="A123" s="856"/>
      <c r="B123" s="856"/>
      <c r="C123" s="854"/>
      <c r="D123" s="854"/>
      <c r="E123" s="854"/>
      <c r="F123" s="854"/>
      <c r="G123" s="854"/>
      <c r="H123" s="902"/>
      <c r="I123" s="902"/>
      <c r="J123" s="902"/>
      <c r="K123" s="902"/>
      <c r="L123" s="902"/>
      <c r="M123" s="854"/>
      <c r="N123" s="901"/>
      <c r="O123" s="968"/>
      <c r="P123" s="968"/>
      <c r="Q123" s="968"/>
      <c r="R123" s="968"/>
      <c r="S123" s="854"/>
      <c r="T123" s="854"/>
      <c r="U123" s="854"/>
      <c r="V123" s="854"/>
      <c r="W123" s="854"/>
      <c r="X123" s="854"/>
      <c r="Y123" s="1011"/>
      <c r="Z123" s="857"/>
      <c r="AA123" s="860"/>
      <c r="AB123" s="857"/>
      <c r="AC123" s="857"/>
      <c r="AD123" s="857"/>
    </row>
    <row customHeight="1" ht="9">
      <c r="A124" s="856"/>
      <c r="B124" s="856"/>
      <c r="C124" s="854"/>
      <c r="D124" s="854"/>
      <c r="E124" s="854"/>
      <c r="F124" s="854"/>
      <c r="G124" s="854"/>
      <c r="H124" s="902"/>
      <c r="I124" s="902"/>
      <c r="J124" s="902"/>
      <c r="K124" s="902"/>
      <c r="L124" s="902"/>
      <c r="M124" s="854"/>
      <c r="N124" s="901"/>
      <c r="O124" s="968"/>
      <c r="P124" s="968"/>
      <c r="Q124" s="968"/>
      <c r="R124" s="968"/>
      <c r="S124" s="854"/>
      <c r="T124" s="854"/>
      <c r="U124" s="854"/>
      <c r="V124" s="854"/>
      <c r="W124" s="854"/>
      <c r="X124" s="854"/>
      <c r="Y124" s="1011"/>
      <c r="Z124" s="857"/>
      <c r="AA124" s="860"/>
      <c r="AB124" s="857"/>
      <c r="AC124" s="857"/>
      <c r="AD124" s="857"/>
    </row>
    <row customHeight="1" ht="9">
      <c r="A125" s="856"/>
      <c r="B125" s="856"/>
      <c r="C125" s="854"/>
      <c r="D125" s="854"/>
      <c r="E125" s="854"/>
      <c r="F125" s="854"/>
      <c r="G125" s="854"/>
      <c r="H125" s="902"/>
      <c r="I125" s="902"/>
      <c r="J125" s="902"/>
      <c r="K125" s="902"/>
      <c r="L125" s="902"/>
      <c r="M125" s="854"/>
      <c r="N125" s="901"/>
      <c r="O125" s="968"/>
      <c r="P125" s="968"/>
      <c r="Q125" s="968"/>
      <c r="R125" s="968"/>
      <c r="S125" s="854"/>
      <c r="T125" s="854"/>
      <c r="U125" s="854"/>
      <c r="V125" s="854"/>
      <c r="W125" s="854"/>
      <c r="X125" s="854"/>
      <c r="Y125" s="1011"/>
      <c r="Z125" s="857"/>
      <c r="AA125" s="860"/>
      <c r="AB125" s="857"/>
      <c r="AC125" s="857"/>
      <c r="AD125" s="857"/>
    </row>
    <row customHeight="1" ht="9">
      <c r="A126" s="856"/>
      <c r="B126" s="856"/>
      <c r="C126" s="854"/>
      <c r="D126" s="854"/>
      <c r="E126" s="854"/>
      <c r="F126" s="854"/>
      <c r="G126" s="854"/>
      <c r="H126" s="902"/>
      <c r="I126" s="902"/>
      <c r="J126" s="902"/>
      <c r="K126" s="902"/>
      <c r="L126" s="902"/>
      <c r="M126" s="854"/>
      <c r="N126" s="901"/>
      <c r="O126" s="968"/>
      <c r="P126" s="968"/>
      <c r="Q126" s="968"/>
      <c r="R126" s="968"/>
      <c r="S126" s="854"/>
      <c r="T126" s="854"/>
      <c r="U126" s="854"/>
      <c r="V126" s="854"/>
      <c r="W126" s="854"/>
      <c r="X126" s="854"/>
      <c r="Y126" s="1011"/>
      <c r="Z126" s="857"/>
      <c r="AA126" s="860"/>
      <c r="AB126" s="857"/>
      <c r="AC126" s="857"/>
      <c r="AD126" s="857"/>
    </row>
    <row customHeight="1" ht="9">
      <c r="A127" s="856"/>
      <c r="B127" s="856"/>
      <c r="C127" s="854"/>
      <c r="D127" s="854"/>
      <c r="E127" s="854"/>
      <c r="F127" s="854"/>
      <c r="G127" s="854"/>
      <c r="H127" s="902"/>
      <c r="I127" s="902"/>
      <c r="J127" s="902"/>
      <c r="K127" s="902"/>
      <c r="L127" s="902"/>
      <c r="M127" s="854"/>
      <c r="N127" s="901"/>
      <c r="O127" s="968"/>
      <c r="P127" s="968"/>
      <c r="Q127" s="968"/>
      <c r="R127" s="968"/>
      <c r="S127" s="854"/>
      <c r="T127" s="854"/>
      <c r="U127" s="854"/>
      <c r="V127" s="854"/>
      <c r="W127" s="854"/>
      <c r="X127" s="854"/>
      <c r="Y127" s="1011"/>
      <c r="Z127" s="857"/>
      <c r="AA127" s="860"/>
      <c r="AB127" s="857"/>
      <c r="AC127" s="857"/>
      <c r="AD127" s="857"/>
    </row>
    <row customHeight="1" ht="9">
      <c r="A128" s="856"/>
      <c r="B128" s="856"/>
      <c r="C128" s="854"/>
      <c r="D128" s="854"/>
      <c r="E128" s="854"/>
      <c r="F128" s="854"/>
      <c r="G128" s="854"/>
      <c r="H128" s="902"/>
      <c r="I128" s="902"/>
      <c r="J128" s="902"/>
      <c r="K128" s="902"/>
      <c r="L128" s="902"/>
      <c r="M128" s="854"/>
      <c r="N128" s="901"/>
      <c r="O128" s="968"/>
      <c r="P128" s="968"/>
      <c r="Q128" s="968"/>
      <c r="R128" s="968"/>
      <c r="S128" s="854"/>
      <c r="T128" s="854"/>
      <c r="U128" s="854"/>
      <c r="V128" s="854"/>
      <c r="W128" s="854"/>
      <c r="X128" s="854"/>
      <c r="Y128" s="1011"/>
      <c r="Z128" s="857"/>
      <c r="AA128" s="860"/>
      <c r="AB128" s="857"/>
      <c r="AC128" s="857"/>
      <c r="AD128" s="857"/>
    </row>
    <row customHeight="1" ht="9">
      <c r="A129" s="856"/>
      <c r="B129" s="856"/>
      <c r="C129" s="854"/>
      <c r="D129" s="854"/>
      <c r="E129" s="854"/>
      <c r="F129" s="854"/>
      <c r="G129" s="854"/>
      <c r="H129" s="902"/>
      <c r="I129" s="902"/>
      <c r="J129" s="902"/>
      <c r="K129" s="902"/>
      <c r="L129" s="902"/>
      <c r="M129" s="854"/>
      <c r="N129" s="901"/>
      <c r="O129" s="968"/>
      <c r="P129" s="968"/>
      <c r="Q129" s="968"/>
      <c r="R129" s="968"/>
      <c r="S129" s="854"/>
      <c r="T129" s="854"/>
      <c r="U129" s="854"/>
      <c r="V129" s="854"/>
      <c r="W129" s="854"/>
      <c r="X129" s="854"/>
      <c r="Y129" s="1011"/>
      <c r="Z129" s="857"/>
      <c r="AA129" s="860"/>
      <c r="AB129" s="857"/>
      <c r="AC129" s="857"/>
      <c r="AD129" s="857"/>
    </row>
    <row customHeight="1" ht="9">
      <c r="A130" s="856"/>
      <c r="B130" s="856"/>
      <c r="C130" s="854"/>
      <c r="D130" s="854"/>
      <c r="E130" s="854"/>
      <c r="F130" s="854"/>
      <c r="G130" s="854"/>
      <c r="H130" s="902"/>
      <c r="I130" s="902"/>
      <c r="J130" s="902"/>
      <c r="K130" s="902"/>
      <c r="L130" s="902"/>
      <c r="M130" s="854"/>
      <c r="N130" s="901"/>
      <c r="O130" s="970"/>
      <c r="P130" s="970"/>
      <c r="Q130" s="970"/>
      <c r="R130" s="970"/>
      <c r="S130" s="854"/>
      <c r="T130" s="854"/>
      <c r="U130" s="854"/>
      <c r="V130" s="854"/>
      <c r="W130" s="854"/>
      <c r="X130" s="854"/>
      <c r="Y130" s="1011"/>
      <c r="Z130" s="857"/>
      <c r="AA130" s="860"/>
      <c r="AB130" s="857"/>
      <c r="AC130" s="857"/>
      <c r="AD130" s="857"/>
    </row>
    <row customHeight="1" ht="9">
      <c r="A131" s="856"/>
      <c r="B131" s="856"/>
      <c r="C131" s="854"/>
      <c r="D131" s="854"/>
      <c r="E131" s="854"/>
      <c r="F131" s="854"/>
      <c r="G131" s="854"/>
      <c r="H131" s="902"/>
      <c r="I131" s="902"/>
      <c r="J131" s="902"/>
      <c r="K131" s="902"/>
      <c r="L131" s="902"/>
      <c r="M131" s="854"/>
      <c r="N131" s="901"/>
      <c r="O131" s="971"/>
      <c r="P131" s="971"/>
      <c r="Q131" s="971"/>
      <c r="R131" s="971"/>
      <c r="S131" s="854"/>
      <c r="T131" s="854"/>
      <c r="U131" s="854"/>
      <c r="V131" s="854"/>
      <c r="W131" s="854"/>
      <c r="X131" s="854"/>
      <c r="Y131" s="1011"/>
      <c r="Z131" s="857"/>
      <c r="AA131" s="860"/>
      <c r="AB131" s="857"/>
      <c r="AC131" s="857"/>
      <c r="AD131" s="857"/>
    </row>
    <row customHeight="1" ht="9">
      <c r="A132" s="856"/>
      <c r="B132" s="856"/>
      <c r="C132" s="854"/>
      <c r="D132" s="854"/>
      <c r="E132" s="854"/>
      <c r="F132" s="854"/>
      <c r="G132" s="854"/>
      <c r="H132" s="902"/>
      <c r="I132" s="902"/>
      <c r="J132" s="902"/>
      <c r="K132" s="902"/>
      <c r="L132" s="902"/>
      <c r="M132" s="854"/>
      <c r="N132" s="901"/>
      <c r="O132" s="970"/>
      <c r="P132" s="970"/>
      <c r="Q132" s="970"/>
      <c r="R132" s="970"/>
      <c r="S132" s="854"/>
      <c r="T132" s="854"/>
      <c r="U132" s="854"/>
      <c r="V132" s="854"/>
      <c r="W132" s="854"/>
      <c r="X132" s="854"/>
      <c r="Y132" s="1011"/>
      <c r="Z132" s="857"/>
      <c r="AA132" s="860"/>
      <c r="AB132" s="857"/>
      <c r="AC132" s="857"/>
      <c r="AD132" s="857"/>
    </row>
    <row customHeight="1" ht="9">
      <c r="A133" s="856"/>
      <c r="B133" s="856"/>
      <c r="C133" s="854"/>
      <c r="D133" s="854"/>
      <c r="E133" s="854"/>
      <c r="F133" s="854"/>
      <c r="G133" s="854"/>
      <c r="H133" s="902"/>
      <c r="I133" s="902"/>
      <c r="J133" s="902"/>
      <c r="K133" s="902"/>
      <c r="L133" s="902"/>
      <c r="M133" s="854"/>
      <c r="N133" s="901"/>
      <c r="O133" s="971"/>
      <c r="P133" s="971"/>
      <c r="Q133" s="971"/>
      <c r="R133" s="971"/>
      <c r="S133" s="854"/>
      <c r="T133" s="854"/>
      <c r="U133" s="854"/>
      <c r="V133" s="854"/>
      <c r="W133" s="854"/>
      <c r="X133" s="854"/>
      <c r="Y133" s="1011"/>
      <c r="Z133" s="857"/>
      <c r="AA133" s="860"/>
      <c r="AB133" s="857"/>
      <c r="AC133" s="857"/>
      <c r="AD133" s="857"/>
    </row>
    <row customHeight="1" ht="9">
      <c r="A134" s="856"/>
      <c r="B134" s="856"/>
      <c r="C134" s="854"/>
      <c r="D134" s="854"/>
      <c r="E134" s="854"/>
      <c r="F134" s="854"/>
      <c r="G134" s="854"/>
      <c r="H134" s="902"/>
      <c r="I134" s="902"/>
      <c r="J134" s="902"/>
      <c r="K134" s="902"/>
      <c r="L134" s="902"/>
      <c r="M134" s="854"/>
      <c r="N134" s="901"/>
      <c r="O134" s="968"/>
      <c r="P134" s="968"/>
      <c r="Q134" s="968"/>
      <c r="R134" s="968"/>
      <c r="S134" s="854"/>
      <c r="T134" s="854"/>
      <c r="U134" s="854"/>
      <c r="V134" s="854"/>
      <c r="W134" s="854"/>
      <c r="X134" s="854"/>
      <c r="Y134" s="1011"/>
      <c r="Z134" s="857"/>
      <c r="AA134" s="860"/>
      <c r="AB134" s="857"/>
      <c r="AC134" s="857"/>
      <c r="AD134" s="857"/>
    </row>
    <row customHeight="1" ht="9">
      <c r="A135" s="856"/>
      <c r="B135" s="856"/>
      <c r="C135" s="854"/>
      <c r="D135" s="854"/>
      <c r="E135" s="854"/>
      <c r="F135" s="854"/>
      <c r="G135" s="854"/>
      <c r="H135" s="902"/>
      <c r="I135" s="902"/>
      <c r="J135" s="902"/>
      <c r="K135" s="902"/>
      <c r="L135" s="902"/>
      <c r="M135" s="854"/>
      <c r="N135" s="901"/>
      <c r="O135" s="968"/>
      <c r="P135" s="968"/>
      <c r="Q135" s="968"/>
      <c r="R135" s="968"/>
      <c r="S135" s="854"/>
      <c r="T135" s="854"/>
      <c r="U135" s="854"/>
      <c r="V135" s="854"/>
      <c r="W135" s="854"/>
      <c r="X135" s="854"/>
      <c r="Y135" s="1011"/>
      <c r="Z135" s="857"/>
      <c r="AA135" s="860"/>
      <c r="AB135" s="857"/>
      <c r="AC135" s="857"/>
      <c r="AD135" s="857"/>
    </row>
    <row customHeight="1" ht="9">
      <c r="A136" s="856"/>
      <c r="B136" s="856"/>
      <c r="C136" s="854"/>
      <c r="D136" s="854"/>
      <c r="E136" s="854"/>
      <c r="F136" s="854"/>
      <c r="G136" s="854"/>
      <c r="H136" s="902"/>
      <c r="I136" s="902"/>
      <c r="J136" s="902"/>
      <c r="K136" s="902"/>
      <c r="L136" s="902"/>
      <c r="M136" s="854"/>
      <c r="N136" s="901"/>
      <c r="O136" s="968"/>
      <c r="P136" s="968"/>
      <c r="Q136" s="968"/>
      <c r="R136" s="968"/>
      <c r="S136" s="854"/>
      <c r="T136" s="854"/>
      <c r="U136" s="854"/>
      <c r="V136" s="854"/>
      <c r="W136" s="854"/>
      <c r="X136" s="854"/>
      <c r="Y136" s="1011"/>
      <c r="Z136" s="857"/>
      <c r="AA136" s="860"/>
      <c r="AB136" s="857"/>
      <c r="AC136" s="857"/>
      <c r="AD136" s="857"/>
    </row>
    <row customHeight="1" ht="9">
      <c r="A137" s="856"/>
      <c r="B137" s="856"/>
      <c r="C137" s="854"/>
      <c r="D137" s="854"/>
      <c r="E137" s="854"/>
      <c r="F137" s="854"/>
      <c r="G137" s="854"/>
      <c r="H137" s="902"/>
      <c r="I137" s="902"/>
      <c r="J137" s="902"/>
      <c r="K137" s="902"/>
      <c r="L137" s="902"/>
      <c r="M137" s="854"/>
      <c r="N137" s="901"/>
      <c r="O137" s="972"/>
      <c r="P137" s="972"/>
      <c r="Q137" s="972"/>
      <c r="R137" s="972"/>
      <c r="S137" s="854"/>
      <c r="T137" s="854"/>
      <c r="U137" s="854"/>
      <c r="V137" s="854"/>
      <c r="W137" s="854"/>
      <c r="X137" s="854"/>
      <c r="Y137" s="1011"/>
      <c r="Z137" s="857"/>
      <c r="AA137" s="860"/>
      <c r="AB137" s="857"/>
      <c r="AC137" s="857"/>
      <c r="AD137" s="857"/>
    </row>
    <row customHeight="1" ht="9">
      <c r="A138" s="856"/>
      <c r="B138" s="856"/>
      <c r="C138" s="854"/>
      <c r="D138" s="854"/>
      <c r="E138" s="854"/>
      <c r="F138" s="854"/>
      <c r="G138" s="854"/>
      <c r="H138" s="902"/>
      <c r="I138" s="902"/>
      <c r="J138" s="902"/>
      <c r="K138" s="902"/>
      <c r="L138" s="902"/>
      <c r="M138" s="854"/>
      <c r="N138" s="901"/>
      <c r="O138" s="969"/>
      <c r="P138" s="969"/>
      <c r="Q138" s="969"/>
      <c r="R138" s="969"/>
      <c r="S138" s="854"/>
      <c r="T138" s="854"/>
      <c r="U138" s="854"/>
      <c r="V138" s="854"/>
      <c r="W138" s="854"/>
      <c r="X138" s="854"/>
      <c r="Y138" s="1011"/>
      <c r="Z138" s="857"/>
      <c r="AA138" s="860"/>
      <c r="AB138" s="857"/>
      <c r="AC138" s="857"/>
      <c r="AD138" s="857"/>
    </row>
    <row customHeight="1" ht="9">
      <c r="A139" s="856"/>
      <c r="B139" s="856"/>
      <c r="C139" s="854"/>
      <c r="D139" s="854"/>
      <c r="E139" s="854"/>
      <c r="F139" s="854"/>
      <c r="G139" s="854"/>
      <c r="H139" s="902"/>
      <c r="I139" s="902"/>
      <c r="J139" s="902"/>
      <c r="K139" s="902"/>
      <c r="L139" s="902"/>
      <c r="M139" s="854"/>
      <c r="N139" s="901"/>
      <c r="O139" s="854"/>
      <c r="P139" s="854"/>
      <c r="Q139" s="854"/>
      <c r="R139" s="854"/>
      <c r="S139" s="854"/>
      <c r="T139" s="854"/>
      <c r="U139" s="854"/>
      <c r="V139" s="854"/>
      <c r="W139" s="854"/>
      <c r="X139" s="854"/>
      <c r="Y139" s="1011"/>
      <c r="Z139" s="857"/>
      <c r="AA139" s="860"/>
      <c r="AB139" s="857"/>
      <c r="AC139" s="857"/>
      <c r="AD139" s="857"/>
    </row>
    <row customHeight="1" ht="9">
      <c r="A140" s="856"/>
      <c r="B140" s="856"/>
      <c r="C140" s="854"/>
      <c r="D140" s="854"/>
      <c r="E140" s="854"/>
      <c r="F140" s="854"/>
      <c r="G140" s="854"/>
      <c r="H140" s="902"/>
      <c r="I140" s="902"/>
      <c r="J140" s="902"/>
      <c r="K140" s="902"/>
      <c r="L140" s="902"/>
      <c r="M140" s="854"/>
      <c r="N140" s="901"/>
      <c r="O140" s="854"/>
      <c r="P140" s="854"/>
      <c r="Q140" s="854"/>
      <c r="R140" s="854"/>
      <c r="S140" s="854"/>
      <c r="T140" s="854"/>
      <c r="U140" s="854"/>
      <c r="V140" s="854"/>
      <c r="W140" s="854"/>
      <c r="X140" s="854"/>
      <c r="Y140" s="1011"/>
      <c r="Z140" s="857"/>
      <c r="AA140" s="860"/>
      <c r="AB140" s="857"/>
      <c r="AC140" s="857"/>
      <c r="AD140" s="857"/>
    </row>
    <row customHeight="1" ht="9">
      <c r="A141" s="856"/>
      <c r="B141" s="856"/>
      <c r="C141" s="854"/>
      <c r="D141" s="854"/>
      <c r="E141" s="854"/>
      <c r="F141" s="854"/>
      <c r="G141" s="854"/>
      <c r="H141" s="902"/>
      <c r="I141" s="902"/>
      <c r="J141" s="902"/>
      <c r="K141" s="902"/>
      <c r="L141" s="902"/>
      <c r="M141" s="854"/>
      <c r="N141" s="901"/>
      <c r="O141" s="854"/>
      <c r="P141" s="854"/>
      <c r="Q141" s="854"/>
      <c r="R141" s="854"/>
      <c r="S141" s="854"/>
      <c r="T141" s="854"/>
      <c r="U141" s="854"/>
      <c r="V141" s="854"/>
      <c r="W141" s="854"/>
      <c r="X141" s="854"/>
      <c r="Y141" s="1011"/>
      <c r="Z141" s="857"/>
      <c r="AA141" s="860"/>
      <c r="AB141" s="857"/>
      <c r="AC141" s="857"/>
      <c r="AD141" s="857"/>
    </row>
    <row customHeight="1" ht="9">
      <c r="A142" s="856"/>
      <c r="B142" s="856"/>
      <c r="C142" s="854"/>
      <c r="D142" s="854"/>
      <c r="E142" s="854"/>
      <c r="F142" s="854"/>
      <c r="G142" s="854"/>
      <c r="H142" s="902"/>
      <c r="I142" s="902"/>
      <c r="J142" s="902"/>
      <c r="K142" s="902"/>
      <c r="L142" s="902"/>
      <c r="M142" s="854"/>
      <c r="N142" s="901"/>
      <c r="O142" s="854"/>
      <c r="P142" s="854"/>
      <c r="Q142" s="854"/>
      <c r="R142" s="854"/>
      <c r="S142" s="854"/>
      <c r="T142" s="854"/>
      <c r="U142" s="854"/>
      <c r="V142" s="854"/>
      <c r="W142" s="854"/>
      <c r="X142" s="854"/>
      <c r="Y142" s="1011"/>
      <c r="Z142" s="857"/>
      <c r="AA142" s="860"/>
      <c r="AB142" s="857"/>
      <c r="AC142" s="857"/>
      <c r="AD142" s="857"/>
    </row>
    <row customHeight="1" ht="9">
      <c r="A143" s="856"/>
      <c r="B143" s="856"/>
      <c r="C143" s="854"/>
      <c r="D143" s="854"/>
      <c r="E143" s="854"/>
      <c r="F143" s="854"/>
      <c r="G143" s="854"/>
      <c r="H143" s="902"/>
      <c r="I143" s="902"/>
      <c r="J143" s="902"/>
      <c r="K143" s="902"/>
      <c r="L143" s="902"/>
      <c r="M143" s="854"/>
      <c r="N143" s="901"/>
      <c r="O143" s="854"/>
      <c r="P143" s="854"/>
      <c r="Q143" s="854"/>
      <c r="R143" s="854"/>
      <c r="S143" s="854"/>
      <c r="T143" s="854"/>
      <c r="U143" s="854"/>
      <c r="V143" s="854"/>
      <c r="W143" s="854"/>
      <c r="X143" s="854"/>
      <c r="Y143" s="1011"/>
      <c r="Z143" s="857"/>
      <c r="AA143" s="860"/>
      <c r="AB143" s="857"/>
      <c r="AC143" s="857"/>
      <c r="AD143" s="857"/>
    </row>
    <row customHeight="1" ht="9">
      <c r="A144" s="856"/>
      <c r="B144" s="856"/>
      <c r="C144" s="854"/>
      <c r="D144" s="854"/>
      <c r="E144" s="854"/>
      <c r="F144" s="854"/>
      <c r="G144" s="854"/>
      <c r="H144" s="902"/>
      <c r="I144" s="902"/>
      <c r="J144" s="902"/>
      <c r="K144" s="902"/>
      <c r="L144" s="902"/>
      <c r="M144" s="854"/>
      <c r="N144" s="901"/>
      <c r="O144" s="854"/>
      <c r="P144" s="854"/>
      <c r="Q144" s="854"/>
      <c r="R144" s="854"/>
      <c r="S144" s="854"/>
      <c r="T144" s="854"/>
      <c r="U144" s="854"/>
      <c r="V144" s="854"/>
      <c r="W144" s="854"/>
      <c r="X144" s="854"/>
      <c r="Y144" s="1011"/>
      <c r="Z144" s="857"/>
      <c r="AA144" s="860"/>
      <c r="AB144" s="857"/>
      <c r="AC144" s="857"/>
      <c r="AD144" s="857"/>
    </row>
    <row customHeight="1" ht="9">
      <c r="A145" s="856"/>
      <c r="B145" s="856"/>
      <c r="C145" s="854"/>
      <c r="D145" s="854"/>
      <c r="E145" s="854"/>
      <c r="F145" s="854"/>
      <c r="G145" s="854"/>
      <c r="H145" s="902"/>
      <c r="I145" s="902"/>
      <c r="J145" s="902"/>
      <c r="K145" s="902"/>
      <c r="L145" s="902"/>
      <c r="M145" s="854"/>
      <c r="N145" s="901"/>
      <c r="O145" s="854"/>
      <c r="P145" s="854"/>
      <c r="Q145" s="854"/>
      <c r="R145" s="854"/>
      <c r="S145" s="854"/>
      <c r="T145" s="854"/>
      <c r="U145" s="854"/>
      <c r="V145" s="854"/>
      <c r="W145" s="854"/>
      <c r="X145" s="854"/>
      <c r="Y145" s="1011"/>
      <c r="Z145" s="857"/>
      <c r="AA145" s="860"/>
      <c r="AB145" s="857"/>
      <c r="AC145" s="857"/>
      <c r="AD145" s="857"/>
    </row>
    <row customHeight="1" ht="9">
      <c r="A146" s="856"/>
      <c r="B146" s="856"/>
      <c r="C146" s="854"/>
      <c r="D146" s="854"/>
      <c r="E146" s="854"/>
      <c r="F146" s="854"/>
      <c r="G146" s="854"/>
      <c r="H146" s="902"/>
      <c r="I146" s="902"/>
      <c r="J146" s="902"/>
      <c r="K146" s="902"/>
      <c r="L146" s="902"/>
      <c r="M146" s="854"/>
      <c r="N146" s="901"/>
      <c r="O146" s="854"/>
      <c r="P146" s="854"/>
      <c r="Q146" s="854"/>
      <c r="R146" s="854"/>
      <c r="S146" s="854"/>
      <c r="T146" s="854"/>
      <c r="U146" s="854"/>
      <c r="V146" s="854"/>
      <c r="W146" s="854"/>
      <c r="X146" s="854"/>
      <c r="Y146" s="1011"/>
      <c r="Z146" s="857"/>
      <c r="AA146" s="860"/>
      <c r="AB146" s="857"/>
      <c r="AC146" s="857"/>
      <c r="AD146" s="857"/>
    </row>
    <row customHeight="1" ht="9">
      <c r="A147" s="856"/>
      <c r="B147" s="856"/>
      <c r="C147" s="856"/>
      <c r="D147" s="856"/>
      <c r="E147" s="856"/>
      <c r="F147" s="856"/>
      <c r="G147" s="856"/>
      <c r="H147" s="856"/>
      <c r="I147" s="856"/>
      <c r="J147" s="856"/>
      <c r="K147" s="856"/>
      <c r="L147" s="856"/>
      <c r="M147" s="856"/>
      <c r="N147" s="856"/>
      <c r="O147" s="856"/>
      <c r="P147" s="856"/>
      <c r="Q147" s="856"/>
      <c r="R147" s="856"/>
      <c r="S147" s="856"/>
      <c r="T147" s="856"/>
      <c r="U147" s="856"/>
      <c r="V147" s="856"/>
      <c r="W147" s="856"/>
      <c r="X147" s="856"/>
      <c r="Y147" s="856"/>
      <c r="Z147" s="856"/>
      <c r="AA147" s="856"/>
      <c r="AB147" s="856"/>
      <c r="AC147" s="856"/>
      <c r="AD147" s="856"/>
    </row>
    <row customHeight="1" ht="90">
      <c r="A148" s="856" t="s">
        <v>1894</v>
      </c>
      <c r="B148" s="856"/>
      <c r="C148" s="854" t="s">
        <v>2436</v>
      </c>
      <c r="D148" s="854" t="s">
        <v>1204</v>
      </c>
      <c r="E148" s="854" t="s">
        <v>1896</v>
      </c>
      <c r="F148" s="854" t="s">
        <v>2437</v>
      </c>
      <c r="G148" s="854"/>
      <c r="H148" s="854"/>
      <c r="I148" s="974"/>
      <c r="J148" s="974"/>
      <c r="K148" s="974"/>
      <c r="L148" s="974"/>
      <c r="M148" s="9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9"/>
      <c r="O148" s="854"/>
      <c r="P148" s="855"/>
      <c r="Q148" s="855"/>
      <c r="R148" s="855"/>
      <c r="S148" s="854"/>
      <c r="T148" s="854" t="s">
        <v>2438</v>
      </c>
      <c r="U148" s="8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5"/>
      <c r="W148" s="855"/>
      <c r="X148" s="854" t="s">
        <v>2439</v>
      </c>
      <c r="Y148" s="1011"/>
      <c r="Z148" s="857"/>
      <c r="AA148" s="860"/>
      <c r="AB148" s="857"/>
      <c r="AC148" s="857"/>
      <c r="AD148" s="857"/>
    </row>
    <row customHeight="1" ht="9">
      <c r="A149" s="856"/>
      <c r="B149" s="856"/>
      <c r="C149" s="856"/>
      <c r="D149" s="856"/>
      <c r="E149" s="856"/>
      <c r="F149" s="856"/>
      <c r="G149" s="856"/>
      <c r="H149" s="856"/>
      <c r="I149" s="856"/>
      <c r="J149" s="856"/>
      <c r="K149" s="856"/>
      <c r="L149" s="856"/>
      <c r="M149" s="856"/>
      <c r="N149" s="856"/>
      <c r="O149" s="856"/>
      <c r="P149" s="856"/>
      <c r="Q149" s="856"/>
      <c r="R149" s="856"/>
      <c r="S149" s="856"/>
      <c r="T149" s="856"/>
      <c r="U149" s="856"/>
      <c r="V149" s="856"/>
      <c r="W149" s="856"/>
      <c r="X149" s="856"/>
      <c r="Y149" s="856"/>
      <c r="Z149" s="856"/>
      <c r="AA149" s="856"/>
      <c r="AB149" s="856"/>
      <c r="AC149" s="856"/>
      <c r="AD149" s="856"/>
    </row>
    <row customHeight="1" ht="9">
      <c r="A150" s="856" t="s">
        <v>1898</v>
      </c>
      <c r="B150" s="856"/>
      <c r="C150" s="854"/>
      <c r="D150" s="854"/>
      <c r="E150" s="854"/>
      <c r="F150" s="854"/>
      <c r="G150" s="854"/>
      <c r="H150" s="854"/>
      <c r="I150" s="854"/>
      <c r="J150" s="854"/>
      <c r="K150" s="854"/>
      <c r="L150" s="854"/>
      <c r="M150" s="854"/>
      <c r="N150" s="854"/>
      <c r="O150" s="854"/>
      <c r="P150" s="854"/>
      <c r="Q150" s="854"/>
      <c r="R150" s="854"/>
      <c r="S150" s="854"/>
      <c r="T150" s="854"/>
      <c r="U150" s="854"/>
      <c r="V150" s="854"/>
      <c r="W150" s="854"/>
      <c r="X150" s="854"/>
      <c r="Y150" s="1011"/>
      <c r="Z150" s="857"/>
      <c r="AA150" s="860"/>
      <c r="AB150" s="857"/>
      <c r="AC150" s="857"/>
      <c r="AD150" s="857"/>
    </row>
    <row customHeight="1" ht="9">
      <c r="A151" s="856"/>
      <c r="B151" s="856"/>
      <c r="C151" s="856"/>
      <c r="D151" s="856"/>
      <c r="E151" s="856"/>
      <c r="F151" s="856"/>
      <c r="G151" s="856"/>
      <c r="H151" s="856"/>
      <c r="I151" s="856"/>
      <c r="J151" s="856"/>
      <c r="K151" s="856"/>
      <c r="L151" s="856"/>
      <c r="M151" s="856"/>
      <c r="N151" s="856"/>
      <c r="O151" s="856"/>
      <c r="P151" s="856"/>
      <c r="Q151" s="856"/>
      <c r="R151" s="856"/>
      <c r="S151" s="856"/>
      <c r="T151" s="856"/>
      <c r="U151" s="856"/>
      <c r="V151" s="856"/>
      <c r="W151" s="856"/>
      <c r="X151" s="856"/>
      <c r="Y151" s="856"/>
      <c r="Z151" s="856"/>
      <c r="AA151" s="856"/>
      <c r="AB151" s="856"/>
      <c r="AC151" s="856"/>
      <c r="AD151" s="856"/>
    </row>
    <row customHeight="1" ht="9">
      <c r="A152" s="856" t="s">
        <v>1901</v>
      </c>
      <c r="B152" s="856"/>
      <c r="C152" s="854"/>
      <c r="D152" s="854"/>
      <c r="E152" s="854"/>
      <c r="F152" s="854"/>
      <c r="G152" s="854"/>
      <c r="H152" s="854"/>
      <c r="I152" s="854"/>
      <c r="J152" s="854"/>
      <c r="K152" s="854"/>
      <c r="L152" s="854"/>
      <c r="M152" s="854"/>
      <c r="N152" s="854"/>
      <c r="O152" s="854"/>
      <c r="P152" s="854"/>
      <c r="Q152" s="854"/>
      <c r="R152" s="854"/>
      <c r="S152" s="854"/>
      <c r="T152" s="854"/>
      <c r="U152" s="854"/>
      <c r="V152" s="854"/>
      <c r="W152" s="854"/>
      <c r="X152" s="854"/>
      <c r="Y152" s="1011"/>
      <c r="Z152" s="857"/>
      <c r="AA152" s="860"/>
      <c r="AB152" s="857"/>
      <c r="AC152" s="857"/>
      <c r="AD152" s="857"/>
    </row>
    <row customHeight="1" ht="9">
      <c r="A153" s="856"/>
      <c r="B153" s="856"/>
      <c r="C153" s="856"/>
      <c r="D153" s="856"/>
      <c r="E153" s="856"/>
      <c r="F153" s="856"/>
      <c r="G153" s="856"/>
      <c r="H153" s="856"/>
      <c r="I153" s="856"/>
      <c r="J153" s="856"/>
      <c r="K153" s="856"/>
      <c r="L153" s="856"/>
      <c r="M153" s="856"/>
      <c r="N153" s="856"/>
      <c r="O153" s="856"/>
      <c r="P153" s="856"/>
      <c r="Q153" s="856"/>
      <c r="R153" s="856"/>
      <c r="S153" s="856"/>
      <c r="T153" s="856"/>
      <c r="U153" s="856"/>
      <c r="V153" s="856"/>
      <c r="W153" s="856"/>
      <c r="X153" s="856"/>
      <c r="Y153" s="856"/>
      <c r="Z153" s="856"/>
      <c r="AA153" s="856"/>
      <c r="AB153" s="856"/>
      <c r="AC153" s="856"/>
      <c r="AD153" s="856"/>
    </row>
    <row customHeight="1" ht="9">
      <c r="A154" s="856" t="s">
        <v>1906</v>
      </c>
      <c r="B154" s="856"/>
      <c r="C154" s="854"/>
      <c r="D154" s="854"/>
      <c r="E154" s="854"/>
      <c r="F154" s="854"/>
      <c r="G154" s="854"/>
      <c r="H154" s="854"/>
      <c r="I154" s="854"/>
      <c r="J154" s="854"/>
      <c r="K154" s="854"/>
      <c r="L154" s="854"/>
      <c r="M154" s="854"/>
      <c r="N154" s="854"/>
      <c r="O154" s="854"/>
      <c r="P154" s="854"/>
      <c r="Q154" s="854"/>
      <c r="R154" s="854"/>
      <c r="S154" s="854"/>
      <c r="T154" s="854"/>
      <c r="U154" s="854"/>
      <c r="V154" s="854"/>
      <c r="W154" s="854"/>
      <c r="X154" s="854"/>
      <c r="Y154" s="1011"/>
      <c r="Z154" s="857"/>
      <c r="AA154" s="860"/>
      <c r="AB154" s="857"/>
      <c r="AC154" s="857"/>
      <c r="AD154" s="85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1D87B-82D2-01BE-80B8-8B2B175B07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7" width="10.57421875" hidden="1"/>
    <col min="2" max="2" style="1377" width="11.00390625" hidden="1" customWidth="1"/>
    <col min="3" max="3" style="1377" width="10.57421875" hidden="1"/>
    <col min="4" max="4" style="1377" width="11.8515625" hidden="1" customWidth="1"/>
    <col min="5" max="5" style="1377" width="12.28125" hidden="1" customWidth="1"/>
    <col min="6" max="8" style="1786" width="12.28125" hidden="1" customWidth="1"/>
    <col min="9" max="9" style="2427" width="3.00390625" customWidth="1"/>
    <col min="10" max="11" style="355" width="3.00390625" customWidth="1"/>
    <col min="12" max="12" style="2437" width="12.00390625" customWidth="1"/>
    <col min="13" max="13" style="1646" width="31.00390625" customWidth="1"/>
    <col min="14" max="14" style="1646" width="1.00390625" customWidth="1"/>
    <col min="15" max="18" style="1646" width="24.00390625" customWidth="1"/>
    <col min="19" max="19" style="1646" width="11.00390625" customWidth="1"/>
    <col min="20" max="20" style="1646" width="3.7109375" customWidth="1"/>
    <col min="21" max="21" style="1646" width="11.00390625" customWidth="1"/>
    <col min="22" max="22" style="1646" width="8.57421875" customWidth="1"/>
    <col min="23" max="23" style="1646" width="4.00390625" customWidth="1"/>
    <col min="24" max="24" style="1646" width="115.00390625" customWidth="1"/>
    <col min="25" max="29" style="1653" width="10.00390625" customWidth="1"/>
    <col min="30" max="30" style="1646" width="10.57421875" hidden="1"/>
  </cols>
  <sheetData>
    <row customHeight="1" ht="22.5" hidden="1">
      <c r="R1" s="338"/>
      <c r="S1" s="338"/>
      <c r="AD1" s="1166" t="s">
        <v>14</v>
      </c>
    </row>
    <row customHeight="1" ht="14.25" hidden="1">
      <c r="V2" s="338"/>
      <c r="AD2" s="1166">
        <v>0</v>
      </c>
    </row>
    <row customHeight="1" ht="14.25" hidden="1">
      <c r="AD3" s="1166">
        <v>0</v>
      </c>
    </row>
    <row customHeight="1" ht="14.699999999999998">
      <c r="J4" s="387"/>
      <c r="K4" s="387"/>
      <c r="L4" s="1286"/>
      <c r="M4" s="374"/>
      <c r="N4" s="374"/>
      <c r="O4" s="520"/>
      <c r="P4" s="520"/>
      <c r="Q4" s="520"/>
      <c r="R4" s="520"/>
      <c r="S4" s="520"/>
      <c r="T4" s="520"/>
      <c r="U4" s="520"/>
      <c r="V4" s="520"/>
      <c r="AD4" s="1166">
        <v>14</v>
      </c>
    </row>
    <row customHeight="1" ht="67.2">
      <c r="J5" s="387"/>
      <c r="K5" s="387"/>
      <c r="L5" s="2633" t="s">
        <v>2440</v>
      </c>
      <c r="M5" s="2633"/>
      <c r="N5" s="2633"/>
      <c r="O5" s="2633"/>
      <c r="P5" s="2633"/>
      <c r="Q5" s="2633"/>
      <c r="R5" s="2633"/>
      <c r="S5" s="2633"/>
      <c r="T5" s="2633"/>
      <c r="U5" s="2633"/>
      <c r="V5" s="1254"/>
      <c r="AD5" s="1166">
        <v>64</v>
      </c>
    </row>
    <row customHeight="1" ht="14.699999999999998">
      <c r="J6" s="387"/>
      <c r="K6" s="387"/>
      <c r="L6" s="2634" t="str">
        <f>IF(org=0,"Не определено",org)</f>
        <v>ПАО "КГК"</v>
      </c>
      <c r="M6" s="2634"/>
      <c r="N6" s="2634"/>
      <c r="O6" s="2634"/>
      <c r="P6" s="2634"/>
      <c r="Q6" s="2634"/>
      <c r="R6" s="2634"/>
      <c r="S6" s="2634"/>
      <c r="T6" s="2634"/>
      <c r="U6" s="2634"/>
      <c r="V6" s="1254"/>
      <c r="AD6" s="1166">
        <v>14</v>
      </c>
    </row>
    <row customHeight="1" ht="14.699999999999998">
      <c r="J7" s="387"/>
      <c r="K7" s="387"/>
      <c r="L7" s="1286"/>
      <c r="M7" s="374"/>
      <c r="N7" s="374"/>
      <c r="O7" s="333"/>
      <c r="P7" s="333"/>
      <c r="Q7" s="333"/>
      <c r="R7" s="333"/>
      <c r="S7" s="333"/>
      <c r="T7" s="333"/>
      <c r="U7" s="333"/>
      <c r="V7" s="333"/>
      <c r="W7" s="520"/>
      <c r="AD7" s="1166">
        <v>14</v>
      </c>
    </row>
    <row s="1861" customFormat="1" customHeight="1" ht="48.29999999999999">
      <c r="A8" s="1379"/>
      <c r="B8" s="1379"/>
      <c r="C8" s="1379"/>
      <c r="D8" s="1379"/>
      <c r="E8" s="1379"/>
      <c r="F8" s="1379"/>
      <c r="G8" s="1379"/>
      <c r="H8" s="1379"/>
      <c r="L8" s="1287"/>
      <c r="M8" s="306" t="s">
        <v>42</v>
      </c>
      <c r="N8" s="315"/>
      <c r="O8" s="2281" t="str">
        <f>IF(TITLE_NAME_OR_PR_CHANGE="",IF(TITLE_NAME_OR_PR="","",TITLE_NAME_OR_PR),TITLE_NAME_OR_PR_CHANGE)</f>
        <v/>
      </c>
      <c r="P8" s="2281"/>
      <c r="Q8" s="2281"/>
      <c r="R8" s="2281"/>
      <c r="S8" s="2281"/>
      <c r="T8" s="2281"/>
      <c r="U8" s="2281"/>
      <c r="V8" s="337"/>
      <c r="W8" s="337"/>
      <c r="X8" s="291"/>
      <c r="Y8" s="379"/>
      <c r="Z8" s="379"/>
      <c r="AA8" s="379"/>
      <c r="AB8" s="379"/>
      <c r="AC8" s="379"/>
      <c r="AD8" s="429">
        <v>46</v>
      </c>
    </row>
    <row s="1861" customFormat="1" customHeight="1" ht="24">
      <c r="A9" s="1379"/>
      <c r="B9" s="1379"/>
      <c r="C9" s="1379"/>
      <c r="D9" s="1379"/>
      <c r="E9" s="1379"/>
      <c r="F9" s="1379"/>
      <c r="G9" s="1379"/>
      <c r="H9" s="1379"/>
      <c r="L9" s="1287"/>
      <c r="M9" s="306" t="s">
        <v>517</v>
      </c>
      <c r="N9" s="315"/>
      <c r="O9" s="2281" t="str">
        <f>IF(TITLE_DATE_CHANGE_PERIOD="",IF(TITLE_DATE_PR="","",TITLE_DATE_PR),TITLE_DATE_CHANGE_PERIOD)</f>
        <v/>
      </c>
      <c r="P9" s="2281"/>
      <c r="Q9" s="2281"/>
      <c r="R9" s="2281"/>
      <c r="S9" s="2281"/>
      <c r="T9" s="2281"/>
      <c r="U9" s="2281"/>
      <c r="V9" s="337"/>
      <c r="W9" s="337"/>
      <c r="X9" s="291"/>
      <c r="Y9" s="379"/>
      <c r="Z9" s="379"/>
      <c r="AA9" s="379"/>
      <c r="AB9" s="379"/>
      <c r="AC9" s="379"/>
      <c r="AD9" s="429">
        <v>23</v>
      </c>
    </row>
    <row s="1861" customFormat="1" customHeight="1" ht="24">
      <c r="A10" s="1379"/>
      <c r="B10" s="1379"/>
      <c r="C10" s="1379"/>
      <c r="D10" s="1379"/>
      <c r="E10" s="1379"/>
      <c r="F10" s="1379"/>
      <c r="G10" s="1379"/>
      <c r="H10" s="1379"/>
      <c r="L10" s="1261"/>
      <c r="M10" s="306" t="s">
        <v>518</v>
      </c>
      <c r="N10" s="315"/>
      <c r="O10" s="2281" t="str">
        <f>IF(TITLE_NUMBER_PR_CHANGE="",IF(TITLE_NUMBER_PR="","",TITLE_NUMBER_PR),TITLE_NUMBER_PR_CHANGE)</f>
        <v/>
      </c>
      <c r="P10" s="2281"/>
      <c r="Q10" s="2281"/>
      <c r="R10" s="2281"/>
      <c r="S10" s="2281"/>
      <c r="T10" s="2281"/>
      <c r="U10" s="2281"/>
      <c r="V10" s="337"/>
      <c r="W10" s="337"/>
      <c r="X10" s="291"/>
      <c r="Y10" s="379"/>
      <c r="Z10" s="379"/>
      <c r="AA10" s="379"/>
      <c r="AB10" s="379"/>
      <c r="AC10" s="379"/>
      <c r="AD10" s="429">
        <v>23</v>
      </c>
    </row>
    <row s="1861" customFormat="1" customHeight="1" ht="24">
      <c r="A11" s="1379"/>
      <c r="B11" s="1379"/>
      <c r="C11" s="1379"/>
      <c r="D11" s="1379"/>
      <c r="E11" s="1379"/>
      <c r="F11" s="1379"/>
      <c r="G11" s="1379"/>
      <c r="H11" s="1379"/>
      <c r="L11" s="1261"/>
      <c r="M11" s="306" t="s">
        <v>43</v>
      </c>
      <c r="N11" s="315"/>
      <c r="O11" s="2281" t="str">
        <f>IF(TITLE_IST_PUB_CHANGE="",IF(TITLE_IST_PUB="","",TITLE_IST_PUB),TITLE_IST_PUB_CHANGE)</f>
        <v/>
      </c>
      <c r="P11" s="2281"/>
      <c r="Q11" s="2281"/>
      <c r="R11" s="2281"/>
      <c r="S11" s="2281"/>
      <c r="T11" s="2281"/>
      <c r="U11" s="2281"/>
      <c r="V11" s="337"/>
      <c r="W11" s="337"/>
      <c r="X11" s="291"/>
      <c r="Y11" s="379"/>
      <c r="Z11" s="379"/>
      <c r="AA11" s="379"/>
      <c r="AB11" s="379"/>
      <c r="AC11" s="379"/>
      <c r="AD11" s="429">
        <v>23</v>
      </c>
    </row>
    <row s="1861" customFormat="1" customHeight="1" ht="11.25" hidden="1">
      <c r="A12" s="1379"/>
      <c r="B12" s="1379"/>
      <c r="C12" s="1379"/>
      <c r="D12" s="1379"/>
      <c r="E12" s="1379"/>
      <c r="F12" s="1379"/>
      <c r="G12" s="1379"/>
      <c r="H12" s="1379"/>
      <c r="L12" s="2635"/>
      <c r="M12" s="2635"/>
      <c r="N12" s="1298"/>
      <c r="O12" s="337"/>
      <c r="P12" s="337"/>
      <c r="Q12" s="337"/>
      <c r="R12" s="337"/>
      <c r="S12" s="337"/>
      <c r="T12" s="337"/>
      <c r="U12" s="337"/>
      <c r="V12" s="289" t="s">
        <v>437</v>
      </c>
      <c r="Y12" s="379"/>
      <c r="Z12" s="379"/>
      <c r="AA12" s="379"/>
      <c r="AB12" s="379"/>
      <c r="AC12" s="379"/>
      <c r="AD12" s="429">
        <v>0</v>
      </c>
    </row>
    <row customHeight="1" ht="14.699999999999998">
      <c r="J13" s="387"/>
      <c r="K13" s="387"/>
      <c r="L13" s="1286"/>
      <c r="M13" s="374"/>
      <c r="N13" s="1255"/>
      <c r="O13" s="2282"/>
      <c r="P13" s="2282"/>
      <c r="Q13" s="2282"/>
      <c r="R13" s="2282"/>
      <c r="S13" s="2282"/>
      <c r="T13" s="2282"/>
      <c r="U13" s="2282"/>
      <c r="V13" s="2282"/>
      <c r="AD13" s="1166">
        <v>14</v>
      </c>
    </row>
    <row customHeight="1" ht="14.699999999999998">
      <c r="J14" s="387"/>
      <c r="K14" s="387"/>
      <c r="L14" s="2157" t="s">
        <v>314</v>
      </c>
      <c r="M14" s="2157"/>
      <c r="N14" s="2157"/>
      <c r="O14" s="2157"/>
      <c r="P14" s="2157"/>
      <c r="Q14" s="2157"/>
      <c r="R14" s="2157"/>
      <c r="S14" s="2157"/>
      <c r="T14" s="2157"/>
      <c r="U14" s="2157"/>
      <c r="V14" s="2157"/>
      <c r="W14" s="2157"/>
      <c r="X14" s="2157" t="s">
        <v>315</v>
      </c>
      <c r="AD14" s="1166">
        <v>14</v>
      </c>
    </row>
    <row customHeight="1" ht="14.699999999999998">
      <c r="J15" s="387"/>
      <c r="K15" s="387"/>
      <c r="L15" s="2303" t="s">
        <v>89</v>
      </c>
      <c r="M15" s="2239" t="s">
        <v>438</v>
      </c>
      <c r="N15" s="312"/>
      <c r="O15" s="2304" t="s">
        <v>2441</v>
      </c>
      <c r="P15" s="2305"/>
      <c r="Q15" s="2305"/>
      <c r="R15" s="2305"/>
      <c r="S15" s="2305"/>
      <c r="T15" s="2305"/>
      <c r="U15" s="2306"/>
      <c r="V15" s="2307" t="s">
        <v>440</v>
      </c>
      <c r="W15" s="2310" t="s">
        <v>1421</v>
      </c>
      <c r="X15" s="2157"/>
      <c r="AD15" s="1166">
        <v>14</v>
      </c>
    </row>
    <row customHeight="1" ht="35.699999999999996">
      <c r="J16" s="387"/>
      <c r="K16" s="387"/>
      <c r="L16" s="2303"/>
      <c r="M16" s="2239"/>
      <c r="N16" s="1042"/>
      <c r="O16" s="2290" t="s">
        <v>443</v>
      </c>
      <c r="P16" s="2290" t="s">
        <v>444</v>
      </c>
      <c r="Q16" s="2292" t="s">
        <v>445</v>
      </c>
      <c r="R16" s="2293"/>
      <c r="S16" s="2292" t="s">
        <v>459</v>
      </c>
      <c r="T16" s="2299"/>
      <c r="U16" s="2293"/>
      <c r="V16" s="2308"/>
      <c r="W16" s="2311"/>
      <c r="X16" s="2157"/>
      <c r="AD16" s="1166">
        <v>34</v>
      </c>
    </row>
    <row customHeight="1" ht="35.699999999999996">
      <c r="A17" s="1381" t="s">
        <v>150</v>
      </c>
      <c r="B17" s="1381" t="s">
        <v>151</v>
      </c>
      <c r="C17" s="1381" t="s">
        <v>152</v>
      </c>
      <c r="D17" s="1381" t="s">
        <v>153</v>
      </c>
      <c r="E17" s="1381"/>
      <c r="J17" s="387"/>
      <c r="K17" s="387"/>
      <c r="L17" s="2303"/>
      <c r="M17" s="2239"/>
      <c r="N17" s="313"/>
      <c r="O17" s="2291"/>
      <c r="P17" s="2291"/>
      <c r="Q17" s="1233" t="s">
        <v>454</v>
      </c>
      <c r="R17" s="1233" t="s">
        <v>455</v>
      </c>
      <c r="S17" s="1303" t="s">
        <v>456</v>
      </c>
      <c r="T17" s="2300" t="s">
        <v>457</v>
      </c>
      <c r="U17" s="2301"/>
      <c r="V17" s="2309"/>
      <c r="W17" s="2312"/>
      <c r="X17" s="2157"/>
      <c r="AD17" s="1166">
        <v>34</v>
      </c>
    </row>
    <row s="1652" customFormat="1" customHeight="1" ht="11.549999999999999">
      <c r="A18" s="1381"/>
      <c r="B18" s="1381"/>
      <c r="C18" s="1381"/>
      <c r="D18" s="1381"/>
      <c r="E18" s="1381"/>
      <c r="F18" s="1373"/>
      <c r="G18" s="1373"/>
      <c r="H18" s="1373"/>
      <c r="I18" s="1257"/>
      <c r="J18" s="1258"/>
      <c r="K18" s="1265">
        <v>1</v>
      </c>
      <c r="L18" s="1288" t="s">
        <v>120</v>
      </c>
      <c r="M18" s="1266" t="s">
        <v>104</v>
      </c>
      <c r="N18" s="1256" t="str">
        <f>OFFSET(N18,0,-1)</f>
        <v>2</v>
      </c>
      <c r="O18" s="1300">
        <f>OFFSET(O18,0,-1)+1</f>
        <v>3</v>
      </c>
      <c r="P18" s="1300"/>
      <c r="Q18" s="1300">
        <f>OFFSET(Q18,0,-1)+1</f>
        <v>1</v>
      </c>
      <c r="R18" s="1300">
        <f>OFFSET(R18,0,-1)+1</f>
        <v>2</v>
      </c>
      <c r="S18" s="1300">
        <f>OFFSET(S18,0,-1)+1</f>
        <v>3</v>
      </c>
      <c r="T18" s="2302">
        <f>OFFSET(T18,0,-1)+1</f>
        <v>4</v>
      </c>
      <c r="U18" s="2302"/>
      <c r="V18" s="1300">
        <f>OFFSET(V18,0,-2)+1</f>
        <v>5</v>
      </c>
      <c r="W18" s="1256">
        <f>OFFSET(W18,0,-1)</f>
        <v>5</v>
      </c>
      <c r="X18" s="1300">
        <f>OFFSET(X18,0,-1)+1</f>
        <v>6</v>
      </c>
      <c r="Y18" s="522"/>
      <c r="Z18" s="522"/>
      <c r="AA18" s="522"/>
      <c r="AB18" s="522"/>
      <c r="AC18" s="522"/>
      <c r="AD18" s="507">
        <v>11</v>
      </c>
    </row>
    <row customHeight="1" ht="21">
      <c r="A19" s="1374" t="s">
        <v>184</v>
      </c>
      <c r="B19" s="1374" t="s">
        <v>185</v>
      </c>
      <c r="C19" s="1374" t="s">
        <v>186</v>
      </c>
      <c r="D19" s="1374" t="s">
        <v>187</v>
      </c>
      <c r="E19" s="1374"/>
      <c r="F19" s="1376"/>
      <c r="G19" s="1376"/>
      <c r="H19" s="1376"/>
      <c r="I19" s="372"/>
      <c r="J19" s="371"/>
      <c r="K19" s="366"/>
      <c r="L19" s="1304">
        <f>INDEX(PT_DIFFERENTIATION_NUM_NTAR,MATCH(A19,PT_DIFFERENTIATION_NTAR_ID,0))</f>
        <v>0</v>
      </c>
      <c r="M19" s="309" t="s">
        <v>139</v>
      </c>
      <c r="N19" s="311"/>
      <c r="O19" s="2636" t="str">
        <f>INDEX(PT_DIFFERENTIATION_NTAR,MATCH(A19,PT_DIFFERENTIATION_NTAR_ID,0))</f>
        <v/>
      </c>
      <c r="P19" s="2636"/>
      <c r="Q19" s="2636"/>
      <c r="R19" s="2636"/>
      <c r="S19" s="2636"/>
      <c r="T19" s="2636"/>
      <c r="U19" s="2636"/>
      <c r="V19" s="2636"/>
      <c r="W19" s="2636"/>
      <c r="X19" s="1269" t="s">
        <v>410</v>
      </c>
      <c r="Z19" s="511"/>
      <c r="AA19" s="511" t="str">
        <f>IF(M19="","",M19)</f>
        <v>Наименование тарифа</v>
      </c>
      <c r="AB19" s="511"/>
      <c r="AC19" s="511"/>
      <c r="AD19" s="1166">
        <v>20</v>
      </c>
    </row>
    <row customHeight="1" ht="21">
      <c r="A20" s="1374" t="s">
        <v>184</v>
      </c>
      <c r="B20" s="1374" t="s">
        <v>185</v>
      </c>
      <c r="C20" s="1374" t="s">
        <v>186</v>
      </c>
      <c r="D20" s="1374" t="s">
        <v>187</v>
      </c>
      <c r="E20" s="1374"/>
      <c r="F20" s="1376"/>
      <c r="G20" s="1376"/>
      <c r="H20" s="1376"/>
      <c r="I20" s="1301"/>
      <c r="J20" s="363"/>
      <c r="K20" s="364"/>
      <c r="L20" s="1304" t="str">
        <f>INDEX(PT_DIFFERENTIATION_NUM_TER,MATCH(B19,PT_DIFFERENTIATION_TER_ID,0))</f>
        <v>.</v>
      </c>
      <c r="M20" s="319" t="s">
        <v>411</v>
      </c>
      <c r="N20" s="311"/>
      <c r="O20" s="2636" t="str">
        <f>INDEX(PT_DIFFERENTIATION_TER,MATCH(B19,PT_DIFFERENTIATION_TER_ID,0))</f>
        <v/>
      </c>
      <c r="P20" s="2636"/>
      <c r="Q20" s="2636"/>
      <c r="R20" s="2636"/>
      <c r="S20" s="2636"/>
      <c r="T20" s="2636"/>
      <c r="U20" s="2636"/>
      <c r="V20" s="2636"/>
      <c r="W20" s="2636"/>
      <c r="X20" s="1269" t="s">
        <v>412</v>
      </c>
      <c r="Z20" s="511"/>
      <c r="AA20" s="511" t="str">
        <f>IF(M20="","",M20)</f>
        <v>Территория действия тарифа</v>
      </c>
      <c r="AB20" s="511"/>
      <c r="AC20" s="511"/>
      <c r="AD20" s="1166">
        <v>20</v>
      </c>
    </row>
    <row customHeight="1" ht="24">
      <c r="A21" s="1374" t="s">
        <v>184</v>
      </c>
      <c r="B21" s="1374" t="s">
        <v>185</v>
      </c>
      <c r="C21" s="1374" t="s">
        <v>186</v>
      </c>
      <c r="D21" s="1374" t="s">
        <v>187</v>
      </c>
      <c r="E21" s="1374"/>
      <c r="F21" s="1376"/>
      <c r="G21" s="1376"/>
      <c r="H21" s="1376"/>
      <c r="I21" s="365"/>
      <c r="J21" s="363"/>
      <c r="K21" s="364"/>
      <c r="L21" s="1304" t="str">
        <f>INDEX(PT_DIFFERENTIATION_NUM_CS,MATCH(C19,PT_DIFFERENTIATION_CS_ID,0))</f>
        <v>..</v>
      </c>
      <c r="M21" s="320" t="s">
        <v>413</v>
      </c>
      <c r="N21" s="311"/>
      <c r="O21" s="2636" t="str">
        <f>INDEX(PT_DIFFERENTIATION_CS,MATCH(C19,PT_DIFFERENTIATION_CS_ID,0))</f>
        <v/>
      </c>
      <c r="P21" s="2636"/>
      <c r="Q21" s="2636"/>
      <c r="R21" s="2636"/>
      <c r="S21" s="2636"/>
      <c r="T21" s="2636"/>
      <c r="U21" s="2636"/>
      <c r="V21" s="2636"/>
      <c r="W21" s="2636"/>
      <c r="X21" s="1269" t="s">
        <v>414</v>
      </c>
      <c r="Z21" s="511"/>
      <c r="AA21" s="511" t="str">
        <f>IF(M21="","",M21)</f>
        <v>Наименование системы теплоснабжения </v>
      </c>
      <c r="AB21" s="511"/>
      <c r="AC21" s="511"/>
      <c r="AD21" s="1166">
        <v>23</v>
      </c>
    </row>
    <row customHeight="1" ht="21">
      <c r="A22" s="1374" t="s">
        <v>184</v>
      </c>
      <c r="B22" s="1374" t="s">
        <v>185</v>
      </c>
      <c r="C22" s="1374" t="s">
        <v>186</v>
      </c>
      <c r="D22" s="1374" t="s">
        <v>187</v>
      </c>
      <c r="E22" s="1374"/>
      <c r="F22" s="1376"/>
      <c r="G22" s="1376"/>
      <c r="H22" s="1376"/>
      <c r="I22" s="365"/>
      <c r="J22" s="363"/>
      <c r="K22" s="364"/>
      <c r="L22" s="1304" t="str">
        <f>INDEX(PT_DIFFERENTIATION_NUM_IST_TE,MATCH(D19,PT_DIFFERENTIATION_IST_TE_ID,0))</f>
        <v>...</v>
      </c>
      <c r="M22" s="321" t="s">
        <v>415</v>
      </c>
      <c r="N22" s="311"/>
      <c r="O22" s="2636" t="str">
        <f>INDEX(PT_DIFFERENTIATION_IST_TE,MATCH(D19,PT_DIFFERENTIATION_IST_TE_ID,0))</f>
        <v/>
      </c>
      <c r="P22" s="2636"/>
      <c r="Q22" s="2636"/>
      <c r="R22" s="2636"/>
      <c r="S22" s="2636"/>
      <c r="T22" s="2636"/>
      <c r="U22" s="2636"/>
      <c r="V22" s="2636"/>
      <c r="W22" s="2636"/>
      <c r="X22" s="1269" t="s">
        <v>416</v>
      </c>
      <c r="Z22" s="511"/>
      <c r="AA22" s="511" t="str">
        <f>IF(M22="","",M22)</f>
        <v>Источник тепловой энергии  </v>
      </c>
      <c r="AB22" s="511"/>
      <c r="AC22" s="511"/>
      <c r="AD22" s="1166">
        <v>20</v>
      </c>
    </row>
    <row customHeight="1" ht="96.75">
      <c r="A23" s="1374" t="s">
        <v>184</v>
      </c>
      <c r="B23" s="1374" t="s">
        <v>185</v>
      </c>
      <c r="C23" s="1374" t="s">
        <v>186</v>
      </c>
      <c r="D23" s="1374" t="s">
        <v>187</v>
      </c>
      <c r="E23" s="1374"/>
      <c r="F23" s="2637" t="str">
        <f>L22&amp;".1"</f>
        <v>....1</v>
      </c>
      <c r="I23" s="2287">
        <v>1</v>
      </c>
      <c r="J23" s="1302"/>
      <c r="K23" s="367"/>
      <c r="L23" s="1304" t="str">
        <f>$F$23</f>
        <v>....1</v>
      </c>
      <c r="M23" s="296" t="s">
        <v>418</v>
      </c>
      <c r="N23" s="311"/>
      <c r="O23" s="2335"/>
      <c r="P23" s="2335"/>
      <c r="Q23" s="2335"/>
      <c r="R23" s="2335"/>
      <c r="S23" s="2335"/>
      <c r="T23" s="2335"/>
      <c r="U23" s="2335"/>
      <c r="V23" s="2335"/>
      <c r="W23" s="2335"/>
      <c r="X23" s="1269" t="s">
        <v>419</v>
      </c>
      <c r="Z23" s="511"/>
      <c r="AA23" s="511" t="str">
        <f>IF(M23="","",M23)</f>
        <v>Схема подключения теплопотребляющей установки к коллектору источника тепловой энергии</v>
      </c>
      <c r="AB23" s="511"/>
      <c r="AC23" s="511"/>
      <c r="AD23" s="1166">
        <v>92</v>
      </c>
    </row>
    <row customHeight="1" ht="86.25">
      <c r="A24" s="1374" t="s">
        <v>184</v>
      </c>
      <c r="B24" s="1374" t="s">
        <v>185</v>
      </c>
      <c r="C24" s="1374" t="s">
        <v>186</v>
      </c>
      <c r="D24" s="1374" t="s">
        <v>187</v>
      </c>
      <c r="E24" s="1374"/>
      <c r="F24" s="2637"/>
      <c r="G24" s="2247" t="str">
        <f>F23&amp;".1"</f>
        <v>....1.1</v>
      </c>
      <c r="I24" s="2287"/>
      <c r="J24" s="2287">
        <v>1</v>
      </c>
      <c r="K24" s="368"/>
      <c r="L24" s="1304" t="str">
        <f>$G$24</f>
        <v>....1.1</v>
      </c>
      <c r="M24" s="297" t="s">
        <v>421</v>
      </c>
      <c r="N24" s="311"/>
      <c r="O24" s="2275"/>
      <c r="P24" s="2276"/>
      <c r="Q24" s="2276"/>
      <c r="R24" s="2276"/>
      <c r="S24" s="2276"/>
      <c r="T24" s="2276"/>
      <c r="U24" s="2276"/>
      <c r="V24" s="2276"/>
      <c r="W24" s="2277"/>
      <c r="X24" s="1269" t="s">
        <v>422</v>
      </c>
      <c r="Z24" s="511"/>
      <c r="AA24" s="511" t="str">
        <f>IF(M24="","",M24)</f>
        <v>Группа потребителей</v>
      </c>
      <c r="AB24" s="511"/>
      <c r="AC24" s="511"/>
      <c r="AD24" s="1166">
        <v>82</v>
      </c>
    </row>
    <row customHeight="1" ht="11.549999999999999">
      <c r="A25" s="1374" t="s">
        <v>184</v>
      </c>
      <c r="B25" s="1374" t="s">
        <v>185</v>
      </c>
      <c r="C25" s="1374" t="s">
        <v>186</v>
      </c>
      <c r="D25" s="1374" t="s">
        <v>187</v>
      </c>
      <c r="E25" s="1374"/>
      <c r="F25" s="2637"/>
      <c r="G25" s="2247"/>
      <c r="H25" s="2247" t="str">
        <f>G24&amp;".1"</f>
        <v>....1.1.1</v>
      </c>
      <c r="I25" s="2287"/>
      <c r="J25" s="2287"/>
      <c r="K25" s="368">
        <v>1</v>
      </c>
      <c r="L25" s="1304" t="str">
        <f>$H$25</f>
        <v>....1.1.1</v>
      </c>
      <c r="M25" s="1358"/>
      <c r="N25" s="311"/>
      <c r="O25" s="762"/>
      <c r="P25" s="336"/>
      <c r="Q25" s="762"/>
      <c r="R25" s="1268"/>
      <c r="S25" s="2632"/>
      <c r="T25" s="2137" t="s">
        <v>63</v>
      </c>
      <c r="U25" s="2632"/>
      <c r="V25" s="2137" t="s">
        <v>19</v>
      </c>
      <c r="W25" s="336"/>
      <c r="X25" s="2283" t="s">
        <v>424</v>
      </c>
      <c r="Y25" s="522">
        <f>STRCHECKDATE(O26:W26)</f>
      </c>
      <c r="Z25" s="511"/>
      <c r="AA25" s="511" t="str">
        <f>IF(M25="","",M25)</f>
        <v/>
      </c>
      <c r="AB25" s="511"/>
      <c r="AC25" s="511"/>
      <c r="AD25" s="1166">
        <v>11</v>
      </c>
    </row>
    <row customHeight="1" ht="11.549999999999999">
      <c r="A26" s="1374" t="s">
        <v>184</v>
      </c>
      <c r="B26" s="1374" t="s">
        <v>185</v>
      </c>
      <c r="C26" s="1374" t="s">
        <v>186</v>
      </c>
      <c r="D26" s="1374" t="s">
        <v>187</v>
      </c>
      <c r="E26" s="1374"/>
      <c r="F26" s="2637"/>
      <c r="G26" s="2247"/>
      <c r="H26" s="2247"/>
      <c r="I26" s="2287"/>
      <c r="J26" s="2287"/>
      <c r="K26" s="368"/>
      <c r="L26" s="1305"/>
      <c r="M26" s="311"/>
      <c r="N26" s="311"/>
      <c r="O26" s="336"/>
      <c r="P26" s="336"/>
      <c r="Q26" s="336"/>
      <c r="R26" s="339" t="str">
        <f>S25&amp;"-"&amp;U25</f>
        <v>-</v>
      </c>
      <c r="S26" s="2296"/>
      <c r="T26" s="2137"/>
      <c r="U26" s="2296"/>
      <c r="V26" s="2137"/>
      <c r="W26" s="336"/>
      <c r="X26" s="2284"/>
      <c r="Z26" s="511"/>
      <c r="AA26" s="511" t="str">
        <f>IF(M26="","",M26)</f>
        <v/>
      </c>
      <c r="AB26" s="511"/>
      <c r="AC26" s="511"/>
      <c r="AD26" s="1166">
        <v>11</v>
      </c>
    </row>
    <row customHeight="1" ht="15.75">
      <c r="A27" s="1374" t="s">
        <v>184</v>
      </c>
      <c r="B27" s="1374" t="s">
        <v>185</v>
      </c>
      <c r="C27" s="1374" t="s">
        <v>186</v>
      </c>
      <c r="D27" s="1374" t="s">
        <v>187</v>
      </c>
      <c r="E27" s="1374"/>
      <c r="F27" s="2637"/>
      <c r="G27" s="2247"/>
      <c r="I27" s="2287"/>
      <c r="J27" s="2287"/>
      <c r="K27" s="367"/>
      <c r="L27" s="1289"/>
      <c r="M27" s="299" t="s">
        <v>425</v>
      </c>
      <c r="N27" s="378"/>
      <c r="O27" s="378"/>
      <c r="P27" s="378"/>
      <c r="Q27" s="378"/>
      <c r="R27" s="378"/>
      <c r="S27" s="378"/>
      <c r="T27" s="378"/>
      <c r="U27" s="378"/>
      <c r="V27" s="378"/>
      <c r="W27" s="335"/>
      <c r="X27" s="2285"/>
      <c r="Z27" s="511"/>
      <c r="AA27" s="511" t="str">
        <f>IF(M27="","",M27)</f>
        <v>Добавить вид теплоносителя (параметры теплоносителя)</v>
      </c>
      <c r="AB27" s="511"/>
      <c r="AC27" s="511"/>
      <c r="AD27" s="1166">
        <v>15</v>
      </c>
    </row>
    <row customHeight="1" ht="15.75">
      <c r="A28" s="1374" t="s">
        <v>184</v>
      </c>
      <c r="B28" s="1374" t="s">
        <v>185</v>
      </c>
      <c r="C28" s="1374" t="s">
        <v>186</v>
      </c>
      <c r="D28" s="1374" t="s">
        <v>187</v>
      </c>
      <c r="E28" s="1374"/>
      <c r="F28" s="2637"/>
      <c r="I28" s="2287"/>
      <c r="J28" s="1302"/>
      <c r="K28" s="367"/>
      <c r="L28" s="1289"/>
      <c r="M28" s="298" t="s">
        <v>426</v>
      </c>
      <c r="N28" s="378"/>
      <c r="O28" s="378"/>
      <c r="P28" s="378"/>
      <c r="Q28" s="378"/>
      <c r="R28" s="378"/>
      <c r="S28" s="378"/>
      <c r="T28" s="378"/>
      <c r="U28" s="378"/>
      <c r="V28" s="377"/>
      <c r="W28" s="378"/>
      <c r="X28" s="314"/>
      <c r="Z28" s="511"/>
      <c r="AA28" s="511" t="str">
        <f>IF(M28="","",M28)</f>
        <v>Добавить группу потребителей</v>
      </c>
      <c r="AB28" s="511"/>
      <c r="AC28" s="511"/>
      <c r="AD28" s="1166">
        <v>15</v>
      </c>
    </row>
    <row customHeight="1" ht="14.699999999999998">
      <c r="A29" s="1374" t="s">
        <v>184</v>
      </c>
      <c r="B29" s="1374" t="s">
        <v>185</v>
      </c>
      <c r="C29" s="1374" t="s">
        <v>186</v>
      </c>
      <c r="D29" s="1374" t="s">
        <v>187</v>
      </c>
      <c r="E29" s="1374"/>
      <c r="F29" s="1376"/>
      <c r="G29" s="1376"/>
      <c r="H29" s="548"/>
      <c r="I29" s="371"/>
      <c r="J29" s="386"/>
      <c r="K29" s="366"/>
      <c r="L29" s="1289"/>
      <c r="M29" s="376" t="s">
        <v>427</v>
      </c>
      <c r="N29" s="378"/>
      <c r="O29" s="378"/>
      <c r="P29" s="378"/>
      <c r="Q29" s="378"/>
      <c r="R29" s="378"/>
      <c r="S29" s="378"/>
      <c r="T29" s="378"/>
      <c r="U29" s="378"/>
      <c r="V29" s="377"/>
      <c r="W29" s="378"/>
      <c r="X29" s="314"/>
      <c r="Z29" s="511"/>
      <c r="AA29" s="511" t="str">
        <f>IF(M29="","",M29)</f>
        <v>Добавить схему подключения</v>
      </c>
      <c r="AB29" s="511"/>
      <c r="AC29" s="511"/>
      <c r="AD29" s="1166">
        <v>14</v>
      </c>
    </row>
    <row customHeight="1" ht="14.699999999999998">
      <c r="A30" s="1374" t="s">
        <v>184</v>
      </c>
      <c r="B30" s="1374" t="s">
        <v>185</v>
      </c>
      <c r="C30" s="1374" t="s">
        <v>186</v>
      </c>
      <c r="D30" s="1374"/>
      <c r="E30" s="1374" t="s">
        <v>647</v>
      </c>
      <c r="F30" s="1376"/>
      <c r="G30" s="1376"/>
      <c r="H30" s="548"/>
      <c r="I30" s="371"/>
      <c r="J30" s="386"/>
      <c r="K30" s="366"/>
      <c r="L30" s="1290"/>
      <c r="M30" s="1279"/>
      <c r="N30" s="1280"/>
      <c r="O30" s="1280"/>
      <c r="P30" s="1280"/>
      <c r="Q30" s="1280"/>
      <c r="R30" s="1280"/>
      <c r="S30" s="1280"/>
      <c r="T30" s="1280"/>
      <c r="U30" s="1280"/>
      <c r="V30" s="1281"/>
      <c r="W30" s="1280"/>
      <c r="X30" s="1282"/>
      <c r="Z30" s="511"/>
      <c r="AA30" s="511" t="str">
        <f>IF(M30="","",M30)</f>
        <v/>
      </c>
      <c r="AB30" s="511"/>
      <c r="AC30" s="511"/>
      <c r="AD30" s="1166">
        <v>14</v>
      </c>
    </row>
    <row customHeight="1" ht="14.699999999999998">
      <c r="A31" s="1374" t="s">
        <v>184</v>
      </c>
      <c r="B31" s="1374" t="s">
        <v>185</v>
      </c>
      <c r="C31" s="1374"/>
      <c r="D31" s="1374"/>
      <c r="E31" s="1374" t="s">
        <v>2442</v>
      </c>
      <c r="F31" s="1528"/>
      <c r="G31" s="1528"/>
      <c r="H31" s="548"/>
      <c r="I31" s="369"/>
      <c r="J31" s="386"/>
      <c r="K31" s="370"/>
      <c r="L31" s="1290"/>
      <c r="M31" s="1283"/>
      <c r="N31" s="1280"/>
      <c r="O31" s="1280"/>
      <c r="P31" s="1280"/>
      <c r="Q31" s="1280"/>
      <c r="R31" s="1280"/>
      <c r="S31" s="1280"/>
      <c r="T31" s="1280"/>
      <c r="U31" s="1280"/>
      <c r="V31" s="1281"/>
      <c r="W31" s="1280"/>
      <c r="X31" s="1282"/>
      <c r="Z31" s="511"/>
      <c r="AA31" s="511" t="str">
        <f>IF(M31="","",M31)</f>
        <v/>
      </c>
      <c r="AB31" s="511"/>
      <c r="AC31" s="511"/>
      <c r="AD31" s="1166">
        <v>14</v>
      </c>
    </row>
    <row customHeight="1" ht="14.699999999999998">
      <c r="A32" s="1374" t="s">
        <v>2443</v>
      </c>
      <c r="B32" s="1374"/>
      <c r="C32" s="1374"/>
      <c r="D32" s="1374"/>
      <c r="E32" s="1374" t="s">
        <v>115</v>
      </c>
      <c r="F32" s="1528"/>
      <c r="G32" s="1528"/>
      <c r="H32" s="548"/>
      <c r="I32" s="371"/>
      <c r="J32" s="386"/>
      <c r="K32" s="366"/>
      <c r="L32" s="1290"/>
      <c r="M32" s="1284"/>
      <c r="N32" s="1280"/>
      <c r="O32" s="1280"/>
      <c r="P32" s="1280"/>
      <c r="Q32" s="1280"/>
      <c r="R32" s="1280"/>
      <c r="S32" s="1280"/>
      <c r="T32" s="1280"/>
      <c r="U32" s="1280"/>
      <c r="V32" s="1281"/>
      <c r="W32" s="1280"/>
      <c r="X32" s="1282"/>
      <c r="Z32" s="511"/>
      <c r="AA32" s="511" t="str">
        <f>IF(M32="","",M32)</f>
        <v/>
      </c>
      <c r="AB32" s="511"/>
      <c r="AC32" s="511"/>
      <c r="AD32" s="1166">
        <v>14</v>
      </c>
    </row>
    <row s="1858" customFormat="1" customHeight="1" ht="11.549999999999999">
      <c r="A33" s="1374"/>
      <c r="B33" s="1374"/>
      <c r="C33" s="1374"/>
      <c r="D33" s="1374"/>
      <c r="E33" s="1374" t="s">
        <v>458</v>
      </c>
      <c r="F33" s="1529"/>
      <c r="G33" s="1530"/>
      <c r="H33" s="548"/>
      <c r="L33" s="1291"/>
      <c r="M33" s="1285"/>
      <c r="N33" s="1280"/>
      <c r="O33" s="1280"/>
      <c r="P33" s="1280"/>
      <c r="Q33" s="1280"/>
      <c r="R33" s="1280"/>
      <c r="S33" s="1280"/>
      <c r="T33" s="1280"/>
      <c r="U33" s="1280"/>
      <c r="V33" s="1281"/>
      <c r="W33" s="1280"/>
      <c r="X33" s="1282"/>
      <c r="Y33" s="390"/>
      <c r="Z33" s="390"/>
      <c r="AA33" s="390"/>
      <c r="AB33" s="390"/>
      <c r="AC33" s="390"/>
      <c r="AD33" s="384">
        <v>11</v>
      </c>
    </row>
    <row customHeight="1" ht="11.549999999999999">
      <c r="F34" s="1171"/>
      <c r="G34" s="1171"/>
      <c r="H34" s="548"/>
      <c r="I34" s="1166"/>
      <c r="J34" s="1166"/>
      <c r="K34" s="1166"/>
      <c r="Y34" s="1166"/>
      <c r="Z34" s="1166"/>
      <c r="AA34" s="1166"/>
      <c r="AB34" s="1166"/>
      <c r="AC34" s="1166"/>
      <c r="AD34" s="1166">
        <v>11</v>
      </c>
    </row>
    <row customHeight="1" ht="28.5">
      <c r="H35" s="548"/>
      <c r="L35" s="1299" t="s">
        <v>896</v>
      </c>
      <c r="M35" s="2315" t="s">
        <v>2444</v>
      </c>
      <c r="N35" s="2315"/>
      <c r="O35" s="2315"/>
      <c r="P35" s="2315"/>
      <c r="Q35" s="2315"/>
      <c r="R35" s="2315"/>
      <c r="S35" s="2315"/>
      <c r="T35" s="2315"/>
      <c r="U35" s="2315"/>
      <c r="V35" s="2315"/>
      <c r="W35" s="2315"/>
      <c r="X35" s="2315"/>
      <c r="AD35" s="1166">
        <v>27</v>
      </c>
    </row>
    <row customHeight="1" ht="109.19999999999999">
      <c r="H36" s="548"/>
      <c r="I36" s="1314"/>
      <c r="M36" s="2315" t="s">
        <v>2445</v>
      </c>
      <c r="N36" s="2315"/>
      <c r="O36" s="2315"/>
      <c r="P36" s="2315"/>
      <c r="Q36" s="2315"/>
      <c r="R36" s="2315"/>
      <c r="S36" s="2315"/>
      <c r="T36" s="2315"/>
      <c r="U36" s="2315"/>
      <c r="V36" s="2315"/>
      <c r="W36" s="2315"/>
      <c r="X36" s="2315"/>
      <c r="AD36" s="1166">
        <v>104</v>
      </c>
    </row>
    <row customHeight="1" ht="14.699999999999998">
      <c r="H37" s="548"/>
      <c r="AD37" s="1166">
        <v>14</v>
      </c>
    </row>
    <row customHeight="1" ht="14.699999999999998">
      <c r="H38" s="548"/>
      <c r="AD38" s="1166">
        <v>14</v>
      </c>
    </row>
    <row customHeight="1" ht="14.699999999999998">
      <c r="H39" s="548"/>
      <c r="AD39" s="1166">
        <v>14</v>
      </c>
    </row>
    <row customHeight="1" ht="14.699999999999998">
      <c r="H40" s="548"/>
      <c r="AD40" s="1166">
        <v>14</v>
      </c>
    </row>
    <row customHeight="1" ht="22.5" hidden="1">
      <c r="A41" s="1171" t="s">
        <v>83</v>
      </c>
      <c r="B41" s="1171">
        <v>0</v>
      </c>
      <c r="C41" s="1171">
        <v>0</v>
      </c>
      <c r="D41" s="1171">
        <v>0</v>
      </c>
      <c r="E41" s="1171">
        <v>0</v>
      </c>
      <c r="F41" s="1373">
        <v>0</v>
      </c>
      <c r="G41" s="1373">
        <v>0</v>
      </c>
      <c r="H41" s="1373">
        <v>0</v>
      </c>
      <c r="I41" s="1297">
        <v>3</v>
      </c>
      <c r="J41" s="355">
        <v>3</v>
      </c>
      <c r="K41" s="355">
        <v>3</v>
      </c>
      <c r="L41" s="592">
        <v>12</v>
      </c>
      <c r="M41" s="1166">
        <v>31</v>
      </c>
      <c r="N41" s="1166">
        <v>1</v>
      </c>
      <c r="O41" s="1166">
        <v>24</v>
      </c>
      <c r="P41" s="1166">
        <v>24</v>
      </c>
      <c r="Q41" s="1166">
        <v>24</v>
      </c>
      <c r="R41" s="1166">
        <v>24</v>
      </c>
      <c r="S41" s="1166">
        <v>11</v>
      </c>
      <c r="T41" s="1166">
        <v>3</v>
      </c>
      <c r="U41" s="1166">
        <v>11</v>
      </c>
      <c r="V41" s="1166">
        <v>8</v>
      </c>
      <c r="W41" s="1166">
        <v>4</v>
      </c>
      <c r="X41" s="1166">
        <v>115</v>
      </c>
      <c r="Y41" s="522">
        <v>10</v>
      </c>
      <c r="Z41" s="522">
        <v>10</v>
      </c>
      <c r="AA41" s="522">
        <v>10</v>
      </c>
      <c r="AB41" s="522">
        <v>10</v>
      </c>
      <c r="AC41" s="522">
        <v>10</v>
      </c>
      <c r="AD41" s="116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65348-C178-60BC-F828-B8094AE540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8F738-9F78-6F76-E114-4164C23BF2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1CEBD-FFC8-2151-A658-6B14D5749F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C7CE7-9908-EE98-44FA-7F57C212B9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DFF08-87F8-63D8-C468-6EF98B6B46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4DE38-FF28-2231-07CA-9BD14B45AE5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6" width="15.00390625" hidden="1" customWidth="1"/>
    <col min="2" max="2" style="512" width="15.00390625" hidden="1" customWidth="1"/>
    <col min="3" max="3" style="466" width="3.00390625" customWidth="1"/>
    <col min="4" max="4" style="467" width="6.00390625" customWidth="1"/>
    <col min="5" max="5" style="466" width="52.00390625" customWidth="1"/>
    <col min="6" max="6" style="466" width="48.00390625" customWidth="1"/>
    <col min="7" max="7" style="466" width="121.00390625" customWidth="1"/>
    <col min="8" max="8" style="466" width="8.00390625" customWidth="1"/>
    <col min="9" max="9" style="466" width="64.00390625" customWidth="1"/>
    <col min="10" max="10" style="466" width="9.140625" hidden="1"/>
  </cols>
  <sheetData>
    <row customHeight="1" ht="11.25" hidden="1">
      <c r="A1" s="1696" t="s">
        <v>313</v>
      </c>
      <c r="J1" s="466" t="s">
        <v>14</v>
      </c>
    </row>
    <row customHeight="1" ht="11.25" hidden="1">
      <c r="J2" s="466">
        <v>0</v>
      </c>
    </row>
    <row s="488" customFormat="1" customHeight="1" ht="11.549999999999999">
      <c r="A3" s="1696"/>
      <c r="B3" s="512"/>
      <c r="D3" s="489"/>
      <c r="J3" s="488">
        <v>11</v>
      </c>
    </row>
    <row customHeight="1" ht="27.299999999999997">
      <c r="D4" s="218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88"/>
      <c r="F4" s="2189"/>
      <c r="I4" s="726"/>
      <c r="J4" s="466">
        <v>26</v>
      </c>
    </row>
    <row customHeight="1" ht="18">
      <c r="D5" s="2206" t="str">
        <f>IF(org=0,"Не определено",org)</f>
        <v>ПАО "КГК"</v>
      </c>
      <c r="E5" s="2206"/>
      <c r="F5" s="2206"/>
      <c r="I5" s="726"/>
      <c r="J5" s="466">
        <v>17</v>
      </c>
    </row>
    <row s="488" customFormat="1" customHeight="1" ht="11.549999999999999">
      <c r="A6" s="1696"/>
      <c r="B6" s="512"/>
      <c r="D6" s="725"/>
      <c r="E6" s="725"/>
      <c r="F6" s="763"/>
      <c r="G6" s="725"/>
      <c r="J6" s="488">
        <v>11</v>
      </c>
    </row>
    <row customHeight="1" ht="11.25" hidden="1">
      <c r="A7" s="468"/>
      <c r="B7" s="513"/>
      <c r="C7" s="468"/>
      <c r="D7" s="474"/>
      <c r="E7" s="2237"/>
      <c r="F7" s="2237"/>
      <c r="J7" s="466">
        <v>0</v>
      </c>
    </row>
    <row customHeight="1" ht="11.549999999999999">
      <c r="A8" s="468"/>
      <c r="B8" s="513"/>
      <c r="C8" s="468"/>
      <c r="D8" s="2234" t="s">
        <v>314</v>
      </c>
      <c r="E8" s="2235"/>
      <c r="F8" s="2235"/>
      <c r="G8" s="2238" t="s">
        <v>315</v>
      </c>
      <c r="J8" s="466">
        <v>11</v>
      </c>
    </row>
    <row customHeight="1" ht="11.549999999999999">
      <c r="A9" s="468"/>
      <c r="B9" s="513"/>
      <c r="C9" s="468"/>
      <c r="D9" s="483" t="s">
        <v>89</v>
      </c>
      <c r="E9" s="457" t="s">
        <v>316</v>
      </c>
      <c r="F9" s="457" t="s">
        <v>317</v>
      </c>
      <c r="G9" s="2239"/>
      <c r="J9" s="466">
        <v>11</v>
      </c>
    </row>
    <row customHeight="1" ht="12" hidden="1">
      <c r="A10" s="468"/>
      <c r="B10" s="513"/>
      <c r="C10" s="468"/>
      <c r="D10" s="475"/>
      <c r="E10" s="475"/>
      <c r="F10" s="475"/>
      <c r="G10" s="475"/>
      <c r="J10" s="466">
        <v>0</v>
      </c>
    </row>
    <row customHeight="1" ht="22.5" hidden="1">
      <c r="A11" s="468"/>
      <c r="B11" s="513"/>
      <c r="C11" s="468"/>
      <c r="D11" s="1020" t="s">
        <v>120</v>
      </c>
      <c r="E11" s="1023" t="s">
        <v>318</v>
      </c>
      <c r="F11" s="1022" t="str">
        <f>IF(region_name="","",region_name)</f>
        <v>Курганская область</v>
      </c>
      <c r="G11" s="1023" t="s">
        <v>319</v>
      </c>
      <c r="H11" s="486"/>
      <c r="J11" s="466">
        <v>0</v>
      </c>
    </row>
    <row customHeight="1" ht="22.5" hidden="1">
      <c r="A12" s="468"/>
      <c r="B12" s="513"/>
      <c r="C12" s="468"/>
      <c r="D12" s="456" t="s">
        <v>120</v>
      </c>
      <c r="E12" s="45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4" t="s">
        <v>320</v>
      </c>
      <c r="G12" s="485"/>
      <c r="H12" s="486"/>
      <c r="J12" s="466">
        <v>0</v>
      </c>
    </row>
    <row customHeight="1" ht="23.25">
      <c r="A13" s="468"/>
      <c r="B13" s="513"/>
      <c r="C13" s="468"/>
      <c r="D13" s="456" t="s">
        <v>120</v>
      </c>
      <c r="E13" s="453" t="str">
        <f>"Наименование юридического лица"&amp;IF(TEMPLATE_SPHERE="TKO"," (индивидуального предпринимателя)","")</f>
        <v>Наименование юридического лица</v>
      </c>
      <c r="F13" s="452"/>
      <c r="G13" s="45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6"/>
      <c r="J13" s="466">
        <v>22</v>
      </c>
    </row>
    <row customHeight="1" ht="22.5" hidden="1">
      <c r="A14" s="468"/>
      <c r="B14" s="513"/>
      <c r="C14" s="468"/>
      <c r="D14" s="1020" t="s">
        <v>321</v>
      </c>
      <c r="E14" s="1021" t="s">
        <v>322</v>
      </c>
      <c r="F14" s="1022" t="str">
        <f>IF(inn="","",inn)</f>
        <v>4501122913</v>
      </c>
      <c r="G14" s="1023" t="s">
        <v>323</v>
      </c>
      <c r="H14" s="486"/>
      <c r="J14" s="466">
        <v>0</v>
      </c>
    </row>
    <row customHeight="1" ht="22.5" hidden="1">
      <c r="A15" s="468"/>
      <c r="B15" s="513"/>
      <c r="C15" s="468"/>
      <c r="D15" s="1020" t="s">
        <v>324</v>
      </c>
      <c r="E15" s="1021" t="s">
        <v>325</v>
      </c>
      <c r="F15" s="1022" t="str">
        <f>IF(kpp="","",kpp)</f>
        <v>450101001</v>
      </c>
      <c r="G15" s="1023" t="s">
        <v>326</v>
      </c>
      <c r="H15" s="486"/>
      <c r="J15" s="466">
        <v>0</v>
      </c>
    </row>
    <row customHeight="1" ht="39">
      <c r="A16" s="468"/>
      <c r="B16" s="513"/>
      <c r="C16" s="468"/>
      <c r="D16" s="456" t="s">
        <v>104</v>
      </c>
      <c r="E16" s="45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2"/>
      <c r="G16" s="45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6"/>
      <c r="J16" s="466">
        <v>37</v>
      </c>
    </row>
    <row customHeight="1" ht="23.25">
      <c r="A17" s="468"/>
      <c r="B17" s="513"/>
      <c r="C17" s="468"/>
      <c r="D17" s="456" t="s">
        <v>91</v>
      </c>
      <c r="E17" s="453" t="str">
        <f>"Дата присвоения ОГРН"&amp;IF(TEMPLATE_SPHERE="TKO",""," (ОГРНИП)")</f>
        <v>Дата присвоения ОГРН (ОГРНИП)</v>
      </c>
      <c r="F17" s="1742" t="s">
        <v>22</v>
      </c>
      <c r="G17" s="455" t="str">
        <f>"Дата присвоения ОГРН"&amp;IF(TEMPLATE_SPHERE="TKO",""," (ОГРНИП)")&amp;" указывается в виде «ДД.ММ.ГГГГ»."</f>
        <v>Дата присвоения ОГРН (ОГРНИП) указывается в виде «ДД.ММ.ГГГГ».</v>
      </c>
      <c r="H17" s="486"/>
      <c r="J17" s="466">
        <v>22</v>
      </c>
    </row>
    <row customHeight="1" ht="71.25">
      <c r="A18" s="468"/>
      <c r="B18" s="513"/>
      <c r="C18" s="468"/>
      <c r="D18" s="456" t="s">
        <v>92</v>
      </c>
      <c r="E18" s="45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2"/>
      <c r="G18" s="485"/>
      <c r="H18" s="486"/>
      <c r="J18" s="466">
        <v>68</v>
      </c>
    </row>
    <row customHeight="1" ht="22.5" hidden="1">
      <c r="A19" s="2232" t="s">
        <v>327</v>
      </c>
      <c r="B19" s="513"/>
      <c r="C19" s="2243"/>
      <c r="D19" s="456" t="str">
        <f>A19</f>
        <v>5.1</v>
      </c>
      <c r="E19" s="453" t="s">
        <v>328</v>
      </c>
      <c r="F19" s="454" t="s">
        <v>320</v>
      </c>
      <c r="G19" s="455" t="s">
        <v>329</v>
      </c>
      <c r="H19" s="486"/>
      <c r="I19" s="863"/>
      <c r="J19" s="466">
        <v>0</v>
      </c>
    </row>
    <row customHeight="1" ht="24" hidden="1">
      <c r="A20" s="2232"/>
      <c r="B20" s="513"/>
      <c r="C20" s="2243"/>
      <c r="D20" s="451" t="str">
        <f>D19&amp;".1"</f>
        <v>5.1.1</v>
      </c>
      <c r="E20" s="450" t="s">
        <v>330</v>
      </c>
      <c r="F20" s="892" t="s">
        <v>22</v>
      </c>
      <c r="G20" s="485"/>
      <c r="H20" s="486"/>
      <c r="I20" s="863"/>
      <c r="J20" s="466">
        <v>0</v>
      </c>
    </row>
    <row customHeight="1" ht="22.5" hidden="1">
      <c r="A21" s="2232"/>
      <c r="B21" s="513"/>
      <c r="C21" s="2243"/>
      <c r="D21" s="451" t="str">
        <f>D19&amp;".2"</f>
        <v>5.1.2</v>
      </c>
      <c r="E21" s="450" t="s">
        <v>331</v>
      </c>
      <c r="F21" s="1743" t="s">
        <v>22</v>
      </c>
      <c r="G21" s="455" t="s">
        <v>332</v>
      </c>
      <c r="H21" s="486"/>
      <c r="I21" s="863"/>
      <c r="J21" s="466">
        <v>0</v>
      </c>
    </row>
    <row customHeight="1" ht="22.5" hidden="1">
      <c r="A22" s="2232"/>
      <c r="B22" s="513"/>
      <c r="C22" s="2243"/>
      <c r="D22" s="451" t="str">
        <f>D19&amp;".3"</f>
        <v>5.1.3</v>
      </c>
      <c r="E22" s="450" t="s">
        <v>333</v>
      </c>
      <c r="F22" s="892" t="s">
        <v>22</v>
      </c>
      <c r="G22" s="485"/>
      <c r="H22" s="486"/>
      <c r="I22" s="863"/>
      <c r="J22" s="466">
        <v>0</v>
      </c>
    </row>
    <row customHeight="1" ht="22.5" hidden="1">
      <c r="A23" s="2232"/>
      <c r="B23" s="513"/>
      <c r="C23" s="2243"/>
      <c r="D23" s="451" t="str">
        <f>D19&amp;".4"</f>
        <v>5.1.4</v>
      </c>
      <c r="E23" s="450" t="s">
        <v>334</v>
      </c>
      <c r="F23" s="892" t="s">
        <v>22</v>
      </c>
      <c r="G23" s="455" t="s">
        <v>335</v>
      </c>
      <c r="H23" s="486"/>
      <c r="I23" s="863"/>
      <c r="J23" s="466">
        <v>0</v>
      </c>
    </row>
    <row customHeight="1" ht="22.5" hidden="1">
      <c r="A24" s="1986"/>
      <c r="B24" s="513"/>
      <c r="C24" s="503"/>
      <c r="D24" s="478"/>
      <c r="E24" s="1179" t="s">
        <v>336</v>
      </c>
      <c r="F24" s="479"/>
      <c r="G24" s="480"/>
      <c r="H24" s="486"/>
      <c r="I24" s="863"/>
      <c r="J24" s="466">
        <v>0</v>
      </c>
    </row>
    <row s="512" customFormat="1" customHeight="1" ht="24.75" hidden="1">
      <c r="A25" s="468"/>
      <c r="B25" s="513"/>
      <c r="C25" s="513"/>
      <c r="D25" s="1017" t="s">
        <v>91</v>
      </c>
      <c r="E25" s="1019" t="s">
        <v>337</v>
      </c>
      <c r="F25" s="1024" t="s">
        <v>320</v>
      </c>
      <c r="G25" s="1019"/>
      <c r="J25" s="512">
        <v>0</v>
      </c>
    </row>
    <row s="512" customFormat="1" customHeight="1" ht="11.25" hidden="1">
      <c r="A26" s="468"/>
      <c r="B26" s="513"/>
      <c r="C26" s="513"/>
      <c r="D26" s="1017" t="s">
        <v>338</v>
      </c>
      <c r="E26" s="1018" t="s">
        <v>339</v>
      </c>
      <c r="F26" s="1024" t="s">
        <v>320</v>
      </c>
      <c r="G26" s="1019"/>
      <c r="J26" s="512">
        <v>0</v>
      </c>
    </row>
    <row s="512" customFormat="1" customHeight="1" ht="11.25" hidden="1">
      <c r="A27" s="468"/>
      <c r="B27" s="513"/>
      <c r="C27" s="513"/>
      <c r="D27" s="1017" t="s">
        <v>340</v>
      </c>
      <c r="E27" s="1025" t="s">
        <v>341</v>
      </c>
      <c r="F27" s="1026"/>
      <c r="G27" s="101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2">
        <v>0</v>
      </c>
    </row>
    <row s="512" customFormat="1" customHeight="1" ht="11.25" hidden="1">
      <c r="A28" s="468"/>
      <c r="B28" s="513"/>
      <c r="C28" s="513"/>
      <c r="D28" s="1017" t="s">
        <v>342</v>
      </c>
      <c r="E28" s="1025" t="s">
        <v>343</v>
      </c>
      <c r="F28" s="1026"/>
      <c r="G28" s="101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2">
        <v>0</v>
      </c>
    </row>
    <row s="512" customFormat="1" customHeight="1" ht="11.25" hidden="1">
      <c r="A29" s="468"/>
      <c r="B29" s="513"/>
      <c r="C29" s="513"/>
      <c r="D29" s="1017" t="s">
        <v>344</v>
      </c>
      <c r="E29" s="1025" t="s">
        <v>345</v>
      </c>
      <c r="F29" s="1026"/>
      <c r="G29" s="101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2">
        <v>0</v>
      </c>
    </row>
    <row s="512" customFormat="1" customHeight="1" ht="11.25" hidden="1">
      <c r="A30" s="468"/>
      <c r="B30" s="513"/>
      <c r="C30" s="513"/>
      <c r="D30" s="1017" t="s">
        <v>346</v>
      </c>
      <c r="E30" s="1018" t="s">
        <v>347</v>
      </c>
      <c r="F30" s="1026"/>
      <c r="G30" s="1019"/>
      <c r="J30" s="512">
        <v>0</v>
      </c>
    </row>
    <row s="512" customFormat="1" customHeight="1" ht="11.25" hidden="1">
      <c r="A31" s="468"/>
      <c r="B31" s="513"/>
      <c r="C31" s="513"/>
      <c r="D31" s="1017" t="s">
        <v>348</v>
      </c>
      <c r="E31" s="1018" t="s">
        <v>349</v>
      </c>
      <c r="F31" s="1026"/>
      <c r="G31" s="1019"/>
      <c r="J31" s="512">
        <v>0</v>
      </c>
    </row>
    <row s="512" customFormat="1" customHeight="1" ht="11.25" hidden="1">
      <c r="A32" s="468"/>
      <c r="B32" s="513"/>
      <c r="C32" s="513"/>
      <c r="D32" s="1017" t="s">
        <v>350</v>
      </c>
      <c r="E32" s="1018" t="s">
        <v>351</v>
      </c>
      <c r="F32" s="1027"/>
      <c r="G32" s="1019"/>
      <c r="J32" s="512">
        <v>0</v>
      </c>
    </row>
    <row customHeight="1" ht="24">
      <c r="A33" s="468" t="str">
        <f>IF(TEMPLATE_SPHERE="HEAT","6","5")</f>
        <v>6</v>
      </c>
      <c r="B33" s="513"/>
      <c r="C33" s="468"/>
      <c r="D33" s="451" t="str">
        <f>A33</f>
        <v>6</v>
      </c>
      <c r="E33" s="44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4" t="s">
        <v>320</v>
      </c>
      <c r="G33" s="485"/>
      <c r="H33" s="486"/>
      <c r="J33" s="466">
        <v>23</v>
      </c>
    </row>
    <row customHeight="1" ht="23.25">
      <c r="A34" s="468"/>
      <c r="B34" s="513"/>
      <c r="C34" s="468"/>
      <c r="D34" s="451" t="str">
        <f>D33&amp;".1"</f>
        <v>6.1</v>
      </c>
      <c r="E34" s="453" t="str">
        <f>"фамилия"&amp;IF(TEMPLATE_SPHERE&lt;&gt;"HEAT"," руководителя","")</f>
        <v>фамилия</v>
      </c>
      <c r="F34" s="452"/>
      <c r="G34" s="45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6"/>
      <c r="J34" s="466">
        <v>22</v>
      </c>
    </row>
    <row customHeight="1" ht="23.25">
      <c r="A35" s="468"/>
      <c r="B35" s="513"/>
      <c r="C35" s="468"/>
      <c r="D35" s="451" t="str">
        <f>D33&amp;".2"</f>
        <v>6.2</v>
      </c>
      <c r="E35" s="453" t="str">
        <f>"имя"&amp;IF(TEMPLATE_SPHERE&lt;&gt;"HEAT"," руководителя","")</f>
        <v>имя</v>
      </c>
      <c r="F35" s="452"/>
      <c r="G35" s="45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6"/>
      <c r="J35" s="466">
        <v>22</v>
      </c>
    </row>
    <row customHeight="1" ht="24">
      <c r="A36" s="468"/>
      <c r="B36" s="513"/>
      <c r="C36" s="468"/>
      <c r="D36" s="451" t="str">
        <f>D33&amp;".3"</f>
        <v>6.3</v>
      </c>
      <c r="E36" s="453" t="str">
        <f>"отчество"&amp;IF(TEMPLATE_SPHERE&lt;&gt;"HEAT"," руководителя","")</f>
        <v>отчество</v>
      </c>
      <c r="F36" s="709"/>
      <c r="G36" s="45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6"/>
      <c r="J36" s="466">
        <v>23</v>
      </c>
    </row>
    <row customHeight="1" ht="35.699999999999996">
      <c r="A37" s="468"/>
      <c r="B37" s="513"/>
      <c r="C37" s="468"/>
      <c r="D37" s="451">
        <f>D33+1</f>
        <v>7</v>
      </c>
      <c r="E37" s="44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2"/>
      <c r="G37" s="455" t="s">
        <v>352</v>
      </c>
      <c r="H37" s="486"/>
      <c r="J37" s="466">
        <v>34</v>
      </c>
    </row>
    <row customHeight="1" ht="35.699999999999996">
      <c r="A38" s="468"/>
      <c r="B38" s="513"/>
      <c r="C38" s="468"/>
      <c r="D38" s="451">
        <f>D37+1</f>
        <v>8</v>
      </c>
      <c r="E38" s="44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2"/>
      <c r="G38" s="455" t="s">
        <v>352</v>
      </c>
      <c r="H38" s="486"/>
      <c r="J38" s="466">
        <v>34</v>
      </c>
    </row>
    <row customHeight="1" ht="23.25">
      <c r="A39" s="468"/>
      <c r="B39" s="513"/>
      <c r="C39" s="468"/>
      <c r="D39" s="451">
        <f>D38+1</f>
        <v>9</v>
      </c>
      <c r="E39" s="44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4" t="s">
        <v>320</v>
      </c>
      <c r="G39" s="224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6"/>
      <c r="J39" s="466">
        <v>22</v>
      </c>
    </row>
    <row customHeight="1" ht="22.5" hidden="1">
      <c r="A40" s="468"/>
      <c r="B40" s="513"/>
      <c r="C40" s="468"/>
      <c r="D40" s="451" t="str">
        <f>D39&amp;".0"</f>
        <v>9.0</v>
      </c>
      <c r="E40" s="1616"/>
      <c r="F40" s="892"/>
      <c r="G40" s="2241"/>
      <c r="H40" s="486"/>
      <c r="J40" s="466">
        <v>0</v>
      </c>
    </row>
    <row customHeight="1" ht="23.25">
      <c r="A41" s="468"/>
      <c r="B41" s="468"/>
      <c r="C41" s="1698"/>
      <c r="D41" s="451" t="str">
        <f>D39&amp;".1"</f>
        <v>9.1</v>
      </c>
      <c r="E41" s="871"/>
      <c r="F41" s="872"/>
      <c r="G41" s="2241"/>
      <c r="H41" s="486"/>
      <c r="J41" s="466">
        <v>22</v>
      </c>
    </row>
    <row customHeight="1" ht="15.75">
      <c r="A42" s="468"/>
      <c r="B42" s="513"/>
      <c r="C42" s="468"/>
      <c r="D42" s="478"/>
      <c r="E42" s="426" t="s">
        <v>353</v>
      </c>
      <c r="F42" s="480"/>
      <c r="G42" s="2242"/>
      <c r="H42" s="487"/>
      <c r="J42" s="466">
        <v>15</v>
      </c>
    </row>
    <row customHeight="1" ht="27.299999999999997">
      <c r="A43" s="468"/>
      <c r="B43" s="513"/>
      <c r="C43" s="468"/>
      <c r="D43" s="451">
        <f>D39+1</f>
        <v>10</v>
      </c>
      <c r="E43" s="44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3"/>
      <c r="G43" s="45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6"/>
      <c r="J43" s="466">
        <v>26</v>
      </c>
    </row>
    <row customHeight="1" ht="23.25">
      <c r="A44" s="468"/>
      <c r="B44" s="513"/>
      <c r="C44" s="468"/>
      <c r="D44" s="451">
        <f>D43+1</f>
        <v>11</v>
      </c>
      <c r="E44" s="44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9"/>
      <c r="G44" s="485" t="s">
        <v>354</v>
      </c>
      <c r="H44" s="486"/>
      <c r="J44" s="466">
        <v>22</v>
      </c>
    </row>
    <row customHeight="1" ht="23.25">
      <c r="A45" s="468"/>
      <c r="B45" s="513"/>
      <c r="C45" s="468"/>
      <c r="D45" s="451">
        <f>D44+1</f>
        <v>12</v>
      </c>
      <c r="E45" s="449" t="s">
        <v>355</v>
      </c>
      <c r="F45" s="454" t="s">
        <v>320</v>
      </c>
      <c r="G45" s="448" t="str">
        <f>IF(TEMPLATE_SPHERE="TKO","Указывается режим работы организации.","")</f>
        <v/>
      </c>
      <c r="H45" s="486"/>
      <c r="J45" s="466">
        <v>22</v>
      </c>
    </row>
    <row customHeight="1" ht="24">
      <c r="A46" s="468"/>
      <c r="B46" s="513"/>
      <c r="C46" s="468"/>
      <c r="D46" s="451" t="str">
        <f>D45&amp;".1"</f>
        <v>12.1</v>
      </c>
      <c r="E46" s="453" t="str">
        <f>"режим работы регулируемой организации"&amp;IF(TEMPLATE_SPHERE="HEAT",", ЕТО, ТО","")</f>
        <v>режим работы регулируемой организации, ЕТО, ТО</v>
      </c>
      <c r="F46" s="1694"/>
      <c r="G46" s="448" t="s">
        <v>356</v>
      </c>
      <c r="H46" s="486"/>
      <c r="J46" s="466">
        <v>23</v>
      </c>
    </row>
    <row customHeight="1" ht="24">
      <c r="A47" s="2232"/>
      <c r="B47" s="513"/>
      <c r="C47" s="503"/>
      <c r="D47" s="451" t="str">
        <f>D45&amp;".2"</f>
        <v>12.2</v>
      </c>
      <c r="E47" s="453" t="s">
        <v>357</v>
      </c>
      <c r="F47" s="501"/>
      <c r="G47" s="448" t="s">
        <v>358</v>
      </c>
      <c r="H47" s="486"/>
      <c r="J47" s="466">
        <v>23</v>
      </c>
    </row>
    <row customHeight="1" ht="24">
      <c r="A48" s="2232"/>
      <c r="B48" s="513"/>
      <c r="C48" s="503"/>
      <c r="D48" s="451" t="str">
        <f>D45&amp;".3"</f>
        <v>12.3</v>
      </c>
      <c r="E48" s="453" t="s">
        <v>359</v>
      </c>
      <c r="F48" s="501"/>
      <c r="G48" s="448" t="s">
        <v>360</v>
      </c>
      <c r="H48" s="486"/>
      <c r="J48" s="466">
        <v>23</v>
      </c>
    </row>
    <row customHeight="1" ht="24">
      <c r="A49" s="2232"/>
      <c r="B49" s="513"/>
      <c r="C49" s="503"/>
      <c r="D49" s="451" t="str">
        <f>IF(TEMPLATE_SPHERE="TKO",D45&amp;".0",D45&amp;".4")</f>
        <v>12.4</v>
      </c>
      <c r="E49" s="447" t="s">
        <v>361</v>
      </c>
      <c r="F49" s="1695"/>
      <c r="G49" s="1772" t="s">
        <v>362</v>
      </c>
      <c r="H49" s="486"/>
      <c r="J49" s="466">
        <v>23</v>
      </c>
    </row>
    <row customHeight="1" ht="24">
      <c r="A50" s="468"/>
      <c r="B50" s="513"/>
      <c r="C50" s="468"/>
      <c r="D50" s="478"/>
      <c r="E50" s="426" t="s">
        <v>363</v>
      </c>
      <c r="F50" s="479"/>
      <c r="G50" s="1772" t="s">
        <v>364</v>
      </c>
      <c r="H50" s="487"/>
      <c r="J50" s="466">
        <v>23</v>
      </c>
    </row>
    <row customHeight="1" ht="24">
      <c r="A51" s="869"/>
      <c r="B51" s="513"/>
      <c r="C51" s="503"/>
      <c r="D51" s="451">
        <f>D45+1</f>
        <v>13</v>
      </c>
      <c r="E51" s="539" t="s">
        <v>365</v>
      </c>
      <c r="F51" s="501"/>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6"/>
      <c r="J51" s="466">
        <v>23</v>
      </c>
    </row>
    <row customHeight="1" ht="11.549999999999999">
      <c r="A52" s="468"/>
      <c r="B52" s="513"/>
      <c r="C52" s="468"/>
      <c r="J52" s="466">
        <v>11</v>
      </c>
    </row>
    <row s="471" customFormat="1" customHeight="1" ht="31.5">
      <c r="A53" s="1697"/>
      <c r="B53" s="514"/>
      <c r="C53" s="2233"/>
      <c r="D53" s="223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36"/>
      <c r="F53" s="2236"/>
      <c r="G53" s="2236"/>
      <c r="H53" s="465"/>
      <c r="I53" s="465"/>
      <c r="J53" s="471">
        <v>30</v>
      </c>
    </row>
    <row s="471" customFormat="1" customHeight="1" ht="42">
      <c r="A54" s="468"/>
      <c r="B54" s="513"/>
      <c r="C54" s="2233"/>
      <c r="D54" s="223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36"/>
      <c r="F54" s="2236"/>
      <c r="G54" s="2236"/>
      <c r="J54" s="471">
        <v>40</v>
      </c>
    </row>
    <row customHeight="1" ht="11.549999999999999">
      <c r="D55" s="469"/>
      <c r="E55" s="470"/>
      <c r="F55" s="470"/>
      <c r="G55" s="470"/>
      <c r="J55" s="466">
        <v>11</v>
      </c>
    </row>
    <row customHeight="1" ht="28.5">
      <c r="D56" s="472"/>
      <c r="E56" s="469"/>
      <c r="F56" s="481"/>
      <c r="G56" s="481"/>
      <c r="J56" s="466">
        <v>27</v>
      </c>
    </row>
    <row customHeight="1" ht="11.549999999999999">
      <c r="D57" s="469"/>
      <c r="E57" s="469"/>
      <c r="F57" s="470"/>
      <c r="G57" s="470"/>
      <c r="J57" s="466">
        <v>11</v>
      </c>
    </row>
    <row customHeight="1" ht="40.949999999999996">
      <c r="D58" s="473"/>
      <c r="E58" s="482"/>
      <c r="F58" s="482"/>
      <c r="G58" s="482"/>
      <c r="J58" s="466">
        <v>39</v>
      </c>
    </row>
    <row customHeight="1" ht="28.5">
      <c r="D59" s="473"/>
      <c r="E59" s="482"/>
      <c r="F59" s="482"/>
      <c r="G59" s="482"/>
      <c r="J59" s="466">
        <v>27</v>
      </c>
    </row>
    <row customHeight="1" ht="11.25" hidden="1">
      <c r="A60" s="1696" t="s">
        <v>83</v>
      </c>
      <c r="B60" s="512">
        <v>0</v>
      </c>
      <c r="C60" s="466">
        <v>3</v>
      </c>
      <c r="D60" s="467">
        <v>6</v>
      </c>
      <c r="E60" s="466">
        <v>52</v>
      </c>
      <c r="F60" s="466">
        <v>48</v>
      </c>
      <c r="G60" s="466">
        <v>121</v>
      </c>
      <c r="H60" s="466">
        <v>8</v>
      </c>
      <c r="I60" s="466">
        <v>64</v>
      </c>
      <c r="J60" s="46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78568-6024-2B98-5798-D9EBCDCDA4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493FD-C6EC-6058-CDA8-EE4DA8A464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9899A-F178-B1D8-6D08-D4ED490E0E3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9EFC9E-35F8-8458-6748-FB53DA2D183D}" mc:Ignorable="x14ac xr xr2 xr3">
  <dimension ref="A1:E8"/>
  <sheetViews>
    <sheetView topLeftCell="A1" showGridLines="0" workbookViewId="0">
      <selection activeCell="A1" sqref="A1"/>
    </sheetView>
  </sheetViews>
  <sheetFormatPr customHeight="1" defaultRowHeight="11.25"/>
  <cols>
    <col min="1" max="1" style="75" width="10.57421875" customWidth="1"/>
    <col min="2" max="2" style="75" width="8.7109375" customWidth="1"/>
    <col min="3" max="3" style="75" width="18.140625" customWidth="1"/>
    <col min="4" max="4" style="75" width="12.57421875" customWidth="1"/>
  </cols>
  <sheetData>
    <row customHeight="1" ht="11.25">
      <c r="A1" s="2649" t="s">
        <v>2446</v>
      </c>
      <c r="B1" s="2650" t="s">
        <v>2447</v>
      </c>
      <c r="C1" s="2651" t="s">
        <v>2448</v>
      </c>
      <c r="D1" s="2652"/>
      <c r="E1" s="847" t="s">
        <v>2449</v>
      </c>
    </row>
    <row customHeight="1" ht="11.25">
      <c r="A2" s="2653"/>
      <c r="B2" s="776" t="s">
        <v>27</v>
      </c>
      <c r="C2" s="764"/>
      <c r="D2" s="775"/>
      <c r="E2" s="847"/>
    </row>
    <row customHeight="1" ht="11.25">
      <c r="A3" s="2654"/>
      <c r="B3" s="2655" t="s">
        <v>33</v>
      </c>
      <c r="C3" s="764"/>
      <c r="D3" s="775"/>
      <c r="E3" s="847"/>
    </row>
    <row customHeight="1" ht="11.25">
      <c r="A4" s="2656"/>
      <c r="B4" s="777" t="s">
        <v>1894</v>
      </c>
      <c r="C4" s="764"/>
      <c r="D4" s="775"/>
      <c r="E4" s="847"/>
    </row>
    <row customHeight="1" ht="11.25">
      <c r="A5" s="2657"/>
      <c r="B5" s="777" t="s">
        <v>1889</v>
      </c>
      <c r="C5" s="2658" t="s">
        <v>2216</v>
      </c>
      <c r="D5" s="2659" t="s">
        <v>2450</v>
      </c>
      <c r="E5" s="847"/>
    </row>
    <row s="1858" customFormat="1" customHeight="1" ht="11.25">
      <c r="A6" s="2660"/>
      <c r="B6" s="777" t="s">
        <v>1898</v>
      </c>
      <c r="C6" s="764"/>
      <c r="D6" s="775"/>
      <c r="E6" s="847"/>
    </row>
    <row customHeight="1" ht="11.25">
      <c r="A7" s="2661"/>
      <c r="B7" s="777" t="s">
        <v>1906</v>
      </c>
      <c r="C7" s="764"/>
      <c r="D7" s="775"/>
      <c r="E7" s="847"/>
    </row>
    <row customHeight="1" ht="11.25">
      <c r="A8" s="767"/>
      <c r="B8" s="777" t="s">
        <v>1901</v>
      </c>
      <c r="C8" s="764"/>
      <c r="D8" s="775"/>
      <c r="E8" s="84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B6235-1B24-89B8-3F78-F7CD80D68A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A06CE-CD28-B745-7A78-DB7DEBB6E3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B5F58-4F68-BAC8-8581-66A1317F3878}" mc:Ignorable="x14ac xr xr2 xr3">
  <sheetPr>
    <tabColor rgb="FFFFCC99"/>
  </sheetPr>
  <dimension ref="A1:I340"/>
  <sheetViews>
    <sheetView topLeftCell="A1" showGridLines="0" workbookViewId="0">
      <selection activeCell="A1" sqref="A1"/>
    </sheetView>
  </sheetViews>
  <sheetFormatPr defaultColWidth="9.140625" customHeight="1" defaultRowHeight="11.25"/>
  <cols>
    <col min="1" max="2" style="1858" width="9.140625"/>
  </cols>
  <sheetData>
    <row customHeight="1" ht="11.25">
      <c r="A1" s="79" t="s">
        <v>2451</v>
      </c>
      <c r="B1" s="79" t="s">
        <v>2452</v>
      </c>
      <c r="C1" s="73" t="s">
        <v>2453</v>
      </c>
      <c r="D1" s="73" t="s">
        <v>2454</v>
      </c>
      <c r="E1" s="73" t="s">
        <v>2455</v>
      </c>
      <c r="F1" s="73" t="s">
        <v>2456</v>
      </c>
      <c r="G1" s="73" t="s">
        <v>2457</v>
      </c>
      <c r="H1" s="73" t="s">
        <v>2458</v>
      </c>
      <c r="I1" s="73" t="s">
        <v>2459</v>
      </c>
    </row>
    <row customHeight="1" ht="11.25">
      <c r="A2" s="1858" t="s">
        <v>2460</v>
      </c>
      <c r="B2" s="1858" t="s">
        <v>16</v>
      </c>
      <c r="C2" s="73" t="s">
        <v>2461</v>
      </c>
      <c r="D2" s="73" t="s">
        <v>2462</v>
      </c>
      <c r="E2" s="73" t="s">
        <v>2463</v>
      </c>
      <c r="F2" s="73" t="s">
        <v>51</v>
      </c>
      <c r="G2" s="73" t="s">
        <v>2464</v>
      </c>
      <c r="H2" s="73" t="s">
        <v>22</v>
      </c>
      <c r="I2" s="73" t="s">
        <v>900</v>
      </c>
    </row>
    <row customHeight="1" ht="11.25">
      <c r="A3" s="1858" t="s">
        <v>2460</v>
      </c>
      <c r="B3" s="1858" t="s">
        <v>16</v>
      </c>
      <c r="C3" s="0" t="s">
        <v>2465</v>
      </c>
      <c r="D3" s="0" t="s">
        <v>2466</v>
      </c>
      <c r="E3" s="0" t="s">
        <v>2467</v>
      </c>
      <c r="F3" s="0" t="s">
        <v>2468</v>
      </c>
      <c r="G3" s="0" t="s">
        <v>2469</v>
      </c>
      <c r="H3" s="0" t="s">
        <v>22</v>
      </c>
      <c r="I3" s="0" t="s">
        <v>900</v>
      </c>
    </row>
    <row customHeight="1" ht="11.25">
      <c r="A4" s="1858" t="s">
        <v>2460</v>
      </c>
      <c r="B4" s="1858" t="s">
        <v>16</v>
      </c>
      <c r="C4" s="0" t="s">
        <v>2470</v>
      </c>
      <c r="D4" s="0" t="s">
        <v>2471</v>
      </c>
      <c r="E4" s="0" t="s">
        <v>2472</v>
      </c>
      <c r="F4" s="0" t="s">
        <v>2473</v>
      </c>
      <c r="G4" s="0" t="s">
        <v>22</v>
      </c>
      <c r="H4" s="0" t="s">
        <v>22</v>
      </c>
      <c r="I4" s="0" t="s">
        <v>900</v>
      </c>
    </row>
    <row customHeight="1" ht="11.25">
      <c r="A5" s="1858" t="s">
        <v>2460</v>
      </c>
      <c r="B5" s="1858" t="s">
        <v>16</v>
      </c>
      <c r="C5" s="0" t="s">
        <v>2474</v>
      </c>
      <c r="D5" s="0" t="s">
        <v>2475</v>
      </c>
      <c r="E5" s="0" t="s">
        <v>2476</v>
      </c>
      <c r="F5" s="0" t="s">
        <v>51</v>
      </c>
      <c r="G5" s="0" t="s">
        <v>22</v>
      </c>
      <c r="H5" s="0" t="s">
        <v>22</v>
      </c>
      <c r="I5" s="0" t="s">
        <v>900</v>
      </c>
    </row>
    <row customHeight="1" ht="11.25">
      <c r="A6" s="1858" t="s">
        <v>2460</v>
      </c>
      <c r="B6" s="1858" t="s">
        <v>16</v>
      </c>
      <c r="C6" s="0" t="s">
        <v>2477</v>
      </c>
      <c r="D6" s="0" t="s">
        <v>2478</v>
      </c>
      <c r="E6" s="0" t="s">
        <v>2479</v>
      </c>
      <c r="F6" s="0" t="s">
        <v>51</v>
      </c>
      <c r="G6" s="0" t="s">
        <v>2480</v>
      </c>
      <c r="H6" s="0" t="s">
        <v>22</v>
      </c>
      <c r="I6" s="0" t="s">
        <v>900</v>
      </c>
    </row>
    <row customHeight="1" ht="11.25">
      <c r="A7" s="1858" t="s">
        <v>2460</v>
      </c>
      <c r="B7" s="1858" t="s">
        <v>16</v>
      </c>
      <c r="C7" s="0" t="s">
        <v>2481</v>
      </c>
      <c r="D7" s="0" t="s">
        <v>2482</v>
      </c>
      <c r="E7" s="0" t="s">
        <v>2483</v>
      </c>
      <c r="F7" s="0" t="s">
        <v>51</v>
      </c>
      <c r="G7" s="0" t="s">
        <v>2484</v>
      </c>
      <c r="H7" s="0" t="s">
        <v>22</v>
      </c>
      <c r="I7" s="0" t="s">
        <v>900</v>
      </c>
    </row>
    <row customHeight="1" ht="11.25">
      <c r="A8" s="1858" t="s">
        <v>2460</v>
      </c>
      <c r="B8" s="1858" t="s">
        <v>16</v>
      </c>
      <c r="C8" s="0" t="s">
        <v>2485</v>
      </c>
      <c r="D8" s="0" t="s">
        <v>2486</v>
      </c>
      <c r="E8" s="0" t="s">
        <v>2487</v>
      </c>
      <c r="F8" s="0" t="s">
        <v>2488</v>
      </c>
      <c r="G8" s="0" t="s">
        <v>22</v>
      </c>
      <c r="H8" s="0" t="s">
        <v>22</v>
      </c>
      <c r="I8" s="0" t="s">
        <v>900</v>
      </c>
    </row>
    <row customHeight="1" ht="11.25">
      <c r="A9" s="1858" t="s">
        <v>2460</v>
      </c>
      <c r="B9" s="1858" t="s">
        <v>16</v>
      </c>
      <c r="C9" s="0" t="s">
        <v>2489</v>
      </c>
      <c r="D9" s="0" t="s">
        <v>2490</v>
      </c>
      <c r="E9" s="0" t="s">
        <v>2491</v>
      </c>
      <c r="F9" s="0" t="s">
        <v>2492</v>
      </c>
      <c r="G9" s="0" t="s">
        <v>22</v>
      </c>
      <c r="H9" s="0" t="s">
        <v>22</v>
      </c>
      <c r="I9" s="0" t="s">
        <v>900</v>
      </c>
    </row>
    <row customHeight="1" ht="11.25">
      <c r="A10" s="1858" t="s">
        <v>2460</v>
      </c>
      <c r="B10" s="1858" t="s">
        <v>16</v>
      </c>
      <c r="C10" s="0" t="s">
        <v>2493</v>
      </c>
      <c r="D10" s="0" t="s">
        <v>2494</v>
      </c>
      <c r="E10" s="0" t="s">
        <v>2495</v>
      </c>
      <c r="F10" s="0" t="s">
        <v>2488</v>
      </c>
      <c r="G10" s="0" t="s">
        <v>2496</v>
      </c>
      <c r="H10" s="0" t="s">
        <v>22</v>
      </c>
      <c r="I10" s="0" t="s">
        <v>900</v>
      </c>
    </row>
    <row customHeight="1" ht="11.25">
      <c r="A11" s="1858" t="s">
        <v>2460</v>
      </c>
      <c r="B11" s="1858" t="s">
        <v>16</v>
      </c>
      <c r="C11" s="0" t="s">
        <v>2497</v>
      </c>
      <c r="D11" s="0" t="s">
        <v>2498</v>
      </c>
      <c r="E11" s="0" t="s">
        <v>2499</v>
      </c>
      <c r="F11" s="0" t="s">
        <v>2488</v>
      </c>
      <c r="G11" s="0" t="s">
        <v>22</v>
      </c>
      <c r="H11" s="0" t="s">
        <v>22</v>
      </c>
      <c r="I11" s="0" t="s">
        <v>900</v>
      </c>
    </row>
    <row customHeight="1" ht="11.25">
      <c r="A12" s="1858" t="s">
        <v>2460</v>
      </c>
      <c r="B12" s="1858" t="s">
        <v>16</v>
      </c>
      <c r="C12" s="0" t="s">
        <v>2500</v>
      </c>
      <c r="D12" s="0" t="s">
        <v>2501</v>
      </c>
      <c r="E12" s="0" t="s">
        <v>2502</v>
      </c>
      <c r="F12" s="0" t="s">
        <v>51</v>
      </c>
      <c r="G12" s="0" t="s">
        <v>22</v>
      </c>
      <c r="H12" s="0" t="s">
        <v>22</v>
      </c>
      <c r="I12" s="0" t="s">
        <v>900</v>
      </c>
    </row>
    <row customHeight="1" ht="11.25">
      <c r="A13" s="1858" t="s">
        <v>2460</v>
      </c>
      <c r="B13" s="1858" t="s">
        <v>16</v>
      </c>
      <c r="C13" s="0" t="s">
        <v>2503</v>
      </c>
      <c r="D13" s="0" t="s">
        <v>2504</v>
      </c>
      <c r="E13" s="0" t="s">
        <v>2505</v>
      </c>
      <c r="F13" s="0" t="s">
        <v>2506</v>
      </c>
      <c r="G13" s="0" t="s">
        <v>2507</v>
      </c>
      <c r="H13" s="0" t="s">
        <v>22</v>
      </c>
      <c r="I13" s="0" t="s">
        <v>900</v>
      </c>
    </row>
    <row customHeight="1" ht="11.25">
      <c r="A14" s="1858" t="s">
        <v>2460</v>
      </c>
      <c r="B14" s="1858" t="s">
        <v>16</v>
      </c>
      <c r="C14" s="0" t="s">
        <v>2508</v>
      </c>
      <c r="D14" s="0" t="s">
        <v>2509</v>
      </c>
      <c r="E14" s="0" t="s">
        <v>2510</v>
      </c>
      <c r="F14" s="0" t="s">
        <v>2511</v>
      </c>
      <c r="G14" s="0" t="s">
        <v>2512</v>
      </c>
      <c r="H14" s="0" t="s">
        <v>22</v>
      </c>
      <c r="I14" s="0" t="s">
        <v>900</v>
      </c>
    </row>
    <row customHeight="1" ht="11.25">
      <c r="A15" s="1858" t="s">
        <v>2460</v>
      </c>
      <c r="B15" s="1858" t="s">
        <v>16</v>
      </c>
      <c r="C15" s="0" t="s">
        <v>2513</v>
      </c>
      <c r="D15" s="0" t="s">
        <v>2514</v>
      </c>
      <c r="E15" s="0" t="s">
        <v>2515</v>
      </c>
      <c r="F15" s="0" t="s">
        <v>2506</v>
      </c>
      <c r="G15" s="0" t="s">
        <v>22</v>
      </c>
      <c r="H15" s="0" t="s">
        <v>22</v>
      </c>
      <c r="I15" s="0" t="s">
        <v>900</v>
      </c>
    </row>
    <row customHeight="1" ht="11.25">
      <c r="A16" s="1858" t="s">
        <v>2460</v>
      </c>
      <c r="B16" s="1858" t="s">
        <v>16</v>
      </c>
      <c r="C16" s="0" t="s">
        <v>2516</v>
      </c>
      <c r="D16" s="0" t="s">
        <v>2517</v>
      </c>
      <c r="E16" s="0" t="s">
        <v>2518</v>
      </c>
      <c r="F16" s="0" t="s">
        <v>51</v>
      </c>
      <c r="G16" s="0" t="s">
        <v>2519</v>
      </c>
      <c r="H16" s="0" t="s">
        <v>22</v>
      </c>
      <c r="I16" s="0" t="s">
        <v>900</v>
      </c>
    </row>
    <row customHeight="1" ht="11.25">
      <c r="A17" s="1858" t="s">
        <v>2460</v>
      </c>
      <c r="B17" s="1858" t="s">
        <v>16</v>
      </c>
      <c r="C17" s="0" t="s">
        <v>2520</v>
      </c>
      <c r="D17" s="0" t="s">
        <v>2521</v>
      </c>
      <c r="E17" s="0" t="s">
        <v>2522</v>
      </c>
      <c r="F17" s="0" t="s">
        <v>2488</v>
      </c>
      <c r="G17" s="0" t="s">
        <v>22</v>
      </c>
      <c r="H17" s="0" t="s">
        <v>22</v>
      </c>
      <c r="I17" s="0" t="s">
        <v>900</v>
      </c>
    </row>
    <row customHeight="1" ht="11.25">
      <c r="A18" s="1858" t="s">
        <v>2460</v>
      </c>
      <c r="B18" s="1858" t="s">
        <v>16</v>
      </c>
      <c r="C18" s="0" t="s">
        <v>2523</v>
      </c>
      <c r="D18" s="0" t="s">
        <v>2524</v>
      </c>
      <c r="E18" s="0" t="s">
        <v>2525</v>
      </c>
      <c r="F18" s="0" t="s">
        <v>2488</v>
      </c>
      <c r="G18" s="0" t="s">
        <v>22</v>
      </c>
      <c r="H18" s="0" t="s">
        <v>22</v>
      </c>
      <c r="I18" s="0" t="s">
        <v>900</v>
      </c>
    </row>
    <row customHeight="1" ht="11.25">
      <c r="A19" s="1858" t="s">
        <v>2460</v>
      </c>
      <c r="B19" s="1858" t="s">
        <v>16</v>
      </c>
      <c r="C19" s="0" t="s">
        <v>2526</v>
      </c>
      <c r="D19" s="0" t="s">
        <v>2527</v>
      </c>
      <c r="E19" s="0" t="s">
        <v>2528</v>
      </c>
      <c r="F19" s="0" t="s">
        <v>51</v>
      </c>
      <c r="G19" s="0" t="s">
        <v>22</v>
      </c>
      <c r="H19" s="0" t="s">
        <v>2529</v>
      </c>
      <c r="I19" s="0" t="s">
        <v>900</v>
      </c>
    </row>
    <row customHeight="1" ht="11.25">
      <c r="A20" s="1858" t="s">
        <v>2460</v>
      </c>
      <c r="B20" s="1858" t="s">
        <v>16</v>
      </c>
      <c r="C20" s="0" t="s">
        <v>22</v>
      </c>
      <c r="D20" s="0" t="s">
        <v>2530</v>
      </c>
      <c r="E20" s="0" t="s">
        <v>2531</v>
      </c>
      <c r="F20" s="0" t="s">
        <v>51</v>
      </c>
      <c r="G20" s="0" t="s">
        <v>22</v>
      </c>
      <c r="H20" s="0" t="s">
        <v>22</v>
      </c>
      <c r="I20" s="0" t="s">
        <v>900</v>
      </c>
    </row>
    <row customHeight="1" ht="11.25">
      <c r="A21" s="1858" t="s">
        <v>2460</v>
      </c>
      <c r="B21" s="1858" t="s">
        <v>16</v>
      </c>
      <c r="C21" s="0" t="s">
        <v>2532</v>
      </c>
      <c r="D21" s="0" t="s">
        <v>2533</v>
      </c>
      <c r="E21" s="0" t="s">
        <v>2534</v>
      </c>
      <c r="F21" s="0" t="s">
        <v>2535</v>
      </c>
      <c r="G21" s="0" t="s">
        <v>2536</v>
      </c>
      <c r="H21" s="0" t="s">
        <v>22</v>
      </c>
      <c r="I21" s="0" t="s">
        <v>900</v>
      </c>
    </row>
    <row customHeight="1" ht="11.25">
      <c r="A22" s="1858" t="s">
        <v>2460</v>
      </c>
      <c r="B22" s="1858" t="s">
        <v>16</v>
      </c>
      <c r="C22" s="0" t="s">
        <v>2537</v>
      </c>
      <c r="D22" s="0" t="s">
        <v>2538</v>
      </c>
      <c r="E22" s="0" t="s">
        <v>2539</v>
      </c>
      <c r="F22" s="0" t="s">
        <v>599</v>
      </c>
      <c r="G22" s="0" t="s">
        <v>2540</v>
      </c>
      <c r="H22" s="0" t="s">
        <v>22</v>
      </c>
      <c r="I22" s="0" t="s">
        <v>900</v>
      </c>
    </row>
    <row customHeight="1" ht="11.25">
      <c r="A23" s="1858" t="s">
        <v>2460</v>
      </c>
      <c r="B23" s="1858" t="s">
        <v>16</v>
      </c>
      <c r="C23" s="0" t="s">
        <v>2541</v>
      </c>
      <c r="D23" s="0" t="s">
        <v>2542</v>
      </c>
      <c r="E23" s="0" t="s">
        <v>2543</v>
      </c>
      <c r="F23" s="0" t="s">
        <v>599</v>
      </c>
      <c r="G23" s="0" t="s">
        <v>22</v>
      </c>
      <c r="H23" s="0" t="s">
        <v>22</v>
      </c>
      <c r="I23" s="0" t="s">
        <v>900</v>
      </c>
    </row>
    <row customHeight="1" ht="11.25">
      <c r="A24" s="1858" t="s">
        <v>2460</v>
      </c>
      <c r="B24" s="1858" t="s">
        <v>16</v>
      </c>
      <c r="C24" s="0" t="s">
        <v>2544</v>
      </c>
      <c r="D24" s="0" t="s">
        <v>2545</v>
      </c>
      <c r="E24" s="0" t="s">
        <v>2546</v>
      </c>
      <c r="F24" s="0" t="s">
        <v>599</v>
      </c>
      <c r="G24" s="0" t="s">
        <v>22</v>
      </c>
      <c r="H24" s="0" t="s">
        <v>22</v>
      </c>
      <c r="I24" s="0" t="s">
        <v>900</v>
      </c>
    </row>
    <row customHeight="1" ht="11.25">
      <c r="A25" s="1858" t="s">
        <v>2460</v>
      </c>
      <c r="B25" s="1858" t="s">
        <v>16</v>
      </c>
      <c r="C25" s="0" t="s">
        <v>2547</v>
      </c>
      <c r="D25" s="0" t="s">
        <v>2548</v>
      </c>
      <c r="E25" s="0" t="s">
        <v>2549</v>
      </c>
      <c r="F25" s="0" t="s">
        <v>599</v>
      </c>
      <c r="G25" s="0" t="s">
        <v>22</v>
      </c>
      <c r="H25" s="0" t="s">
        <v>22</v>
      </c>
      <c r="I25" s="0" t="s">
        <v>900</v>
      </c>
    </row>
    <row customHeight="1" ht="11.25">
      <c r="A26" s="1858" t="s">
        <v>2460</v>
      </c>
      <c r="B26" s="1858" t="s">
        <v>16</v>
      </c>
      <c r="C26" s="0" t="s">
        <v>2550</v>
      </c>
      <c r="D26" s="0" t="s">
        <v>2551</v>
      </c>
      <c r="E26" s="0" t="s">
        <v>2552</v>
      </c>
      <c r="F26" s="0" t="s">
        <v>599</v>
      </c>
      <c r="G26" s="0" t="s">
        <v>2553</v>
      </c>
      <c r="H26" s="0" t="s">
        <v>22</v>
      </c>
      <c r="I26" s="0" t="s">
        <v>900</v>
      </c>
    </row>
    <row customHeight="1" ht="11.25">
      <c r="A27" s="1858" t="s">
        <v>2460</v>
      </c>
      <c r="B27" s="1858" t="s">
        <v>16</v>
      </c>
      <c r="C27" s="0" t="s">
        <v>2554</v>
      </c>
      <c r="D27" s="0" t="s">
        <v>2555</v>
      </c>
      <c r="E27" s="0" t="s">
        <v>2556</v>
      </c>
      <c r="F27" s="0" t="s">
        <v>51</v>
      </c>
      <c r="G27" s="0" t="s">
        <v>2557</v>
      </c>
      <c r="H27" s="0" t="s">
        <v>22</v>
      </c>
      <c r="I27" s="0" t="s">
        <v>900</v>
      </c>
    </row>
    <row customHeight="1" ht="11.25">
      <c r="A28" s="1858" t="s">
        <v>2460</v>
      </c>
      <c r="B28" s="1858" t="s">
        <v>16</v>
      </c>
      <c r="C28" s="0" t="s">
        <v>2558</v>
      </c>
      <c r="D28" s="0" t="s">
        <v>2559</v>
      </c>
      <c r="E28" s="0" t="s">
        <v>2556</v>
      </c>
      <c r="F28" s="0" t="s">
        <v>2560</v>
      </c>
      <c r="G28" s="0" t="s">
        <v>2561</v>
      </c>
      <c r="H28" s="0" t="s">
        <v>22</v>
      </c>
      <c r="I28" s="0" t="s">
        <v>900</v>
      </c>
    </row>
    <row customHeight="1" ht="11.25">
      <c r="A29" s="1858" t="s">
        <v>2460</v>
      </c>
      <c r="B29" s="1858" t="s">
        <v>16</v>
      </c>
      <c r="C29" s="0" t="s">
        <v>2562</v>
      </c>
      <c r="D29" s="0" t="s">
        <v>2563</v>
      </c>
      <c r="E29" s="0" t="s">
        <v>2564</v>
      </c>
      <c r="F29" s="0" t="s">
        <v>2565</v>
      </c>
      <c r="G29" s="0" t="s">
        <v>2566</v>
      </c>
      <c r="H29" s="0" t="s">
        <v>22</v>
      </c>
      <c r="I29" s="0" t="s">
        <v>900</v>
      </c>
    </row>
    <row customHeight="1" ht="11.25">
      <c r="A30" s="1858" t="s">
        <v>2460</v>
      </c>
      <c r="B30" s="1858" t="s">
        <v>16</v>
      </c>
      <c r="C30" s="0" t="s">
        <v>2567</v>
      </c>
      <c r="D30" s="0" t="s">
        <v>2568</v>
      </c>
      <c r="E30" s="0" t="s">
        <v>2564</v>
      </c>
      <c r="F30" s="0" t="s">
        <v>2569</v>
      </c>
      <c r="G30" s="0" t="s">
        <v>2566</v>
      </c>
      <c r="H30" s="0" t="s">
        <v>22</v>
      </c>
      <c r="I30" s="0" t="s">
        <v>900</v>
      </c>
    </row>
    <row customHeight="1" ht="11.25">
      <c r="A31" s="1858" t="s">
        <v>2460</v>
      </c>
      <c r="B31" s="1858" t="s">
        <v>16</v>
      </c>
      <c r="C31" s="0" t="s">
        <v>2570</v>
      </c>
      <c r="D31" s="0" t="s">
        <v>2571</v>
      </c>
      <c r="E31" s="0" t="s">
        <v>2564</v>
      </c>
      <c r="F31" s="0" t="s">
        <v>2572</v>
      </c>
      <c r="G31" s="0" t="s">
        <v>2566</v>
      </c>
      <c r="H31" s="0" t="s">
        <v>22</v>
      </c>
      <c r="I31" s="0" t="s">
        <v>900</v>
      </c>
    </row>
    <row customHeight="1" ht="11.25">
      <c r="A32" s="1858" t="s">
        <v>2460</v>
      </c>
      <c r="B32" s="1858" t="s">
        <v>16</v>
      </c>
      <c r="C32" s="0" t="s">
        <v>2573</v>
      </c>
      <c r="D32" s="0" t="s">
        <v>2574</v>
      </c>
      <c r="E32" s="0" t="s">
        <v>2575</v>
      </c>
      <c r="F32" s="0" t="s">
        <v>2576</v>
      </c>
      <c r="G32" s="0" t="s">
        <v>2577</v>
      </c>
      <c r="H32" s="0" t="s">
        <v>22</v>
      </c>
      <c r="I32" s="0" t="s">
        <v>900</v>
      </c>
    </row>
    <row customHeight="1" ht="11.25">
      <c r="A33" s="1858" t="s">
        <v>2460</v>
      </c>
      <c r="B33" s="1858" t="s">
        <v>16</v>
      </c>
      <c r="C33" s="0" t="s">
        <v>2578</v>
      </c>
      <c r="D33" s="0" t="s">
        <v>2579</v>
      </c>
      <c r="E33" s="0" t="s">
        <v>2580</v>
      </c>
      <c r="F33" s="0" t="s">
        <v>2576</v>
      </c>
      <c r="G33" s="0" t="s">
        <v>2581</v>
      </c>
      <c r="H33" s="0" t="s">
        <v>22</v>
      </c>
      <c r="I33" s="0" t="s">
        <v>900</v>
      </c>
    </row>
    <row customHeight="1" ht="11.25">
      <c r="A34" s="1858" t="s">
        <v>2460</v>
      </c>
      <c r="B34" s="1858" t="s">
        <v>16</v>
      </c>
      <c r="C34" s="0" t="s">
        <v>2582</v>
      </c>
      <c r="D34" s="0" t="s">
        <v>2583</v>
      </c>
      <c r="E34" s="0" t="s">
        <v>2584</v>
      </c>
      <c r="F34" s="0" t="s">
        <v>2585</v>
      </c>
      <c r="G34" s="0" t="s">
        <v>2586</v>
      </c>
      <c r="H34" s="0" t="s">
        <v>22</v>
      </c>
      <c r="I34" s="0" t="s">
        <v>900</v>
      </c>
    </row>
    <row customHeight="1" ht="11.25">
      <c r="A35" s="1858" t="s">
        <v>2460</v>
      </c>
      <c r="B35" s="1858" t="s">
        <v>16</v>
      </c>
      <c r="C35" s="0" t="s">
        <v>2587</v>
      </c>
      <c r="D35" s="0" t="s">
        <v>2588</v>
      </c>
      <c r="E35" s="0" t="s">
        <v>2589</v>
      </c>
      <c r="F35" s="0" t="s">
        <v>2590</v>
      </c>
      <c r="G35" s="0" t="s">
        <v>2591</v>
      </c>
      <c r="H35" s="0" t="s">
        <v>22</v>
      </c>
      <c r="I35" s="0" t="s">
        <v>900</v>
      </c>
    </row>
    <row customHeight="1" ht="11.25">
      <c r="A36" s="1858" t="s">
        <v>2460</v>
      </c>
      <c r="B36" s="1858" t="s">
        <v>16</v>
      </c>
      <c r="C36" s="0" t="s">
        <v>2592</v>
      </c>
      <c r="D36" s="0" t="s">
        <v>2593</v>
      </c>
      <c r="E36" s="0" t="s">
        <v>2594</v>
      </c>
      <c r="F36" s="0" t="s">
        <v>2576</v>
      </c>
      <c r="G36" s="0" t="s">
        <v>2595</v>
      </c>
      <c r="H36" s="0" t="s">
        <v>22</v>
      </c>
      <c r="I36" s="0" t="s">
        <v>900</v>
      </c>
    </row>
    <row customHeight="1" ht="11.25">
      <c r="A37" s="1858" t="s">
        <v>2460</v>
      </c>
      <c r="B37" s="1858" t="s">
        <v>16</v>
      </c>
      <c r="C37" s="0" t="s">
        <v>2596</v>
      </c>
      <c r="D37" s="0" t="s">
        <v>2597</v>
      </c>
      <c r="E37" s="0" t="s">
        <v>2598</v>
      </c>
      <c r="F37" s="0" t="s">
        <v>2599</v>
      </c>
      <c r="G37" s="0" t="s">
        <v>2600</v>
      </c>
      <c r="H37" s="0" t="s">
        <v>22</v>
      </c>
      <c r="I37" s="0" t="s">
        <v>900</v>
      </c>
    </row>
    <row customHeight="1" ht="11.25">
      <c r="A38" s="1858" t="s">
        <v>2460</v>
      </c>
      <c r="B38" s="1858" t="s">
        <v>16</v>
      </c>
      <c r="C38" s="0" t="s">
        <v>2601</v>
      </c>
      <c r="D38" s="0" t="s">
        <v>2602</v>
      </c>
      <c r="E38" s="0" t="s">
        <v>2603</v>
      </c>
      <c r="F38" s="0" t="s">
        <v>2576</v>
      </c>
      <c r="G38" s="0" t="s">
        <v>2604</v>
      </c>
      <c r="H38" s="0" t="s">
        <v>22</v>
      </c>
      <c r="I38" s="0" t="s">
        <v>900</v>
      </c>
    </row>
    <row customHeight="1" ht="11.25">
      <c r="A39" s="1858" t="s">
        <v>2460</v>
      </c>
      <c r="B39" s="1858" t="s">
        <v>16</v>
      </c>
      <c r="C39" s="0" t="s">
        <v>2605</v>
      </c>
      <c r="D39" s="0" t="s">
        <v>2606</v>
      </c>
      <c r="E39" s="0" t="s">
        <v>2607</v>
      </c>
      <c r="F39" s="0" t="s">
        <v>2608</v>
      </c>
      <c r="G39" s="0" t="s">
        <v>2609</v>
      </c>
      <c r="H39" s="0" t="s">
        <v>22</v>
      </c>
      <c r="I39" s="0" t="s">
        <v>900</v>
      </c>
    </row>
    <row customHeight="1" ht="11.25">
      <c r="A40" s="1858" t="s">
        <v>2460</v>
      </c>
      <c r="B40" s="1858" t="s">
        <v>16</v>
      </c>
      <c r="C40" s="0" t="s">
        <v>2610</v>
      </c>
      <c r="D40" s="0" t="s">
        <v>2611</v>
      </c>
      <c r="E40" s="0" t="s">
        <v>2612</v>
      </c>
      <c r="F40" s="0" t="s">
        <v>2506</v>
      </c>
      <c r="G40" s="0" t="s">
        <v>2613</v>
      </c>
      <c r="H40" s="0" t="s">
        <v>22</v>
      </c>
      <c r="I40" s="0" t="s">
        <v>900</v>
      </c>
    </row>
    <row customHeight="1" ht="11.25">
      <c r="A41" s="1858" t="s">
        <v>2460</v>
      </c>
      <c r="B41" s="1858" t="s">
        <v>16</v>
      </c>
      <c r="C41" s="0" t="s">
        <v>2614</v>
      </c>
      <c r="D41" s="0" t="s">
        <v>2615</v>
      </c>
      <c r="E41" s="0" t="s">
        <v>2616</v>
      </c>
      <c r="F41" s="0" t="s">
        <v>2506</v>
      </c>
      <c r="G41" s="0" t="s">
        <v>2617</v>
      </c>
      <c r="H41" s="0" t="s">
        <v>22</v>
      </c>
      <c r="I41" s="0" t="s">
        <v>900</v>
      </c>
    </row>
    <row customHeight="1" ht="11.25">
      <c r="A42" s="1858" t="s">
        <v>2460</v>
      </c>
      <c r="B42" s="1858" t="s">
        <v>16</v>
      </c>
      <c r="C42" s="0" t="s">
        <v>2618</v>
      </c>
      <c r="D42" s="0" t="s">
        <v>2619</v>
      </c>
      <c r="E42" s="0" t="s">
        <v>2620</v>
      </c>
      <c r="F42" s="0" t="s">
        <v>2506</v>
      </c>
      <c r="G42" s="0" t="s">
        <v>2621</v>
      </c>
      <c r="H42" s="0" t="s">
        <v>22</v>
      </c>
      <c r="I42" s="0" t="s">
        <v>900</v>
      </c>
    </row>
    <row customHeight="1" ht="11.25">
      <c r="A43" s="1858" t="s">
        <v>2460</v>
      </c>
      <c r="B43" s="1858" t="s">
        <v>16</v>
      </c>
      <c r="C43" s="0" t="s">
        <v>2622</v>
      </c>
      <c r="D43" s="0" t="s">
        <v>2623</v>
      </c>
      <c r="E43" s="0" t="s">
        <v>2624</v>
      </c>
      <c r="F43" s="0" t="s">
        <v>2608</v>
      </c>
      <c r="G43" s="0" t="s">
        <v>2625</v>
      </c>
      <c r="H43" s="0" t="s">
        <v>2577</v>
      </c>
      <c r="I43" s="0" t="s">
        <v>900</v>
      </c>
    </row>
    <row customHeight="1" ht="11.25">
      <c r="A44" s="1858" t="s">
        <v>2460</v>
      </c>
      <c r="B44" s="1858" t="s">
        <v>16</v>
      </c>
      <c r="C44" s="0" t="s">
        <v>2626</v>
      </c>
      <c r="D44" s="0" t="s">
        <v>2627</v>
      </c>
      <c r="E44" s="0" t="s">
        <v>2628</v>
      </c>
      <c r="F44" s="0" t="s">
        <v>2629</v>
      </c>
      <c r="G44" s="0" t="s">
        <v>2630</v>
      </c>
      <c r="H44" s="0" t="s">
        <v>22</v>
      </c>
      <c r="I44" s="0" t="s">
        <v>900</v>
      </c>
    </row>
    <row customHeight="1" ht="11.25">
      <c r="A45" s="1858" t="s">
        <v>2460</v>
      </c>
      <c r="B45" s="1858" t="s">
        <v>16</v>
      </c>
      <c r="C45" s="0" t="s">
        <v>2631</v>
      </c>
      <c r="D45" s="0" t="s">
        <v>2632</v>
      </c>
      <c r="E45" s="0" t="s">
        <v>2633</v>
      </c>
      <c r="F45" s="0" t="s">
        <v>51</v>
      </c>
      <c r="G45" s="0" t="s">
        <v>2634</v>
      </c>
      <c r="H45" s="0" t="s">
        <v>2635</v>
      </c>
      <c r="I45" s="0" t="s">
        <v>900</v>
      </c>
    </row>
    <row customHeight="1" ht="11.25">
      <c r="A46" s="1858" t="s">
        <v>2460</v>
      </c>
      <c r="B46" s="1858" t="s">
        <v>16</v>
      </c>
      <c r="C46" s="0" t="s">
        <v>2636</v>
      </c>
      <c r="D46" s="0" t="s">
        <v>2637</v>
      </c>
      <c r="E46" s="0" t="s">
        <v>2638</v>
      </c>
      <c r="F46" s="0" t="s">
        <v>2639</v>
      </c>
      <c r="G46" s="0" t="s">
        <v>2640</v>
      </c>
      <c r="H46" s="0" t="s">
        <v>22</v>
      </c>
      <c r="I46" s="0" t="s">
        <v>900</v>
      </c>
    </row>
    <row customHeight="1" ht="11.25">
      <c r="A47" s="1858" t="s">
        <v>2460</v>
      </c>
      <c r="B47" s="1858" t="s">
        <v>16</v>
      </c>
      <c r="C47" s="0" t="s">
        <v>2641</v>
      </c>
      <c r="D47" s="0" t="s">
        <v>2642</v>
      </c>
      <c r="E47" s="0" t="s">
        <v>2643</v>
      </c>
      <c r="F47" s="0" t="s">
        <v>2644</v>
      </c>
      <c r="G47" s="0" t="s">
        <v>22</v>
      </c>
      <c r="H47" s="0" t="s">
        <v>2645</v>
      </c>
      <c r="I47" s="0" t="s">
        <v>900</v>
      </c>
    </row>
    <row customHeight="1" ht="11.25">
      <c r="A48" s="1858" t="s">
        <v>2460</v>
      </c>
      <c r="B48" s="1858" t="s">
        <v>16</v>
      </c>
      <c r="C48" s="0" t="s">
        <v>2646</v>
      </c>
      <c r="D48" s="0" t="s">
        <v>2647</v>
      </c>
      <c r="E48" s="0" t="s">
        <v>2648</v>
      </c>
      <c r="F48" s="0" t="s">
        <v>2639</v>
      </c>
      <c r="G48" s="0" t="s">
        <v>2649</v>
      </c>
      <c r="H48" s="0" t="s">
        <v>22</v>
      </c>
      <c r="I48" s="0" t="s">
        <v>900</v>
      </c>
    </row>
    <row customHeight="1" ht="11.25">
      <c r="A49" s="1858" t="s">
        <v>2460</v>
      </c>
      <c r="B49" s="1858" t="s">
        <v>16</v>
      </c>
      <c r="C49" s="0" t="s">
        <v>2650</v>
      </c>
      <c r="D49" s="0" t="s">
        <v>2651</v>
      </c>
      <c r="E49" s="0" t="s">
        <v>2652</v>
      </c>
      <c r="F49" s="0" t="s">
        <v>2511</v>
      </c>
      <c r="G49" s="0" t="s">
        <v>2653</v>
      </c>
      <c r="H49" s="0" t="s">
        <v>22</v>
      </c>
      <c r="I49" s="0" t="s">
        <v>900</v>
      </c>
    </row>
    <row customHeight="1" ht="11.25">
      <c r="A50" s="1858" t="s">
        <v>2460</v>
      </c>
      <c r="B50" s="1858" t="s">
        <v>16</v>
      </c>
      <c r="C50" s="0" t="s">
        <v>2654</v>
      </c>
      <c r="D50" s="0" t="s">
        <v>2655</v>
      </c>
      <c r="E50" s="0" t="s">
        <v>2656</v>
      </c>
      <c r="F50" s="0" t="s">
        <v>2657</v>
      </c>
      <c r="G50" s="0" t="s">
        <v>2658</v>
      </c>
      <c r="H50" s="0" t="s">
        <v>22</v>
      </c>
      <c r="I50" s="0" t="s">
        <v>900</v>
      </c>
    </row>
    <row customHeight="1" ht="11.25">
      <c r="A51" s="1858" t="s">
        <v>2460</v>
      </c>
      <c r="B51" s="1858" t="s">
        <v>16</v>
      </c>
      <c r="C51" s="0" t="s">
        <v>2659</v>
      </c>
      <c r="D51" s="0" t="s">
        <v>2660</v>
      </c>
      <c r="E51" s="0" t="s">
        <v>2661</v>
      </c>
      <c r="F51" s="0" t="s">
        <v>2662</v>
      </c>
      <c r="G51" s="0" t="s">
        <v>2663</v>
      </c>
      <c r="H51" s="0" t="s">
        <v>22</v>
      </c>
      <c r="I51" s="0" t="s">
        <v>900</v>
      </c>
    </row>
    <row customHeight="1" ht="11.25">
      <c r="A52" s="1858" t="s">
        <v>2460</v>
      </c>
      <c r="B52" s="1858" t="s">
        <v>16</v>
      </c>
      <c r="C52" s="0" t="s">
        <v>2664</v>
      </c>
      <c r="D52" s="0" t="s">
        <v>2665</v>
      </c>
      <c r="E52" s="0" t="s">
        <v>2666</v>
      </c>
      <c r="F52" s="0" t="s">
        <v>2590</v>
      </c>
      <c r="G52" s="0" t="s">
        <v>22</v>
      </c>
      <c r="H52" s="0" t="s">
        <v>22</v>
      </c>
      <c r="I52" s="0" t="s">
        <v>900</v>
      </c>
    </row>
    <row customHeight="1" ht="11.25">
      <c r="A53" s="1858" t="s">
        <v>2460</v>
      </c>
      <c r="B53" s="1858" t="s">
        <v>16</v>
      </c>
      <c r="C53" s="0" t="s">
        <v>2667</v>
      </c>
      <c r="D53" s="0" t="s">
        <v>2668</v>
      </c>
      <c r="E53" s="0" t="s">
        <v>49</v>
      </c>
      <c r="F53" s="0" t="s">
        <v>2669</v>
      </c>
      <c r="G53" s="0" t="s">
        <v>2670</v>
      </c>
      <c r="H53" s="0" t="s">
        <v>22</v>
      </c>
      <c r="I53" s="0" t="s">
        <v>900</v>
      </c>
    </row>
    <row customHeight="1" ht="11.25">
      <c r="A54" s="1858" t="s">
        <v>2460</v>
      </c>
      <c r="B54" s="1858" t="s">
        <v>16</v>
      </c>
      <c r="C54" s="0" t="s">
        <v>2671</v>
      </c>
      <c r="D54" s="0" t="s">
        <v>2672</v>
      </c>
      <c r="E54" s="0" t="s">
        <v>49</v>
      </c>
      <c r="F54" s="0" t="s">
        <v>2673</v>
      </c>
      <c r="G54" s="0" t="s">
        <v>2670</v>
      </c>
      <c r="H54" s="0" t="s">
        <v>22</v>
      </c>
      <c r="I54" s="0" t="s">
        <v>900</v>
      </c>
    </row>
    <row customHeight="1" ht="11.25">
      <c r="A55" s="1858" t="s">
        <v>2460</v>
      </c>
      <c r="B55" s="1858" t="s">
        <v>16</v>
      </c>
      <c r="C55" s="0" t="s">
        <v>2674</v>
      </c>
      <c r="D55" s="0" t="s">
        <v>2675</v>
      </c>
      <c r="E55" s="0" t="s">
        <v>2676</v>
      </c>
      <c r="F55" s="0" t="s">
        <v>2511</v>
      </c>
      <c r="G55" s="0" t="s">
        <v>2677</v>
      </c>
      <c r="H55" s="0" t="s">
        <v>22</v>
      </c>
      <c r="I55" s="0" t="s">
        <v>900</v>
      </c>
    </row>
    <row customHeight="1" ht="11.25">
      <c r="A56" s="1858" t="s">
        <v>2460</v>
      </c>
      <c r="B56" s="1858" t="s">
        <v>16</v>
      </c>
      <c r="C56" s="0" t="s">
        <v>2678</v>
      </c>
      <c r="D56" s="0" t="s">
        <v>2679</v>
      </c>
      <c r="E56" s="0" t="s">
        <v>2680</v>
      </c>
      <c r="F56" s="0" t="s">
        <v>2511</v>
      </c>
      <c r="G56" s="0" t="s">
        <v>2681</v>
      </c>
      <c r="H56" s="0" t="s">
        <v>22</v>
      </c>
      <c r="I56" s="0" t="s">
        <v>900</v>
      </c>
    </row>
    <row customHeight="1" ht="11.25">
      <c r="A57" s="1858" t="s">
        <v>2460</v>
      </c>
      <c r="B57" s="1858" t="s">
        <v>16</v>
      </c>
      <c r="C57" s="0" t="s">
        <v>2682</v>
      </c>
      <c r="D57" s="0" t="s">
        <v>2683</v>
      </c>
      <c r="E57" s="0" t="s">
        <v>2684</v>
      </c>
      <c r="F57" s="0" t="s">
        <v>2685</v>
      </c>
      <c r="G57" s="0" t="s">
        <v>2686</v>
      </c>
      <c r="H57" s="0" t="s">
        <v>22</v>
      </c>
      <c r="I57" s="0" t="s">
        <v>900</v>
      </c>
    </row>
    <row customHeight="1" ht="11.25">
      <c r="A58" s="1858" t="s">
        <v>2460</v>
      </c>
      <c r="B58" s="1858" t="s">
        <v>16</v>
      </c>
      <c r="C58" s="0" t="s">
        <v>2687</v>
      </c>
      <c r="D58" s="0" t="s">
        <v>2688</v>
      </c>
      <c r="E58" s="0" t="s">
        <v>2689</v>
      </c>
      <c r="F58" s="0" t="s">
        <v>2690</v>
      </c>
      <c r="G58" s="0" t="s">
        <v>2691</v>
      </c>
      <c r="H58" s="0" t="s">
        <v>22</v>
      </c>
      <c r="I58" s="0" t="s">
        <v>900</v>
      </c>
    </row>
    <row customHeight="1" ht="11.25">
      <c r="A59" s="1858" t="s">
        <v>2460</v>
      </c>
      <c r="B59" s="1858" t="s">
        <v>16</v>
      </c>
      <c r="C59" s="0" t="s">
        <v>2692</v>
      </c>
      <c r="D59" s="0" t="s">
        <v>2693</v>
      </c>
      <c r="E59" s="0" t="s">
        <v>2694</v>
      </c>
      <c r="F59" s="0" t="s">
        <v>2695</v>
      </c>
      <c r="G59" s="0" t="s">
        <v>22</v>
      </c>
      <c r="H59" s="0" t="s">
        <v>22</v>
      </c>
      <c r="I59" s="0" t="s">
        <v>900</v>
      </c>
    </row>
    <row customHeight="1" ht="11.25">
      <c r="A60" s="1858" t="s">
        <v>2460</v>
      </c>
      <c r="B60" s="1858" t="s">
        <v>16</v>
      </c>
      <c r="C60" s="0" t="s">
        <v>2696</v>
      </c>
      <c r="D60" s="0" t="s">
        <v>2697</v>
      </c>
      <c r="E60" s="0" t="s">
        <v>2698</v>
      </c>
      <c r="F60" s="0" t="s">
        <v>2488</v>
      </c>
      <c r="G60" s="0" t="s">
        <v>2699</v>
      </c>
      <c r="H60" s="0" t="s">
        <v>22</v>
      </c>
      <c r="I60" s="0" t="s">
        <v>900</v>
      </c>
    </row>
    <row customHeight="1" ht="11.25">
      <c r="A61" s="1858" t="s">
        <v>2460</v>
      </c>
      <c r="B61" s="1858" t="s">
        <v>16</v>
      </c>
      <c r="C61" s="0" t="s">
        <v>2700</v>
      </c>
      <c r="D61" s="0" t="s">
        <v>2701</v>
      </c>
      <c r="E61" s="0" t="s">
        <v>2702</v>
      </c>
      <c r="F61" s="0" t="s">
        <v>2703</v>
      </c>
      <c r="G61" s="0" t="s">
        <v>2704</v>
      </c>
      <c r="H61" s="0" t="s">
        <v>22</v>
      </c>
      <c r="I61" s="0" t="s">
        <v>900</v>
      </c>
    </row>
    <row customHeight="1" ht="11.25">
      <c r="A62" s="1858" t="s">
        <v>2460</v>
      </c>
      <c r="B62" s="1858" t="s">
        <v>16</v>
      </c>
      <c r="C62" s="0" t="s">
        <v>2705</v>
      </c>
      <c r="D62" s="0" t="s">
        <v>2706</v>
      </c>
      <c r="E62" s="0" t="s">
        <v>2707</v>
      </c>
      <c r="F62" s="0" t="s">
        <v>2644</v>
      </c>
      <c r="G62" s="0" t="s">
        <v>2708</v>
      </c>
      <c r="H62" s="0" t="s">
        <v>22</v>
      </c>
      <c r="I62" s="0" t="s">
        <v>900</v>
      </c>
    </row>
    <row customHeight="1" ht="11.25">
      <c r="A63" s="1858" t="s">
        <v>2460</v>
      </c>
      <c r="B63" s="1858" t="s">
        <v>16</v>
      </c>
      <c r="C63" s="0" t="s">
        <v>2709</v>
      </c>
      <c r="D63" s="0" t="s">
        <v>2710</v>
      </c>
      <c r="E63" s="0" t="s">
        <v>2711</v>
      </c>
      <c r="F63" s="0" t="s">
        <v>51</v>
      </c>
      <c r="G63" s="0" t="s">
        <v>22</v>
      </c>
      <c r="H63" s="0" t="s">
        <v>22</v>
      </c>
      <c r="I63" s="0" t="s">
        <v>900</v>
      </c>
    </row>
    <row customHeight="1" ht="11.25">
      <c r="A64" s="1858" t="s">
        <v>2460</v>
      </c>
      <c r="B64" s="1858" t="s">
        <v>16</v>
      </c>
      <c r="C64" s="0" t="s">
        <v>2712</v>
      </c>
      <c r="D64" s="0" t="s">
        <v>2713</v>
      </c>
      <c r="E64" s="0" t="s">
        <v>2714</v>
      </c>
      <c r="F64" s="0" t="s">
        <v>2576</v>
      </c>
      <c r="G64" s="0" t="s">
        <v>2715</v>
      </c>
      <c r="H64" s="0" t="s">
        <v>22</v>
      </c>
      <c r="I64" s="0" t="s">
        <v>900</v>
      </c>
    </row>
    <row customHeight="1" ht="11.25">
      <c r="A65" s="1858" t="s">
        <v>2460</v>
      </c>
      <c r="B65" s="1858" t="s">
        <v>16</v>
      </c>
      <c r="C65" s="0" t="s">
        <v>2716</v>
      </c>
      <c r="D65" s="0" t="s">
        <v>2717</v>
      </c>
      <c r="E65" s="0" t="s">
        <v>2718</v>
      </c>
      <c r="F65" s="0" t="s">
        <v>2719</v>
      </c>
      <c r="G65" s="0" t="s">
        <v>2720</v>
      </c>
      <c r="H65" s="0" t="s">
        <v>22</v>
      </c>
      <c r="I65" s="0" t="s">
        <v>900</v>
      </c>
    </row>
    <row customHeight="1" ht="11.25">
      <c r="A66" s="1858" t="s">
        <v>2460</v>
      </c>
      <c r="B66" s="1858" t="s">
        <v>16</v>
      </c>
      <c r="C66" s="0" t="s">
        <v>2721</v>
      </c>
      <c r="D66" s="0" t="s">
        <v>2722</v>
      </c>
      <c r="E66" s="0" t="s">
        <v>2723</v>
      </c>
      <c r="F66" s="0" t="s">
        <v>51</v>
      </c>
      <c r="G66" s="0" t="s">
        <v>2724</v>
      </c>
      <c r="H66" s="0" t="s">
        <v>2725</v>
      </c>
      <c r="I66" s="0" t="s">
        <v>900</v>
      </c>
    </row>
    <row customHeight="1" ht="11.25">
      <c r="A67" s="1858" t="s">
        <v>2460</v>
      </c>
      <c r="B67" s="1858" t="s">
        <v>16</v>
      </c>
      <c r="C67" s="0" t="s">
        <v>2726</v>
      </c>
      <c r="D67" s="0" t="s">
        <v>2727</v>
      </c>
      <c r="E67" s="0" t="s">
        <v>2728</v>
      </c>
      <c r="F67" s="0" t="s">
        <v>2511</v>
      </c>
      <c r="G67" s="0" t="s">
        <v>2729</v>
      </c>
      <c r="H67" s="0" t="s">
        <v>22</v>
      </c>
      <c r="I67" s="0" t="s">
        <v>900</v>
      </c>
    </row>
    <row customHeight="1" ht="11.25">
      <c r="A68" s="1858" t="s">
        <v>2460</v>
      </c>
      <c r="B68" s="1858" t="s">
        <v>16</v>
      </c>
      <c r="C68" s="0" t="s">
        <v>2730</v>
      </c>
      <c r="D68" s="0" t="s">
        <v>2731</v>
      </c>
      <c r="E68" s="0" t="s">
        <v>2732</v>
      </c>
      <c r="F68" s="0" t="s">
        <v>2644</v>
      </c>
      <c r="G68" s="0" t="s">
        <v>2733</v>
      </c>
      <c r="H68" s="0" t="s">
        <v>22</v>
      </c>
      <c r="I68" s="0" t="s">
        <v>900</v>
      </c>
    </row>
    <row customHeight="1" ht="11.25">
      <c r="A69" s="1858" t="s">
        <v>2460</v>
      </c>
      <c r="B69" s="1858" t="s">
        <v>16</v>
      </c>
      <c r="C69" s="0" t="s">
        <v>2734</v>
      </c>
      <c r="D69" s="0" t="s">
        <v>2735</v>
      </c>
      <c r="E69" s="0" t="s">
        <v>2736</v>
      </c>
      <c r="F69" s="0" t="s">
        <v>51</v>
      </c>
      <c r="G69" s="0" t="s">
        <v>2737</v>
      </c>
      <c r="H69" s="0" t="s">
        <v>22</v>
      </c>
      <c r="I69" s="0" t="s">
        <v>900</v>
      </c>
    </row>
    <row customHeight="1" ht="11.25">
      <c r="A70" s="1858" t="s">
        <v>2460</v>
      </c>
      <c r="B70" s="1858" t="s">
        <v>16</v>
      </c>
      <c r="C70" s="0" t="s">
        <v>2738</v>
      </c>
      <c r="D70" s="0" t="s">
        <v>2739</v>
      </c>
      <c r="E70" s="0" t="s">
        <v>2740</v>
      </c>
      <c r="F70" s="0" t="s">
        <v>2741</v>
      </c>
      <c r="G70" s="0" t="s">
        <v>2742</v>
      </c>
      <c r="H70" s="0" t="s">
        <v>22</v>
      </c>
      <c r="I70" s="0" t="s">
        <v>900</v>
      </c>
    </row>
    <row customHeight="1" ht="11.25">
      <c r="A71" s="1858" t="s">
        <v>2460</v>
      </c>
      <c r="B71" s="1858" t="s">
        <v>16</v>
      </c>
      <c r="C71" s="0" t="s">
        <v>2743</v>
      </c>
      <c r="D71" s="0" t="s">
        <v>2744</v>
      </c>
      <c r="E71" s="0" t="s">
        <v>2745</v>
      </c>
      <c r="F71" s="0" t="s">
        <v>2576</v>
      </c>
      <c r="G71" s="0" t="s">
        <v>2746</v>
      </c>
      <c r="H71" s="0" t="s">
        <v>22</v>
      </c>
      <c r="I71" s="0" t="s">
        <v>900</v>
      </c>
    </row>
    <row customHeight="1" ht="11.25">
      <c r="A72" s="1858" t="s">
        <v>2460</v>
      </c>
      <c r="B72" s="1858" t="s">
        <v>16</v>
      </c>
      <c r="C72" s="0" t="s">
        <v>2747</v>
      </c>
      <c r="D72" s="0" t="s">
        <v>2748</v>
      </c>
      <c r="E72" s="0" t="s">
        <v>2749</v>
      </c>
      <c r="F72" s="0" t="s">
        <v>2657</v>
      </c>
      <c r="G72" s="0" t="s">
        <v>2750</v>
      </c>
      <c r="H72" s="0" t="s">
        <v>22</v>
      </c>
      <c r="I72" s="0" t="s">
        <v>900</v>
      </c>
    </row>
    <row customHeight="1" ht="11.25">
      <c r="A73" s="1858" t="s">
        <v>2460</v>
      </c>
      <c r="B73" s="1858" t="s">
        <v>16</v>
      </c>
      <c r="C73" s="0" t="s">
        <v>2751</v>
      </c>
      <c r="D73" s="0" t="s">
        <v>2752</v>
      </c>
      <c r="E73" s="0" t="s">
        <v>2753</v>
      </c>
      <c r="F73" s="0" t="s">
        <v>51</v>
      </c>
      <c r="G73" s="0" t="s">
        <v>22</v>
      </c>
      <c r="H73" s="0" t="s">
        <v>22</v>
      </c>
      <c r="I73" s="0" t="s">
        <v>900</v>
      </c>
    </row>
    <row customHeight="1" ht="11.25">
      <c r="A74" s="1858" t="s">
        <v>2460</v>
      </c>
      <c r="B74" s="1858" t="s">
        <v>16</v>
      </c>
      <c r="C74" s="0" t="s">
        <v>2754</v>
      </c>
      <c r="D74" s="0" t="s">
        <v>2755</v>
      </c>
      <c r="E74" s="0" t="s">
        <v>2756</v>
      </c>
      <c r="F74" s="0" t="s">
        <v>2576</v>
      </c>
      <c r="G74" s="0" t="s">
        <v>2635</v>
      </c>
      <c r="H74" s="0" t="s">
        <v>22</v>
      </c>
      <c r="I74" s="0" t="s">
        <v>900</v>
      </c>
    </row>
    <row customHeight="1" ht="11.25">
      <c r="A75" s="1858" t="s">
        <v>2460</v>
      </c>
      <c r="B75" s="1858" t="s">
        <v>16</v>
      </c>
      <c r="C75" s="0" t="s">
        <v>2757</v>
      </c>
      <c r="D75" s="0" t="s">
        <v>2758</v>
      </c>
      <c r="E75" s="0" t="s">
        <v>2759</v>
      </c>
      <c r="F75" s="0" t="s">
        <v>2488</v>
      </c>
      <c r="G75" s="0" t="s">
        <v>2760</v>
      </c>
      <c r="H75" s="0" t="s">
        <v>22</v>
      </c>
      <c r="I75" s="0" t="s">
        <v>900</v>
      </c>
    </row>
    <row customHeight="1" ht="11.25">
      <c r="A76" s="1858" t="s">
        <v>2460</v>
      </c>
      <c r="B76" s="1858" t="s">
        <v>16</v>
      </c>
      <c r="C76" s="0" t="s">
        <v>2761</v>
      </c>
      <c r="D76" s="0" t="s">
        <v>2762</v>
      </c>
      <c r="E76" s="0" t="s">
        <v>2763</v>
      </c>
      <c r="F76" s="0" t="s">
        <v>51</v>
      </c>
      <c r="G76" s="0" t="s">
        <v>2764</v>
      </c>
      <c r="H76" s="0" t="s">
        <v>22</v>
      </c>
      <c r="I76" s="0" t="s">
        <v>900</v>
      </c>
    </row>
    <row customHeight="1" ht="11.25">
      <c r="A77" s="1858" t="s">
        <v>2460</v>
      </c>
      <c r="B77" s="1858" t="s">
        <v>16</v>
      </c>
      <c r="C77" s="0" t="s">
        <v>2765</v>
      </c>
      <c r="D77" s="0" t="s">
        <v>2766</v>
      </c>
      <c r="E77" s="0" t="s">
        <v>2767</v>
      </c>
      <c r="F77" s="0" t="s">
        <v>2576</v>
      </c>
      <c r="G77" s="0" t="s">
        <v>2768</v>
      </c>
      <c r="H77" s="0" t="s">
        <v>22</v>
      </c>
      <c r="I77" s="0" t="s">
        <v>900</v>
      </c>
    </row>
    <row customHeight="1" ht="11.25">
      <c r="A78" s="1858" t="s">
        <v>2460</v>
      </c>
      <c r="B78" s="1858" t="s">
        <v>16</v>
      </c>
      <c r="C78" s="0" t="s">
        <v>2769</v>
      </c>
      <c r="D78" s="0" t="s">
        <v>2770</v>
      </c>
      <c r="E78" s="0" t="s">
        <v>2771</v>
      </c>
      <c r="F78" s="0" t="s">
        <v>2576</v>
      </c>
      <c r="G78" s="0" t="s">
        <v>2772</v>
      </c>
      <c r="H78" s="0" t="s">
        <v>22</v>
      </c>
      <c r="I78" s="0" t="s">
        <v>900</v>
      </c>
    </row>
    <row customHeight="1" ht="11.25">
      <c r="A79" s="1858" t="s">
        <v>2460</v>
      </c>
      <c r="B79" s="1858" t="s">
        <v>16</v>
      </c>
      <c r="C79" s="0" t="s">
        <v>2773</v>
      </c>
      <c r="D79" s="0" t="s">
        <v>2774</v>
      </c>
      <c r="E79" s="0" t="s">
        <v>2775</v>
      </c>
      <c r="F79" s="0" t="s">
        <v>2576</v>
      </c>
      <c r="G79" s="0" t="s">
        <v>2776</v>
      </c>
      <c r="H79" s="0" t="s">
        <v>22</v>
      </c>
      <c r="I79" s="0" t="s">
        <v>900</v>
      </c>
    </row>
    <row customHeight="1" ht="11.25">
      <c r="A80" s="1858" t="s">
        <v>2460</v>
      </c>
      <c r="B80" s="1858" t="s">
        <v>16</v>
      </c>
      <c r="C80" s="0" t="s">
        <v>2777</v>
      </c>
      <c r="D80" s="0" t="s">
        <v>2778</v>
      </c>
      <c r="E80" s="0" t="s">
        <v>2779</v>
      </c>
      <c r="F80" s="0" t="s">
        <v>2741</v>
      </c>
      <c r="G80" s="0" t="s">
        <v>2780</v>
      </c>
      <c r="H80" s="0" t="s">
        <v>22</v>
      </c>
      <c r="I80" s="0" t="s">
        <v>900</v>
      </c>
    </row>
    <row customHeight="1" ht="11.25">
      <c r="A81" s="1858" t="s">
        <v>2460</v>
      </c>
      <c r="B81" s="1858" t="s">
        <v>16</v>
      </c>
      <c r="C81" s="0" t="s">
        <v>2781</v>
      </c>
      <c r="D81" s="0" t="s">
        <v>2782</v>
      </c>
      <c r="E81" s="0" t="s">
        <v>2783</v>
      </c>
      <c r="F81" s="0" t="s">
        <v>2784</v>
      </c>
      <c r="G81" s="0" t="s">
        <v>22</v>
      </c>
      <c r="H81" s="0" t="s">
        <v>22</v>
      </c>
      <c r="I81" s="0" t="s">
        <v>900</v>
      </c>
    </row>
    <row customHeight="1" ht="11.25">
      <c r="A82" s="1858" t="s">
        <v>2460</v>
      </c>
      <c r="B82" s="1858" t="s">
        <v>16</v>
      </c>
      <c r="C82" s="0" t="s">
        <v>2785</v>
      </c>
      <c r="D82" s="0" t="s">
        <v>2786</v>
      </c>
      <c r="E82" s="0" t="s">
        <v>2787</v>
      </c>
      <c r="F82" s="0" t="s">
        <v>51</v>
      </c>
      <c r="G82" s="0" t="s">
        <v>2788</v>
      </c>
      <c r="H82" s="0" t="s">
        <v>22</v>
      </c>
      <c r="I82" s="0" t="s">
        <v>900</v>
      </c>
    </row>
    <row customHeight="1" ht="11.25">
      <c r="A83" s="1858" t="s">
        <v>2460</v>
      </c>
      <c r="B83" s="1858" t="s">
        <v>16</v>
      </c>
      <c r="C83" s="0" t="s">
        <v>2789</v>
      </c>
      <c r="D83" s="0" t="s">
        <v>2790</v>
      </c>
      <c r="E83" s="0" t="s">
        <v>2791</v>
      </c>
      <c r="F83" s="0" t="s">
        <v>2590</v>
      </c>
      <c r="G83" s="0" t="s">
        <v>2792</v>
      </c>
      <c r="H83" s="0" t="s">
        <v>2793</v>
      </c>
      <c r="I83" s="0" t="s">
        <v>900</v>
      </c>
    </row>
    <row customHeight="1" ht="11.25">
      <c r="A84" s="1858" t="s">
        <v>2460</v>
      </c>
      <c r="B84" s="1858" t="s">
        <v>16</v>
      </c>
      <c r="C84" s="0" t="s">
        <v>2794</v>
      </c>
      <c r="D84" s="0" t="s">
        <v>2795</v>
      </c>
      <c r="E84" s="0" t="s">
        <v>2796</v>
      </c>
      <c r="F84" s="0" t="s">
        <v>2797</v>
      </c>
      <c r="G84" s="0" t="s">
        <v>2798</v>
      </c>
      <c r="H84" s="0" t="s">
        <v>22</v>
      </c>
      <c r="I84" s="0" t="s">
        <v>900</v>
      </c>
    </row>
    <row customHeight="1" ht="11.25">
      <c r="A85" s="1858" t="s">
        <v>2460</v>
      </c>
      <c r="B85" s="1858" t="s">
        <v>16</v>
      </c>
      <c r="C85" s="0" t="s">
        <v>2799</v>
      </c>
      <c r="D85" s="0" t="s">
        <v>2800</v>
      </c>
      <c r="E85" s="0" t="s">
        <v>2801</v>
      </c>
      <c r="F85" s="0" t="s">
        <v>2506</v>
      </c>
      <c r="G85" s="0" t="s">
        <v>22</v>
      </c>
      <c r="H85" s="0" t="s">
        <v>22</v>
      </c>
      <c r="I85" s="0" t="s">
        <v>900</v>
      </c>
    </row>
    <row customHeight="1" ht="11.25">
      <c r="A86" s="1858" t="s">
        <v>2460</v>
      </c>
      <c r="B86" s="1858" t="s">
        <v>16</v>
      </c>
      <c r="C86" s="0" t="s">
        <v>2802</v>
      </c>
      <c r="D86" s="0" t="s">
        <v>2803</v>
      </c>
      <c r="E86" s="0" t="s">
        <v>2804</v>
      </c>
      <c r="F86" s="0" t="s">
        <v>2644</v>
      </c>
      <c r="G86" s="0" t="s">
        <v>2805</v>
      </c>
      <c r="H86" s="0" t="s">
        <v>22</v>
      </c>
      <c r="I86" s="0" t="s">
        <v>900</v>
      </c>
    </row>
    <row customHeight="1" ht="11.25">
      <c r="A87" s="1858" t="s">
        <v>2460</v>
      </c>
      <c r="B87" s="1858" t="s">
        <v>16</v>
      </c>
      <c r="C87" s="0" t="s">
        <v>2806</v>
      </c>
      <c r="D87" s="0" t="s">
        <v>2807</v>
      </c>
      <c r="E87" s="0" t="s">
        <v>2808</v>
      </c>
      <c r="F87" s="0" t="s">
        <v>2644</v>
      </c>
      <c r="G87" s="0" t="s">
        <v>2809</v>
      </c>
      <c r="H87" s="0" t="s">
        <v>22</v>
      </c>
      <c r="I87" s="0" t="s">
        <v>900</v>
      </c>
    </row>
    <row customHeight="1" ht="11.25">
      <c r="A88" s="1858" t="s">
        <v>2460</v>
      </c>
      <c r="B88" s="1858" t="s">
        <v>16</v>
      </c>
      <c r="C88" s="0" t="s">
        <v>2810</v>
      </c>
      <c r="D88" s="0" t="s">
        <v>2811</v>
      </c>
      <c r="E88" s="0" t="s">
        <v>2812</v>
      </c>
      <c r="F88" s="0" t="s">
        <v>2813</v>
      </c>
      <c r="G88" s="0" t="s">
        <v>2814</v>
      </c>
      <c r="H88" s="0" t="s">
        <v>22</v>
      </c>
      <c r="I88" s="0" t="s">
        <v>900</v>
      </c>
    </row>
    <row customHeight="1" ht="11.25">
      <c r="A89" s="1858" t="s">
        <v>2460</v>
      </c>
      <c r="B89" s="1858" t="s">
        <v>16</v>
      </c>
      <c r="C89" s="0" t="s">
        <v>2815</v>
      </c>
      <c r="D89" s="0" t="s">
        <v>2816</v>
      </c>
      <c r="E89" s="0" t="s">
        <v>2817</v>
      </c>
      <c r="F89" s="0" t="s">
        <v>2818</v>
      </c>
      <c r="G89" s="0" t="s">
        <v>2819</v>
      </c>
      <c r="H89" s="0" t="s">
        <v>22</v>
      </c>
      <c r="I89" s="0" t="s">
        <v>900</v>
      </c>
    </row>
    <row customHeight="1" ht="11.25">
      <c r="A90" s="1858" t="s">
        <v>2460</v>
      </c>
      <c r="B90" s="1858" t="s">
        <v>16</v>
      </c>
      <c r="C90" s="0" t="s">
        <v>2820</v>
      </c>
      <c r="D90" s="0" t="s">
        <v>2821</v>
      </c>
      <c r="E90" s="0" t="s">
        <v>2822</v>
      </c>
      <c r="F90" s="0" t="s">
        <v>2644</v>
      </c>
      <c r="G90" s="0" t="s">
        <v>2823</v>
      </c>
      <c r="H90" s="0" t="s">
        <v>22</v>
      </c>
      <c r="I90" s="0" t="s">
        <v>900</v>
      </c>
    </row>
    <row customHeight="1" ht="11.25">
      <c r="A91" s="1858" t="s">
        <v>2460</v>
      </c>
      <c r="B91" s="1858" t="s">
        <v>16</v>
      </c>
      <c r="C91" s="0" t="s">
        <v>2824</v>
      </c>
      <c r="D91" s="0" t="s">
        <v>2825</v>
      </c>
      <c r="E91" s="0" t="s">
        <v>2826</v>
      </c>
      <c r="F91" s="0" t="s">
        <v>2576</v>
      </c>
      <c r="G91" s="0" t="s">
        <v>2827</v>
      </c>
      <c r="H91" s="0" t="s">
        <v>22</v>
      </c>
      <c r="I91" s="0" t="s">
        <v>900</v>
      </c>
    </row>
    <row customHeight="1" ht="11.25">
      <c r="A92" s="1858" t="s">
        <v>2460</v>
      </c>
      <c r="B92" s="1858" t="s">
        <v>16</v>
      </c>
      <c r="C92" s="0" t="s">
        <v>2828</v>
      </c>
      <c r="D92" s="0" t="s">
        <v>2829</v>
      </c>
      <c r="E92" s="0" t="s">
        <v>2830</v>
      </c>
      <c r="F92" s="0" t="s">
        <v>2831</v>
      </c>
      <c r="G92" s="0" t="s">
        <v>22</v>
      </c>
      <c r="H92" s="0" t="s">
        <v>2832</v>
      </c>
      <c r="I92" s="0" t="s">
        <v>900</v>
      </c>
    </row>
    <row customHeight="1" ht="11.25">
      <c r="A93" s="1858" t="s">
        <v>2460</v>
      </c>
      <c r="B93" s="1858" t="s">
        <v>16</v>
      </c>
      <c r="C93" s="0" t="s">
        <v>2833</v>
      </c>
      <c r="D93" s="0" t="s">
        <v>2834</v>
      </c>
      <c r="E93" s="0" t="s">
        <v>2835</v>
      </c>
      <c r="F93" s="0" t="s">
        <v>2590</v>
      </c>
      <c r="G93" s="0" t="s">
        <v>2836</v>
      </c>
      <c r="H93" s="0" t="s">
        <v>22</v>
      </c>
      <c r="I93" s="0" t="s">
        <v>900</v>
      </c>
    </row>
    <row customHeight="1" ht="11.25">
      <c r="A94" s="1858" t="s">
        <v>2460</v>
      </c>
      <c r="B94" s="1858" t="s">
        <v>16</v>
      </c>
      <c r="C94" s="0" t="s">
        <v>2837</v>
      </c>
      <c r="D94" s="0" t="s">
        <v>2838</v>
      </c>
      <c r="E94" s="0" t="s">
        <v>2839</v>
      </c>
      <c r="F94" s="0" t="s">
        <v>51</v>
      </c>
      <c r="G94" s="0" t="s">
        <v>22</v>
      </c>
      <c r="H94" s="0" t="s">
        <v>22</v>
      </c>
      <c r="I94" s="0" t="s">
        <v>900</v>
      </c>
    </row>
    <row customHeight="1" ht="11.25">
      <c r="A95" s="1858" t="s">
        <v>2460</v>
      </c>
      <c r="B95" s="1858" t="s">
        <v>16</v>
      </c>
      <c r="C95" s="0" t="s">
        <v>2840</v>
      </c>
      <c r="D95" s="0" t="s">
        <v>2841</v>
      </c>
      <c r="E95" s="0" t="s">
        <v>2842</v>
      </c>
      <c r="F95" s="0" t="s">
        <v>2657</v>
      </c>
      <c r="G95" s="0" t="s">
        <v>2843</v>
      </c>
      <c r="H95" s="0" t="s">
        <v>2844</v>
      </c>
      <c r="I95" s="0" t="s">
        <v>900</v>
      </c>
    </row>
    <row customHeight="1" ht="11.25">
      <c r="A96" s="1858" t="s">
        <v>2460</v>
      </c>
      <c r="B96" s="1858" t="s">
        <v>16</v>
      </c>
      <c r="C96" s="0" t="s">
        <v>2845</v>
      </c>
      <c r="D96" s="0" t="s">
        <v>2846</v>
      </c>
      <c r="E96" s="0" t="s">
        <v>2847</v>
      </c>
      <c r="F96" s="0" t="s">
        <v>2848</v>
      </c>
      <c r="G96" s="0" t="s">
        <v>2849</v>
      </c>
      <c r="H96" s="0" t="s">
        <v>2850</v>
      </c>
      <c r="I96" s="0" t="s">
        <v>900</v>
      </c>
    </row>
    <row customHeight="1" ht="11.25">
      <c r="A97" s="1858" t="s">
        <v>2460</v>
      </c>
      <c r="B97" s="1858" t="s">
        <v>16</v>
      </c>
      <c r="C97" s="0" t="s">
        <v>2851</v>
      </c>
      <c r="D97" s="0" t="s">
        <v>2852</v>
      </c>
      <c r="E97" s="0" t="s">
        <v>2853</v>
      </c>
      <c r="F97" s="0" t="s">
        <v>2644</v>
      </c>
      <c r="G97" s="0" t="s">
        <v>2805</v>
      </c>
      <c r="H97" s="0" t="s">
        <v>22</v>
      </c>
      <c r="I97" s="0" t="s">
        <v>900</v>
      </c>
    </row>
    <row customHeight="1" ht="11.25">
      <c r="A98" s="1858" t="s">
        <v>2460</v>
      </c>
      <c r="B98" s="1858" t="s">
        <v>16</v>
      </c>
      <c r="C98" s="0" t="s">
        <v>2854</v>
      </c>
      <c r="D98" s="0" t="s">
        <v>2855</v>
      </c>
      <c r="E98" s="0" t="s">
        <v>2856</v>
      </c>
      <c r="F98" s="0" t="s">
        <v>2784</v>
      </c>
      <c r="G98" s="0" t="s">
        <v>22</v>
      </c>
      <c r="H98" s="0" t="s">
        <v>22</v>
      </c>
      <c r="I98" s="0" t="s">
        <v>900</v>
      </c>
    </row>
    <row customHeight="1" ht="11.25">
      <c r="A99" s="1858" t="s">
        <v>2460</v>
      </c>
      <c r="B99" s="1858" t="s">
        <v>16</v>
      </c>
      <c r="C99" s="0" t="s">
        <v>2857</v>
      </c>
      <c r="D99" s="0" t="s">
        <v>2858</v>
      </c>
      <c r="E99" s="0" t="s">
        <v>2859</v>
      </c>
      <c r="F99" s="0" t="s">
        <v>2488</v>
      </c>
      <c r="G99" s="0" t="s">
        <v>2724</v>
      </c>
      <c r="H99" s="0" t="s">
        <v>2725</v>
      </c>
      <c r="I99" s="0" t="s">
        <v>900</v>
      </c>
    </row>
    <row customHeight="1" ht="11.25">
      <c r="A100" s="1858" t="s">
        <v>2460</v>
      </c>
      <c r="B100" s="1858" t="s">
        <v>16</v>
      </c>
      <c r="C100" s="0" t="s">
        <v>2860</v>
      </c>
      <c r="D100" s="0" t="s">
        <v>2861</v>
      </c>
      <c r="E100" s="0" t="s">
        <v>2862</v>
      </c>
      <c r="F100" s="0" t="s">
        <v>2863</v>
      </c>
      <c r="G100" s="0" t="s">
        <v>22</v>
      </c>
      <c r="H100" s="0" t="s">
        <v>22</v>
      </c>
      <c r="I100" s="0" t="s">
        <v>900</v>
      </c>
    </row>
    <row customHeight="1" ht="11.25">
      <c r="A101" s="1858" t="s">
        <v>2460</v>
      </c>
      <c r="B101" s="1858" t="s">
        <v>16</v>
      </c>
      <c r="C101" s="0" t="s">
        <v>2864</v>
      </c>
      <c r="D101" s="0" t="s">
        <v>2865</v>
      </c>
      <c r="E101" s="0" t="s">
        <v>2866</v>
      </c>
      <c r="F101" s="0" t="s">
        <v>2511</v>
      </c>
      <c r="G101" s="0" t="s">
        <v>2867</v>
      </c>
      <c r="H101" s="0" t="s">
        <v>22</v>
      </c>
      <c r="I101" s="0" t="s">
        <v>900</v>
      </c>
    </row>
    <row customHeight="1" ht="11.25">
      <c r="A102" s="1858" t="s">
        <v>2460</v>
      </c>
      <c r="B102" s="1858" t="s">
        <v>16</v>
      </c>
      <c r="C102" s="0" t="s">
        <v>2868</v>
      </c>
      <c r="D102" s="0" t="s">
        <v>2869</v>
      </c>
      <c r="E102" s="0" t="s">
        <v>2870</v>
      </c>
      <c r="F102" s="0" t="s">
        <v>2719</v>
      </c>
      <c r="G102" s="0" t="s">
        <v>2871</v>
      </c>
      <c r="H102" s="0" t="s">
        <v>22</v>
      </c>
      <c r="I102" s="0" t="s">
        <v>900</v>
      </c>
    </row>
    <row customHeight="1" ht="11.25">
      <c r="A103" s="1858" t="s">
        <v>2460</v>
      </c>
      <c r="B103" s="1858" t="s">
        <v>16</v>
      </c>
      <c r="C103" s="0" t="s">
        <v>2872</v>
      </c>
      <c r="D103" s="0" t="s">
        <v>2873</v>
      </c>
      <c r="E103" s="0" t="s">
        <v>2874</v>
      </c>
      <c r="F103" s="0" t="s">
        <v>2719</v>
      </c>
      <c r="G103" s="0" t="s">
        <v>22</v>
      </c>
      <c r="H103" s="0" t="s">
        <v>22</v>
      </c>
      <c r="I103" s="0" t="s">
        <v>900</v>
      </c>
    </row>
    <row customHeight="1" ht="11.25">
      <c r="A104" s="1858" t="s">
        <v>2460</v>
      </c>
      <c r="B104" s="1858" t="s">
        <v>16</v>
      </c>
      <c r="C104" s="0" t="s">
        <v>2875</v>
      </c>
      <c r="D104" s="0" t="s">
        <v>2876</v>
      </c>
      <c r="E104" s="0" t="s">
        <v>2877</v>
      </c>
      <c r="F104" s="0" t="s">
        <v>2878</v>
      </c>
      <c r="G104" s="0" t="s">
        <v>2879</v>
      </c>
      <c r="H104" s="0" t="s">
        <v>22</v>
      </c>
      <c r="I104" s="0" t="s">
        <v>900</v>
      </c>
    </row>
    <row customHeight="1" ht="11.25">
      <c r="A105" s="1858" t="s">
        <v>2460</v>
      </c>
      <c r="B105" s="1858" t="s">
        <v>16</v>
      </c>
      <c r="C105" s="0" t="s">
        <v>2880</v>
      </c>
      <c r="D105" s="0" t="s">
        <v>2881</v>
      </c>
      <c r="E105" s="0" t="s">
        <v>2882</v>
      </c>
      <c r="F105" s="0" t="s">
        <v>2695</v>
      </c>
      <c r="G105" s="0" t="s">
        <v>2883</v>
      </c>
      <c r="H105" s="0" t="s">
        <v>22</v>
      </c>
      <c r="I105" s="0" t="s">
        <v>900</v>
      </c>
    </row>
    <row customHeight="1" ht="11.25">
      <c r="A106" s="1858" t="s">
        <v>2460</v>
      </c>
      <c r="B106" s="1858" t="s">
        <v>16</v>
      </c>
      <c r="C106" s="0" t="s">
        <v>2884</v>
      </c>
      <c r="D106" s="0" t="s">
        <v>2885</v>
      </c>
      <c r="E106" s="0" t="s">
        <v>2886</v>
      </c>
      <c r="F106" s="0" t="s">
        <v>2511</v>
      </c>
      <c r="G106" s="0" t="s">
        <v>22</v>
      </c>
      <c r="H106" s="0" t="s">
        <v>22</v>
      </c>
      <c r="I106" s="0" t="s">
        <v>900</v>
      </c>
    </row>
    <row customHeight="1" ht="11.25">
      <c r="A107" s="1858" t="s">
        <v>2460</v>
      </c>
      <c r="B107" s="1858" t="s">
        <v>16</v>
      </c>
      <c r="C107" s="0" t="s">
        <v>2887</v>
      </c>
      <c r="D107" s="0" t="s">
        <v>2888</v>
      </c>
      <c r="E107" s="0" t="s">
        <v>2534</v>
      </c>
      <c r="F107" s="0" t="s">
        <v>2889</v>
      </c>
      <c r="G107" s="0" t="s">
        <v>22</v>
      </c>
      <c r="H107" s="0" t="s">
        <v>22</v>
      </c>
      <c r="I107" s="0" t="s">
        <v>900</v>
      </c>
    </row>
    <row customHeight="1" ht="11.25">
      <c r="A108" s="1858" t="s">
        <v>2460</v>
      </c>
      <c r="B108" s="1858" t="s">
        <v>16</v>
      </c>
      <c r="C108" s="0" t="s">
        <v>2890</v>
      </c>
      <c r="D108" s="0" t="s">
        <v>2891</v>
      </c>
      <c r="E108" s="0" t="s">
        <v>2892</v>
      </c>
      <c r="F108" s="0" t="s">
        <v>2797</v>
      </c>
      <c r="G108" s="0" t="s">
        <v>2893</v>
      </c>
      <c r="H108" s="0" t="s">
        <v>22</v>
      </c>
      <c r="I108" s="0" t="s">
        <v>900</v>
      </c>
    </row>
    <row customHeight="1" ht="11.25">
      <c r="A109" s="1858" t="s">
        <v>2460</v>
      </c>
      <c r="B109" s="1858" t="s">
        <v>16</v>
      </c>
      <c r="C109" s="0" t="s">
        <v>2894</v>
      </c>
      <c r="D109" s="0" t="s">
        <v>2895</v>
      </c>
      <c r="E109" s="0" t="s">
        <v>2896</v>
      </c>
      <c r="F109" s="0" t="s">
        <v>2797</v>
      </c>
      <c r="G109" s="0" t="s">
        <v>2897</v>
      </c>
      <c r="H109" s="0" t="s">
        <v>22</v>
      </c>
      <c r="I109" s="0" t="s">
        <v>900</v>
      </c>
    </row>
    <row customHeight="1" ht="11.25">
      <c r="A110" s="1858" t="s">
        <v>2460</v>
      </c>
      <c r="B110" s="1858" t="s">
        <v>16</v>
      </c>
      <c r="C110" s="0" t="s">
        <v>2898</v>
      </c>
      <c r="D110" s="0" t="s">
        <v>2899</v>
      </c>
      <c r="E110" s="0" t="s">
        <v>2900</v>
      </c>
      <c r="F110" s="0" t="s">
        <v>2511</v>
      </c>
      <c r="G110" s="0" t="s">
        <v>2901</v>
      </c>
      <c r="H110" s="0" t="s">
        <v>22</v>
      </c>
      <c r="I110" s="0" t="s">
        <v>900</v>
      </c>
    </row>
    <row customHeight="1" ht="11.25">
      <c r="A111" s="1858" t="s">
        <v>2460</v>
      </c>
      <c r="B111" s="1858" t="s">
        <v>16</v>
      </c>
      <c r="C111" s="0" t="s">
        <v>2902</v>
      </c>
      <c r="D111" s="0" t="s">
        <v>2903</v>
      </c>
      <c r="E111" s="0" t="s">
        <v>2904</v>
      </c>
      <c r="F111" s="0" t="s">
        <v>51</v>
      </c>
      <c r="G111" s="0" t="s">
        <v>2905</v>
      </c>
      <c r="H111" s="0" t="s">
        <v>22</v>
      </c>
      <c r="I111" s="0" t="s">
        <v>900</v>
      </c>
    </row>
    <row customHeight="1" ht="11.25">
      <c r="A112" s="1858" t="s">
        <v>2460</v>
      </c>
      <c r="B112" s="1858" t="s">
        <v>16</v>
      </c>
      <c r="C112" s="0" t="s">
        <v>2906</v>
      </c>
      <c r="D112" s="0" t="s">
        <v>2907</v>
      </c>
      <c r="E112" s="0" t="s">
        <v>2908</v>
      </c>
      <c r="F112" s="0" t="s">
        <v>2685</v>
      </c>
      <c r="G112" s="0" t="s">
        <v>2909</v>
      </c>
      <c r="H112" s="0" t="s">
        <v>22</v>
      </c>
      <c r="I112" s="0" t="s">
        <v>900</v>
      </c>
    </row>
    <row customHeight="1" ht="11.25">
      <c r="A113" s="1858" t="s">
        <v>2460</v>
      </c>
      <c r="B113" s="1858" t="s">
        <v>16</v>
      </c>
      <c r="C113" s="0" t="s">
        <v>2910</v>
      </c>
      <c r="D113" s="0" t="s">
        <v>2911</v>
      </c>
      <c r="E113" s="0" t="s">
        <v>2912</v>
      </c>
      <c r="F113" s="0" t="s">
        <v>2818</v>
      </c>
      <c r="G113" s="0" t="s">
        <v>22</v>
      </c>
      <c r="H113" s="0" t="s">
        <v>22</v>
      </c>
      <c r="I113" s="0" t="s">
        <v>900</v>
      </c>
    </row>
    <row customHeight="1" ht="11.25">
      <c r="A114" s="1858" t="s">
        <v>2460</v>
      </c>
      <c r="B114" s="1858" t="s">
        <v>16</v>
      </c>
      <c r="C114" s="0" t="s">
        <v>2913</v>
      </c>
      <c r="D114" s="0" t="s">
        <v>2914</v>
      </c>
      <c r="E114" s="0" t="s">
        <v>2915</v>
      </c>
      <c r="F114" s="0" t="s">
        <v>2468</v>
      </c>
      <c r="G114" s="0" t="s">
        <v>2916</v>
      </c>
      <c r="H114" s="0" t="s">
        <v>22</v>
      </c>
      <c r="I114" s="0" t="s">
        <v>900</v>
      </c>
    </row>
    <row customHeight="1" ht="11.25">
      <c r="A115" s="1858" t="s">
        <v>2460</v>
      </c>
      <c r="B115" s="1858" t="s">
        <v>16</v>
      </c>
      <c r="C115" s="0" t="s">
        <v>2917</v>
      </c>
      <c r="D115" s="0" t="s">
        <v>2918</v>
      </c>
      <c r="E115" s="0" t="s">
        <v>2919</v>
      </c>
      <c r="F115" s="0" t="s">
        <v>2468</v>
      </c>
      <c r="G115" s="0" t="s">
        <v>2920</v>
      </c>
      <c r="H115" s="0" t="s">
        <v>22</v>
      </c>
      <c r="I115" s="0" t="s">
        <v>900</v>
      </c>
    </row>
    <row customHeight="1" ht="11.25">
      <c r="A116" s="1858" t="s">
        <v>2460</v>
      </c>
      <c r="B116" s="1858" t="s">
        <v>16</v>
      </c>
      <c r="C116" s="0" t="s">
        <v>2921</v>
      </c>
      <c r="D116" s="0" t="s">
        <v>2922</v>
      </c>
      <c r="E116" s="0" t="s">
        <v>2923</v>
      </c>
      <c r="F116" s="0" t="s">
        <v>2644</v>
      </c>
      <c r="G116" s="0" t="s">
        <v>2924</v>
      </c>
      <c r="H116" s="0" t="s">
        <v>22</v>
      </c>
      <c r="I116" s="0" t="s">
        <v>900</v>
      </c>
    </row>
    <row customHeight="1" ht="11.25">
      <c r="A117" s="1858" t="s">
        <v>2460</v>
      </c>
      <c r="B117" s="1858" t="s">
        <v>16</v>
      </c>
      <c r="C117" s="0" t="s">
        <v>2925</v>
      </c>
      <c r="D117" s="0" t="s">
        <v>2926</v>
      </c>
      <c r="E117" s="0" t="s">
        <v>2927</v>
      </c>
      <c r="F117" s="0" t="s">
        <v>2818</v>
      </c>
      <c r="G117" s="0" t="s">
        <v>2928</v>
      </c>
      <c r="H117" s="0" t="s">
        <v>2929</v>
      </c>
      <c r="I117" s="0" t="s">
        <v>900</v>
      </c>
    </row>
    <row customHeight="1" ht="11.25">
      <c r="A118" s="1858" t="s">
        <v>2460</v>
      </c>
      <c r="B118" s="1858" t="s">
        <v>16</v>
      </c>
      <c r="C118" s="0" t="s">
        <v>2930</v>
      </c>
      <c r="D118" s="0" t="s">
        <v>2931</v>
      </c>
      <c r="E118" s="0" t="s">
        <v>2862</v>
      </c>
      <c r="F118" s="0" t="s">
        <v>2932</v>
      </c>
      <c r="G118" s="0" t="s">
        <v>2933</v>
      </c>
      <c r="H118" s="0" t="s">
        <v>22</v>
      </c>
      <c r="I118" s="0" t="s">
        <v>900</v>
      </c>
    </row>
    <row customHeight="1" ht="11.25">
      <c r="A119" s="1858" t="s">
        <v>2460</v>
      </c>
      <c r="B119" s="1858" t="s">
        <v>16</v>
      </c>
      <c r="C119" s="0" t="s">
        <v>2934</v>
      </c>
      <c r="D119" s="0" t="s">
        <v>2935</v>
      </c>
      <c r="E119" s="0" t="s">
        <v>2936</v>
      </c>
      <c r="F119" s="0" t="s">
        <v>2608</v>
      </c>
      <c r="G119" s="0" t="s">
        <v>2937</v>
      </c>
      <c r="H119" s="0" t="s">
        <v>22</v>
      </c>
      <c r="I119" s="0" t="s">
        <v>900</v>
      </c>
    </row>
    <row customHeight="1" ht="11.25">
      <c r="A120" s="1858" t="s">
        <v>2460</v>
      </c>
      <c r="B120" s="1858" t="s">
        <v>16</v>
      </c>
      <c r="C120" s="0" t="s">
        <v>2938</v>
      </c>
      <c r="D120" s="0" t="s">
        <v>2939</v>
      </c>
      <c r="E120" s="0" t="s">
        <v>2940</v>
      </c>
      <c r="F120" s="0" t="s">
        <v>51</v>
      </c>
      <c r="G120" s="0" t="s">
        <v>22</v>
      </c>
      <c r="H120" s="0" t="s">
        <v>22</v>
      </c>
      <c r="I120" s="0" t="s">
        <v>900</v>
      </c>
    </row>
    <row customHeight="1" ht="11.25">
      <c r="A121" s="1858" t="s">
        <v>2460</v>
      </c>
      <c r="B121" s="1858" t="s">
        <v>16</v>
      </c>
      <c r="C121" s="0" t="s">
        <v>2941</v>
      </c>
      <c r="D121" s="0" t="s">
        <v>2942</v>
      </c>
      <c r="E121" s="0" t="s">
        <v>2943</v>
      </c>
      <c r="F121" s="0" t="s">
        <v>2511</v>
      </c>
      <c r="G121" s="0" t="s">
        <v>2944</v>
      </c>
      <c r="H121" s="0" t="s">
        <v>22</v>
      </c>
      <c r="I121" s="0" t="s">
        <v>900</v>
      </c>
    </row>
    <row customHeight="1" ht="11.25">
      <c r="A122" s="1858" t="s">
        <v>2460</v>
      </c>
      <c r="B122" s="1858" t="s">
        <v>16</v>
      </c>
      <c r="C122" s="0" t="s">
        <v>2945</v>
      </c>
      <c r="D122" s="0" t="s">
        <v>2946</v>
      </c>
      <c r="E122" s="0" t="s">
        <v>2947</v>
      </c>
      <c r="F122" s="0" t="s">
        <v>2639</v>
      </c>
      <c r="G122" s="0" t="s">
        <v>2948</v>
      </c>
      <c r="H122" s="0" t="s">
        <v>22</v>
      </c>
      <c r="I122" s="0" t="s">
        <v>900</v>
      </c>
    </row>
    <row customHeight="1" ht="11.25">
      <c r="A123" s="1858" t="s">
        <v>2460</v>
      </c>
      <c r="B123" s="1858" t="s">
        <v>16</v>
      </c>
      <c r="C123" s="0" t="s">
        <v>2949</v>
      </c>
      <c r="D123" s="0" t="s">
        <v>2950</v>
      </c>
      <c r="E123" s="0" t="s">
        <v>2951</v>
      </c>
      <c r="F123" s="0" t="s">
        <v>2695</v>
      </c>
      <c r="G123" s="0" t="s">
        <v>2792</v>
      </c>
      <c r="H123" s="0" t="s">
        <v>22</v>
      </c>
      <c r="I123" s="0" t="s">
        <v>900</v>
      </c>
    </row>
    <row customHeight="1" ht="11.25">
      <c r="A124" s="1858" t="s">
        <v>2460</v>
      </c>
      <c r="B124" s="1858" t="s">
        <v>16</v>
      </c>
      <c r="C124" s="0" t="s">
        <v>2952</v>
      </c>
      <c r="D124" s="0" t="s">
        <v>2953</v>
      </c>
      <c r="E124" s="0" t="s">
        <v>2954</v>
      </c>
      <c r="F124" s="0" t="s">
        <v>2657</v>
      </c>
      <c r="G124" s="0" t="s">
        <v>22</v>
      </c>
      <c r="H124" s="0" t="s">
        <v>22</v>
      </c>
      <c r="I124" s="0" t="s">
        <v>900</v>
      </c>
    </row>
    <row customHeight="1" ht="11.25">
      <c r="A125" s="1858" t="s">
        <v>2460</v>
      </c>
      <c r="B125" s="1858" t="s">
        <v>16</v>
      </c>
      <c r="C125" s="0" t="s">
        <v>2955</v>
      </c>
      <c r="D125" s="0" t="s">
        <v>2956</v>
      </c>
      <c r="E125" s="0" t="s">
        <v>2957</v>
      </c>
      <c r="F125" s="0" t="s">
        <v>2468</v>
      </c>
      <c r="G125" s="0" t="s">
        <v>22</v>
      </c>
      <c r="H125" s="0" t="s">
        <v>22</v>
      </c>
      <c r="I125" s="0" t="s">
        <v>900</v>
      </c>
    </row>
    <row customHeight="1" ht="11.25">
      <c r="A126" s="1858" t="s">
        <v>2460</v>
      </c>
      <c r="B126" s="1858" t="s">
        <v>16</v>
      </c>
      <c r="C126" s="0" t="s">
        <v>2958</v>
      </c>
      <c r="D126" s="0" t="s">
        <v>2959</v>
      </c>
      <c r="E126" s="0" t="s">
        <v>2960</v>
      </c>
      <c r="F126" s="0" t="s">
        <v>51</v>
      </c>
      <c r="G126" s="0" t="s">
        <v>2961</v>
      </c>
      <c r="H126" s="0" t="s">
        <v>22</v>
      </c>
      <c r="I126" s="0" t="s">
        <v>900</v>
      </c>
    </row>
    <row customHeight="1" ht="11.25">
      <c r="A127" s="1858" t="s">
        <v>2460</v>
      </c>
      <c r="B127" s="1858" t="s">
        <v>16</v>
      </c>
      <c r="C127" s="0" t="s">
        <v>13</v>
      </c>
      <c r="D127" s="0" t="s">
        <v>46</v>
      </c>
      <c r="E127" s="0" t="s">
        <v>49</v>
      </c>
      <c r="F127" s="0" t="s">
        <v>51</v>
      </c>
      <c r="G127" s="0" t="s">
        <v>2962</v>
      </c>
      <c r="H127" s="0" t="s">
        <v>22</v>
      </c>
      <c r="I127" s="0" t="s">
        <v>900</v>
      </c>
    </row>
    <row customHeight="1" ht="11.25">
      <c r="A128" s="1858" t="s">
        <v>2460</v>
      </c>
      <c r="B128" s="1858" t="s">
        <v>16</v>
      </c>
      <c r="C128" s="0" t="s">
        <v>2963</v>
      </c>
      <c r="D128" s="0" t="s">
        <v>2964</v>
      </c>
      <c r="E128" s="0" t="s">
        <v>2965</v>
      </c>
      <c r="F128" s="0" t="s">
        <v>51</v>
      </c>
      <c r="G128" s="0" t="s">
        <v>2966</v>
      </c>
      <c r="H128" s="0" t="s">
        <v>22</v>
      </c>
      <c r="I128" s="0" t="s">
        <v>900</v>
      </c>
    </row>
    <row customHeight="1" ht="11.25">
      <c r="A129" s="1858" t="s">
        <v>2460</v>
      </c>
      <c r="B129" s="1858" t="s">
        <v>16</v>
      </c>
      <c r="C129" s="0" t="s">
        <v>2967</v>
      </c>
      <c r="D129" s="0" t="s">
        <v>2968</v>
      </c>
      <c r="E129" s="0" t="s">
        <v>2556</v>
      </c>
      <c r="F129" s="0" t="s">
        <v>2969</v>
      </c>
      <c r="G129" s="0" t="s">
        <v>2561</v>
      </c>
      <c r="H129" s="0" t="s">
        <v>22</v>
      </c>
      <c r="I129" s="0" t="s">
        <v>900</v>
      </c>
    </row>
    <row customHeight="1" ht="11.25">
      <c r="A130" s="1858" t="s">
        <v>2460</v>
      </c>
      <c r="B130" s="1858" t="s">
        <v>16</v>
      </c>
      <c r="C130" s="0" t="s">
        <v>2970</v>
      </c>
      <c r="D130" s="0" t="s">
        <v>2971</v>
      </c>
      <c r="E130" s="0" t="s">
        <v>2972</v>
      </c>
      <c r="F130" s="0" t="s">
        <v>2973</v>
      </c>
      <c r="G130" s="0" t="s">
        <v>2974</v>
      </c>
      <c r="H130" s="0" t="s">
        <v>22</v>
      </c>
      <c r="I130" s="0" t="s">
        <v>900</v>
      </c>
    </row>
    <row customHeight="1" ht="11.25">
      <c r="A131" s="1858" t="s">
        <v>2460</v>
      </c>
      <c r="B131" s="1858" t="s">
        <v>16</v>
      </c>
      <c r="C131" s="0" t="s">
        <v>2975</v>
      </c>
      <c r="D131" s="0" t="s">
        <v>2976</v>
      </c>
      <c r="E131" s="0" t="s">
        <v>2977</v>
      </c>
      <c r="F131" s="0" t="s">
        <v>2978</v>
      </c>
      <c r="G131" s="0" t="s">
        <v>22</v>
      </c>
      <c r="H131" s="0" t="s">
        <v>22</v>
      </c>
      <c r="I131" s="0" t="s">
        <v>900</v>
      </c>
    </row>
    <row customHeight="1" ht="11.25">
      <c r="A132" s="1858" t="s">
        <v>2460</v>
      </c>
      <c r="B132" s="1858" t="s">
        <v>16</v>
      </c>
      <c r="C132" s="0" t="s">
        <v>2979</v>
      </c>
      <c r="D132" s="0" t="s">
        <v>2980</v>
      </c>
      <c r="E132" s="0" t="s">
        <v>2981</v>
      </c>
      <c r="F132" s="0" t="s">
        <v>2576</v>
      </c>
      <c r="G132" s="0" t="s">
        <v>22</v>
      </c>
      <c r="H132" s="0" t="s">
        <v>22</v>
      </c>
      <c r="I132" s="0" t="s">
        <v>900</v>
      </c>
    </row>
    <row customHeight="1" ht="11.25">
      <c r="A133" s="1858" t="s">
        <v>2460</v>
      </c>
      <c r="B133" s="1858" t="s">
        <v>16</v>
      </c>
      <c r="C133" s="0" t="s">
        <v>2982</v>
      </c>
      <c r="D133" s="0" t="s">
        <v>2983</v>
      </c>
      <c r="E133" s="0" t="s">
        <v>2984</v>
      </c>
      <c r="F133" s="0" t="s">
        <v>2985</v>
      </c>
      <c r="G133" s="0" t="s">
        <v>22</v>
      </c>
      <c r="H133" s="0" t="s">
        <v>22</v>
      </c>
      <c r="I133" s="0" t="s">
        <v>900</v>
      </c>
    </row>
    <row customHeight="1" ht="11.25">
      <c r="A134" s="1858" t="s">
        <v>2460</v>
      </c>
      <c r="B134" s="1858" t="s">
        <v>16</v>
      </c>
      <c r="C134" s="0" t="s">
        <v>2986</v>
      </c>
      <c r="D134" s="0" t="s">
        <v>2987</v>
      </c>
      <c r="E134" s="0" t="s">
        <v>2988</v>
      </c>
      <c r="F134" s="0" t="s">
        <v>51</v>
      </c>
      <c r="G134" s="0" t="s">
        <v>2989</v>
      </c>
      <c r="H134" s="0" t="s">
        <v>22</v>
      </c>
      <c r="I134" s="0" t="s">
        <v>900</v>
      </c>
    </row>
    <row customHeight="1" ht="11.25">
      <c r="A135" s="1858" t="s">
        <v>2460</v>
      </c>
      <c r="B135" s="1858" t="s">
        <v>16</v>
      </c>
      <c r="C135" s="0" t="s">
        <v>2990</v>
      </c>
      <c r="D135" s="0" t="s">
        <v>2991</v>
      </c>
      <c r="E135" s="0" t="s">
        <v>2992</v>
      </c>
      <c r="F135" s="0" t="s">
        <v>2719</v>
      </c>
      <c r="G135" s="0" t="s">
        <v>2993</v>
      </c>
      <c r="H135" s="0" t="s">
        <v>22</v>
      </c>
      <c r="I135" s="0" t="s">
        <v>900</v>
      </c>
    </row>
    <row customHeight="1" ht="11.25">
      <c r="A136" s="1858" t="s">
        <v>2460</v>
      </c>
      <c r="B136" s="1858" t="s">
        <v>16</v>
      </c>
      <c r="C136" s="0" t="s">
        <v>2994</v>
      </c>
      <c r="D136" s="0" t="s">
        <v>2995</v>
      </c>
      <c r="E136" s="0" t="s">
        <v>2996</v>
      </c>
      <c r="F136" s="0" t="s">
        <v>2511</v>
      </c>
      <c r="G136" s="0" t="s">
        <v>22</v>
      </c>
      <c r="H136" s="0" t="s">
        <v>22</v>
      </c>
      <c r="I136" s="0" t="s">
        <v>900</v>
      </c>
    </row>
    <row customHeight="1" ht="11.25">
      <c r="A137" s="1858" t="s">
        <v>2460</v>
      </c>
      <c r="B137" s="1858" t="s">
        <v>16</v>
      </c>
      <c r="C137" s="0" t="s">
        <v>2997</v>
      </c>
      <c r="D137" s="0" t="s">
        <v>2998</v>
      </c>
      <c r="E137" s="0" t="s">
        <v>2999</v>
      </c>
      <c r="F137" s="0" t="s">
        <v>2644</v>
      </c>
      <c r="G137" s="0" t="s">
        <v>3000</v>
      </c>
      <c r="H137" s="0" t="s">
        <v>22</v>
      </c>
      <c r="I137" s="0" t="s">
        <v>900</v>
      </c>
    </row>
    <row customHeight="1" ht="11.25">
      <c r="A138" s="1858" t="s">
        <v>2460</v>
      </c>
      <c r="B138" s="1858" t="s">
        <v>16</v>
      </c>
      <c r="C138" s="0" t="s">
        <v>3001</v>
      </c>
      <c r="D138" s="0" t="s">
        <v>3002</v>
      </c>
      <c r="E138" s="0" t="s">
        <v>3003</v>
      </c>
      <c r="F138" s="0" t="s">
        <v>2644</v>
      </c>
      <c r="G138" s="0" t="s">
        <v>3004</v>
      </c>
      <c r="H138" s="0" t="s">
        <v>22</v>
      </c>
      <c r="I138" s="0" t="s">
        <v>900</v>
      </c>
    </row>
    <row customHeight="1" ht="11.25">
      <c r="A139" s="1858" t="s">
        <v>2460</v>
      </c>
      <c r="B139" s="1858" t="s">
        <v>16</v>
      </c>
      <c r="C139" s="0" t="s">
        <v>3005</v>
      </c>
      <c r="D139" s="0" t="s">
        <v>3006</v>
      </c>
      <c r="E139" s="0" t="s">
        <v>3007</v>
      </c>
      <c r="F139" s="0" t="s">
        <v>3008</v>
      </c>
      <c r="G139" s="0" t="s">
        <v>22</v>
      </c>
      <c r="H139" s="0" t="s">
        <v>22</v>
      </c>
      <c r="I139" s="0" t="s">
        <v>900</v>
      </c>
    </row>
    <row customHeight="1" ht="11.25">
      <c r="A140" s="1858" t="s">
        <v>2460</v>
      </c>
      <c r="B140" s="1858" t="s">
        <v>16</v>
      </c>
      <c r="C140" s="0" t="s">
        <v>3009</v>
      </c>
      <c r="D140" s="0" t="s">
        <v>3010</v>
      </c>
      <c r="E140" s="0" t="s">
        <v>3011</v>
      </c>
      <c r="F140" s="0" t="s">
        <v>3012</v>
      </c>
      <c r="G140" s="0" t="s">
        <v>3013</v>
      </c>
      <c r="H140" s="0" t="s">
        <v>22</v>
      </c>
      <c r="I140" s="0" t="s">
        <v>900</v>
      </c>
    </row>
    <row customHeight="1" ht="11.25">
      <c r="A141" s="1858" t="s">
        <v>2460</v>
      </c>
      <c r="B141" s="1858" t="s">
        <v>16</v>
      </c>
      <c r="C141" s="0" t="s">
        <v>3014</v>
      </c>
      <c r="D141" s="0" t="s">
        <v>3015</v>
      </c>
      <c r="E141" s="0" t="s">
        <v>2984</v>
      </c>
      <c r="F141" s="0" t="s">
        <v>3016</v>
      </c>
      <c r="G141" s="0" t="s">
        <v>22</v>
      </c>
      <c r="H141" s="0" t="s">
        <v>22</v>
      </c>
      <c r="I141" s="0" t="s">
        <v>900</v>
      </c>
    </row>
    <row customHeight="1" ht="11.25">
      <c r="A142" s="1858" t="s">
        <v>2460</v>
      </c>
      <c r="B142" s="1858" t="s">
        <v>16</v>
      </c>
      <c r="C142" s="0" t="s">
        <v>3017</v>
      </c>
      <c r="D142" s="0" t="s">
        <v>3018</v>
      </c>
      <c r="E142" s="0" t="s">
        <v>2534</v>
      </c>
      <c r="F142" s="0" t="s">
        <v>3008</v>
      </c>
      <c r="G142" s="0" t="s">
        <v>22</v>
      </c>
      <c r="H142" s="0" t="s">
        <v>22</v>
      </c>
      <c r="I142" s="0" t="s">
        <v>900</v>
      </c>
    </row>
    <row customHeight="1" ht="11.25">
      <c r="A143" s="1858" t="s">
        <v>2460</v>
      </c>
      <c r="B143" s="1858" t="s">
        <v>16</v>
      </c>
      <c r="C143" s="0" t="s">
        <v>3019</v>
      </c>
      <c r="D143" s="0" t="s">
        <v>3018</v>
      </c>
      <c r="E143" s="0" t="s">
        <v>2534</v>
      </c>
      <c r="F143" s="0" t="s">
        <v>3020</v>
      </c>
      <c r="G143" s="0" t="s">
        <v>2536</v>
      </c>
      <c r="H143" s="0" t="s">
        <v>22</v>
      </c>
      <c r="I143" s="0" t="s">
        <v>900</v>
      </c>
    </row>
    <row customHeight="1" ht="11.25">
      <c r="A144" s="1858" t="s">
        <v>2460</v>
      </c>
      <c r="B144" s="1858" t="s">
        <v>16</v>
      </c>
      <c r="C144" s="0" t="s">
        <v>3021</v>
      </c>
      <c r="D144" s="0" t="s">
        <v>3022</v>
      </c>
      <c r="E144" s="0" t="s">
        <v>3023</v>
      </c>
      <c r="F144" s="0" t="s">
        <v>3024</v>
      </c>
      <c r="G144" s="0" t="s">
        <v>3025</v>
      </c>
      <c r="H144" s="0" t="s">
        <v>22</v>
      </c>
      <c r="I144" s="0" t="s">
        <v>900</v>
      </c>
    </row>
    <row customHeight="1" ht="11.25">
      <c r="A145" s="1858" t="s">
        <v>2460</v>
      </c>
      <c r="B145" s="1858" t="s">
        <v>16</v>
      </c>
      <c r="C145" s="0" t="s">
        <v>3026</v>
      </c>
      <c r="D145" s="0" t="s">
        <v>3027</v>
      </c>
      <c r="E145" s="0" t="s">
        <v>3023</v>
      </c>
      <c r="F145" s="0" t="s">
        <v>3028</v>
      </c>
      <c r="G145" s="0" t="s">
        <v>22</v>
      </c>
      <c r="H145" s="0" t="s">
        <v>22</v>
      </c>
      <c r="I145" s="0" t="s">
        <v>900</v>
      </c>
    </row>
    <row customHeight="1" ht="11.25">
      <c r="A146" s="1858" t="s">
        <v>2460</v>
      </c>
      <c r="B146" s="1858" t="s">
        <v>16</v>
      </c>
      <c r="C146" s="0" t="s">
        <v>2477</v>
      </c>
      <c r="D146" s="0" t="s">
        <v>2478</v>
      </c>
      <c r="E146" s="0" t="s">
        <v>2479</v>
      </c>
      <c r="F146" s="0" t="s">
        <v>51</v>
      </c>
      <c r="G146" s="0" t="s">
        <v>2480</v>
      </c>
      <c r="H146" s="0" t="s">
        <v>22</v>
      </c>
      <c r="I146" s="0" t="s">
        <v>987</v>
      </c>
    </row>
    <row customHeight="1" ht="11.25">
      <c r="A147" s="1858" t="s">
        <v>2460</v>
      </c>
      <c r="B147" s="1858" t="s">
        <v>16</v>
      </c>
      <c r="C147" s="0" t="s">
        <v>2481</v>
      </c>
      <c r="D147" s="0" t="s">
        <v>2482</v>
      </c>
      <c r="E147" s="0" t="s">
        <v>2483</v>
      </c>
      <c r="F147" s="0" t="s">
        <v>51</v>
      </c>
      <c r="G147" s="0" t="s">
        <v>2484</v>
      </c>
      <c r="H147" s="0" t="s">
        <v>22</v>
      </c>
      <c r="I147" s="0" t="s">
        <v>987</v>
      </c>
    </row>
    <row customHeight="1" ht="11.25">
      <c r="A148" s="1858" t="s">
        <v>2460</v>
      </c>
      <c r="B148" s="1858" t="s">
        <v>16</v>
      </c>
      <c r="C148" s="0" t="s">
        <v>2526</v>
      </c>
      <c r="D148" s="0" t="s">
        <v>2527</v>
      </c>
      <c r="E148" s="0" t="s">
        <v>2528</v>
      </c>
      <c r="F148" s="0" t="s">
        <v>51</v>
      </c>
      <c r="G148" s="0" t="s">
        <v>22</v>
      </c>
      <c r="H148" s="0" t="s">
        <v>2529</v>
      </c>
      <c r="I148" s="0" t="s">
        <v>987</v>
      </c>
    </row>
    <row customHeight="1" ht="11.25">
      <c r="A149" s="1858" t="s">
        <v>2460</v>
      </c>
      <c r="B149" s="1858" t="s">
        <v>16</v>
      </c>
      <c r="C149" s="0" t="s">
        <v>22</v>
      </c>
      <c r="D149" s="0" t="s">
        <v>2530</v>
      </c>
      <c r="E149" s="0" t="s">
        <v>2531</v>
      </c>
      <c r="F149" s="0" t="s">
        <v>51</v>
      </c>
      <c r="G149" s="0" t="s">
        <v>22</v>
      </c>
      <c r="H149" s="0" t="s">
        <v>22</v>
      </c>
      <c r="I149" s="0" t="s">
        <v>987</v>
      </c>
    </row>
    <row customHeight="1" ht="11.25">
      <c r="A150" s="1858" t="s">
        <v>2460</v>
      </c>
      <c r="B150" s="1858" t="s">
        <v>16</v>
      </c>
      <c r="C150" s="0" t="s">
        <v>2554</v>
      </c>
      <c r="D150" s="0" t="s">
        <v>2555</v>
      </c>
      <c r="E150" s="0" t="s">
        <v>2556</v>
      </c>
      <c r="F150" s="0" t="s">
        <v>51</v>
      </c>
      <c r="G150" s="0" t="s">
        <v>2557</v>
      </c>
      <c r="H150" s="0" t="s">
        <v>22</v>
      </c>
      <c r="I150" s="0" t="s">
        <v>987</v>
      </c>
    </row>
    <row customHeight="1" ht="11.25">
      <c r="A151" s="1858" t="s">
        <v>2460</v>
      </c>
      <c r="B151" s="1858" t="s">
        <v>16</v>
      </c>
      <c r="C151" s="0" t="s">
        <v>2558</v>
      </c>
      <c r="D151" s="0" t="s">
        <v>2559</v>
      </c>
      <c r="E151" s="0" t="s">
        <v>2556</v>
      </c>
      <c r="F151" s="0" t="s">
        <v>2560</v>
      </c>
      <c r="G151" s="0" t="s">
        <v>2561</v>
      </c>
      <c r="H151" s="0" t="s">
        <v>22</v>
      </c>
      <c r="I151" s="0" t="s">
        <v>987</v>
      </c>
    </row>
    <row customHeight="1" ht="11.25">
      <c r="A152" s="1858" t="s">
        <v>2460</v>
      </c>
      <c r="B152" s="1858" t="s">
        <v>16</v>
      </c>
      <c r="C152" s="0" t="s">
        <v>2578</v>
      </c>
      <c r="D152" s="0" t="s">
        <v>2579</v>
      </c>
      <c r="E152" s="0" t="s">
        <v>2580</v>
      </c>
      <c r="F152" s="0" t="s">
        <v>2576</v>
      </c>
      <c r="G152" s="0" t="s">
        <v>2581</v>
      </c>
      <c r="H152" s="0" t="s">
        <v>22</v>
      </c>
      <c r="I152" s="0" t="s">
        <v>987</v>
      </c>
    </row>
    <row customHeight="1" ht="11.25">
      <c r="A153" s="1858" t="s">
        <v>2460</v>
      </c>
      <c r="B153" s="1858" t="s">
        <v>16</v>
      </c>
      <c r="C153" s="0" t="s">
        <v>2596</v>
      </c>
      <c r="D153" s="0" t="s">
        <v>2597</v>
      </c>
      <c r="E153" s="0" t="s">
        <v>2598</v>
      </c>
      <c r="F153" s="0" t="s">
        <v>2599</v>
      </c>
      <c r="G153" s="0" t="s">
        <v>2600</v>
      </c>
      <c r="H153" s="0" t="s">
        <v>22</v>
      </c>
      <c r="I153" s="0" t="s">
        <v>987</v>
      </c>
    </row>
    <row customHeight="1" ht="11.25">
      <c r="A154" s="1858" t="s">
        <v>2460</v>
      </c>
      <c r="B154" s="1858" t="s">
        <v>16</v>
      </c>
      <c r="C154" s="0" t="s">
        <v>2610</v>
      </c>
      <c r="D154" s="0" t="s">
        <v>2611</v>
      </c>
      <c r="E154" s="0" t="s">
        <v>2612</v>
      </c>
      <c r="F154" s="0" t="s">
        <v>2506</v>
      </c>
      <c r="G154" s="0" t="s">
        <v>2613</v>
      </c>
      <c r="H154" s="0" t="s">
        <v>22</v>
      </c>
      <c r="I154" s="0" t="s">
        <v>987</v>
      </c>
    </row>
    <row customHeight="1" ht="11.25">
      <c r="A155" s="1858" t="s">
        <v>2460</v>
      </c>
      <c r="B155" s="1858" t="s">
        <v>16</v>
      </c>
      <c r="C155" s="0" t="s">
        <v>2618</v>
      </c>
      <c r="D155" s="0" t="s">
        <v>2619</v>
      </c>
      <c r="E155" s="0" t="s">
        <v>2620</v>
      </c>
      <c r="F155" s="0" t="s">
        <v>2506</v>
      </c>
      <c r="G155" s="0" t="s">
        <v>2621</v>
      </c>
      <c r="H155" s="0" t="s">
        <v>22</v>
      </c>
      <c r="I155" s="0" t="s">
        <v>987</v>
      </c>
    </row>
    <row customHeight="1" ht="11.25">
      <c r="A156" s="1858" t="s">
        <v>2460</v>
      </c>
      <c r="B156" s="1858" t="s">
        <v>16</v>
      </c>
      <c r="C156" s="0" t="s">
        <v>2682</v>
      </c>
      <c r="D156" s="0" t="s">
        <v>2683</v>
      </c>
      <c r="E156" s="0" t="s">
        <v>2684</v>
      </c>
      <c r="F156" s="0" t="s">
        <v>2685</v>
      </c>
      <c r="G156" s="0" t="s">
        <v>2686</v>
      </c>
      <c r="H156" s="0" t="s">
        <v>22</v>
      </c>
      <c r="I156" s="0" t="s">
        <v>987</v>
      </c>
    </row>
    <row customHeight="1" ht="11.25">
      <c r="A157" s="1858" t="s">
        <v>2460</v>
      </c>
      <c r="B157" s="1858" t="s">
        <v>16</v>
      </c>
      <c r="C157" s="0" t="s">
        <v>2705</v>
      </c>
      <c r="D157" s="0" t="s">
        <v>2706</v>
      </c>
      <c r="E157" s="0" t="s">
        <v>2707</v>
      </c>
      <c r="F157" s="0" t="s">
        <v>2644</v>
      </c>
      <c r="G157" s="0" t="s">
        <v>2708</v>
      </c>
      <c r="H157" s="0" t="s">
        <v>22</v>
      </c>
      <c r="I157" s="0" t="s">
        <v>987</v>
      </c>
    </row>
    <row customHeight="1" ht="11.25">
      <c r="A158" s="1858" t="s">
        <v>2460</v>
      </c>
      <c r="B158" s="1858" t="s">
        <v>16</v>
      </c>
      <c r="C158" s="0" t="s">
        <v>2716</v>
      </c>
      <c r="D158" s="0" t="s">
        <v>2717</v>
      </c>
      <c r="E158" s="0" t="s">
        <v>2718</v>
      </c>
      <c r="F158" s="0" t="s">
        <v>2719</v>
      </c>
      <c r="G158" s="0" t="s">
        <v>2720</v>
      </c>
      <c r="H158" s="0" t="s">
        <v>22</v>
      </c>
      <c r="I158" s="0" t="s">
        <v>987</v>
      </c>
    </row>
    <row customHeight="1" ht="11.25">
      <c r="A159" s="1858" t="s">
        <v>2460</v>
      </c>
      <c r="B159" s="1858" t="s">
        <v>16</v>
      </c>
      <c r="C159" s="0" t="s">
        <v>2721</v>
      </c>
      <c r="D159" s="0" t="s">
        <v>2722</v>
      </c>
      <c r="E159" s="0" t="s">
        <v>2723</v>
      </c>
      <c r="F159" s="0" t="s">
        <v>51</v>
      </c>
      <c r="G159" s="0" t="s">
        <v>2724</v>
      </c>
      <c r="H159" s="0" t="s">
        <v>2725</v>
      </c>
      <c r="I159" s="0" t="s">
        <v>987</v>
      </c>
    </row>
    <row customHeight="1" ht="11.25">
      <c r="A160" s="1858" t="s">
        <v>2460</v>
      </c>
      <c r="B160" s="1858" t="s">
        <v>16</v>
      </c>
      <c r="C160" s="0" t="s">
        <v>2726</v>
      </c>
      <c r="D160" s="0" t="s">
        <v>2727</v>
      </c>
      <c r="E160" s="0" t="s">
        <v>2728</v>
      </c>
      <c r="F160" s="0" t="s">
        <v>2511</v>
      </c>
      <c r="G160" s="0" t="s">
        <v>2729</v>
      </c>
      <c r="H160" s="0" t="s">
        <v>22</v>
      </c>
      <c r="I160" s="0" t="s">
        <v>987</v>
      </c>
    </row>
    <row customHeight="1" ht="11.25">
      <c r="A161" s="1858" t="s">
        <v>2460</v>
      </c>
      <c r="B161" s="1858" t="s">
        <v>16</v>
      </c>
      <c r="C161" s="0" t="s">
        <v>2794</v>
      </c>
      <c r="D161" s="0" t="s">
        <v>2795</v>
      </c>
      <c r="E161" s="0" t="s">
        <v>2796</v>
      </c>
      <c r="F161" s="0" t="s">
        <v>2797</v>
      </c>
      <c r="G161" s="0" t="s">
        <v>2798</v>
      </c>
      <c r="H161" s="0" t="s">
        <v>22</v>
      </c>
      <c r="I161" s="0" t="s">
        <v>987</v>
      </c>
    </row>
    <row customHeight="1" ht="11.25">
      <c r="A162" s="1858" t="s">
        <v>2460</v>
      </c>
      <c r="B162" s="1858" t="s">
        <v>16</v>
      </c>
      <c r="C162" s="0" t="s">
        <v>2799</v>
      </c>
      <c r="D162" s="0" t="s">
        <v>2800</v>
      </c>
      <c r="E162" s="0" t="s">
        <v>2801</v>
      </c>
      <c r="F162" s="0" t="s">
        <v>2506</v>
      </c>
      <c r="G162" s="0" t="s">
        <v>22</v>
      </c>
      <c r="H162" s="0" t="s">
        <v>22</v>
      </c>
      <c r="I162" s="0" t="s">
        <v>987</v>
      </c>
    </row>
    <row customHeight="1" ht="11.25">
      <c r="A163" s="1858" t="s">
        <v>2460</v>
      </c>
      <c r="B163" s="1858" t="s">
        <v>16</v>
      </c>
      <c r="C163" s="0" t="s">
        <v>2857</v>
      </c>
      <c r="D163" s="0" t="s">
        <v>2858</v>
      </c>
      <c r="E163" s="0" t="s">
        <v>2859</v>
      </c>
      <c r="F163" s="0" t="s">
        <v>2488</v>
      </c>
      <c r="G163" s="0" t="s">
        <v>2724</v>
      </c>
      <c r="H163" s="0" t="s">
        <v>2725</v>
      </c>
      <c r="I163" s="0" t="s">
        <v>987</v>
      </c>
    </row>
    <row customHeight="1" ht="11.25">
      <c r="A164" s="1858" t="s">
        <v>2460</v>
      </c>
      <c r="B164" s="1858" t="s">
        <v>16</v>
      </c>
      <c r="C164" s="0" t="s">
        <v>2875</v>
      </c>
      <c r="D164" s="0" t="s">
        <v>2876</v>
      </c>
      <c r="E164" s="0" t="s">
        <v>2877</v>
      </c>
      <c r="F164" s="0" t="s">
        <v>2878</v>
      </c>
      <c r="G164" s="0" t="s">
        <v>2879</v>
      </c>
      <c r="H164" s="0" t="s">
        <v>22</v>
      </c>
      <c r="I164" s="0" t="s">
        <v>987</v>
      </c>
    </row>
    <row customHeight="1" ht="11.25">
      <c r="A165" s="1858" t="s">
        <v>2460</v>
      </c>
      <c r="B165" s="1858" t="s">
        <v>16</v>
      </c>
      <c r="C165" s="0" t="s">
        <v>2934</v>
      </c>
      <c r="D165" s="0" t="s">
        <v>2935</v>
      </c>
      <c r="E165" s="0" t="s">
        <v>2936</v>
      </c>
      <c r="F165" s="0" t="s">
        <v>2608</v>
      </c>
      <c r="G165" s="0" t="s">
        <v>2937</v>
      </c>
      <c r="H165" s="0" t="s">
        <v>22</v>
      </c>
      <c r="I165" s="0" t="s">
        <v>987</v>
      </c>
    </row>
    <row customHeight="1" ht="11.25">
      <c r="A166" s="1858" t="s">
        <v>2460</v>
      </c>
      <c r="B166" s="1858" t="s">
        <v>16</v>
      </c>
      <c r="C166" s="0" t="s">
        <v>2949</v>
      </c>
      <c r="D166" s="0" t="s">
        <v>2950</v>
      </c>
      <c r="E166" s="0" t="s">
        <v>2951</v>
      </c>
      <c r="F166" s="0" t="s">
        <v>2695</v>
      </c>
      <c r="G166" s="0" t="s">
        <v>2792</v>
      </c>
      <c r="H166" s="0" t="s">
        <v>22</v>
      </c>
      <c r="I166" s="0" t="s">
        <v>987</v>
      </c>
    </row>
    <row customHeight="1" ht="11.25">
      <c r="A167" s="1858" t="s">
        <v>2460</v>
      </c>
      <c r="B167" s="1858" t="s">
        <v>16</v>
      </c>
      <c r="C167" s="0" t="s">
        <v>13</v>
      </c>
      <c r="D167" s="0" t="s">
        <v>46</v>
      </c>
      <c r="E167" s="0" t="s">
        <v>49</v>
      </c>
      <c r="F167" s="0" t="s">
        <v>51</v>
      </c>
      <c r="G167" s="0" t="s">
        <v>2962</v>
      </c>
      <c r="H167" s="0" t="s">
        <v>22</v>
      </c>
      <c r="I167" s="0" t="s">
        <v>987</v>
      </c>
    </row>
    <row customHeight="1" ht="11.25">
      <c r="A168" s="1858" t="s">
        <v>2460</v>
      </c>
      <c r="B168" s="1858" t="s">
        <v>16</v>
      </c>
      <c r="C168" s="0" t="s">
        <v>2975</v>
      </c>
      <c r="D168" s="0" t="s">
        <v>2976</v>
      </c>
      <c r="E168" s="0" t="s">
        <v>2977</v>
      </c>
      <c r="F168" s="0" t="s">
        <v>2978</v>
      </c>
      <c r="G168" s="0" t="s">
        <v>22</v>
      </c>
      <c r="H168" s="0" t="s">
        <v>22</v>
      </c>
      <c r="I168" s="0" t="s">
        <v>987</v>
      </c>
    </row>
    <row customHeight="1" ht="11.25">
      <c r="A169" s="1858" t="s">
        <v>2460</v>
      </c>
      <c r="B169" s="1858" t="s">
        <v>16</v>
      </c>
      <c r="C169" s="0" t="s">
        <v>2986</v>
      </c>
      <c r="D169" s="0" t="s">
        <v>2987</v>
      </c>
      <c r="E169" s="0" t="s">
        <v>2988</v>
      </c>
      <c r="F169" s="0" t="s">
        <v>51</v>
      </c>
      <c r="G169" s="0" t="s">
        <v>2989</v>
      </c>
      <c r="H169" s="0" t="s">
        <v>22</v>
      </c>
      <c r="I169" s="0" t="s">
        <v>987</v>
      </c>
    </row>
    <row customHeight="1" ht="11.25">
      <c r="A170" s="1858" t="s">
        <v>2460</v>
      </c>
      <c r="B170" s="1858" t="s">
        <v>16</v>
      </c>
      <c r="C170" s="0" t="s">
        <v>3005</v>
      </c>
      <c r="D170" s="0" t="s">
        <v>3006</v>
      </c>
      <c r="E170" s="0" t="s">
        <v>3007</v>
      </c>
      <c r="F170" s="0" t="s">
        <v>3008</v>
      </c>
      <c r="G170" s="0" t="s">
        <v>22</v>
      </c>
      <c r="H170" s="0" t="s">
        <v>22</v>
      </c>
      <c r="I170" s="0" t="s">
        <v>987</v>
      </c>
    </row>
    <row customHeight="1" ht="11.25">
      <c r="A171" s="1858" t="s">
        <v>2460</v>
      </c>
      <c r="B171" s="1858" t="s">
        <v>16</v>
      </c>
      <c r="C171" s="0" t="s">
        <v>3021</v>
      </c>
      <c r="D171" s="0" t="s">
        <v>3022</v>
      </c>
      <c r="E171" s="0" t="s">
        <v>3023</v>
      </c>
      <c r="F171" s="0" t="s">
        <v>3024</v>
      </c>
      <c r="G171" s="0" t="s">
        <v>3025</v>
      </c>
      <c r="H171" s="0" t="s">
        <v>22</v>
      </c>
      <c r="I171" s="0" t="s">
        <v>987</v>
      </c>
    </row>
    <row customHeight="1" ht="11.25">
      <c r="A172" s="1858" t="s">
        <v>2460</v>
      </c>
      <c r="B172" s="1858" t="s">
        <v>16</v>
      </c>
      <c r="C172" s="0" t="s">
        <v>2461</v>
      </c>
      <c r="D172" s="0" t="s">
        <v>2462</v>
      </c>
      <c r="E172" s="0" t="s">
        <v>2463</v>
      </c>
      <c r="F172" s="0" t="s">
        <v>51</v>
      </c>
      <c r="G172" s="0" t="s">
        <v>2464</v>
      </c>
      <c r="H172" s="0" t="s">
        <v>22</v>
      </c>
      <c r="I172" s="0" t="s">
        <v>947</v>
      </c>
    </row>
    <row customHeight="1" ht="11.25">
      <c r="A173" s="1858" t="s">
        <v>2460</v>
      </c>
      <c r="B173" s="1858" t="s">
        <v>16</v>
      </c>
      <c r="C173" s="0" t="s">
        <v>2465</v>
      </c>
      <c r="D173" s="0" t="s">
        <v>2466</v>
      </c>
      <c r="E173" s="0" t="s">
        <v>2467</v>
      </c>
      <c r="F173" s="0" t="s">
        <v>2468</v>
      </c>
      <c r="G173" s="0" t="s">
        <v>2469</v>
      </c>
      <c r="H173" s="0" t="s">
        <v>22</v>
      </c>
      <c r="I173" s="0" t="s">
        <v>947</v>
      </c>
    </row>
    <row customHeight="1" ht="11.25">
      <c r="A174" s="1858" t="s">
        <v>2460</v>
      </c>
      <c r="B174" s="1858" t="s">
        <v>16</v>
      </c>
      <c r="C174" s="0" t="s">
        <v>2470</v>
      </c>
      <c r="D174" s="0" t="s">
        <v>2471</v>
      </c>
      <c r="E174" s="0" t="s">
        <v>2472</v>
      </c>
      <c r="F174" s="0" t="s">
        <v>2473</v>
      </c>
      <c r="G174" s="0" t="s">
        <v>22</v>
      </c>
      <c r="H174" s="0" t="s">
        <v>22</v>
      </c>
      <c r="I174" s="0" t="s">
        <v>947</v>
      </c>
    </row>
    <row customHeight="1" ht="11.25">
      <c r="A175" s="1858" t="s">
        <v>2460</v>
      </c>
      <c r="B175" s="1858" t="s">
        <v>16</v>
      </c>
      <c r="C175" s="0" t="s">
        <v>3029</v>
      </c>
      <c r="D175" s="0" t="s">
        <v>3030</v>
      </c>
      <c r="E175" s="0" t="s">
        <v>3031</v>
      </c>
      <c r="F175" s="0" t="s">
        <v>51</v>
      </c>
      <c r="G175" s="0" t="s">
        <v>3032</v>
      </c>
      <c r="H175" s="0" t="s">
        <v>22</v>
      </c>
      <c r="I175" s="0" t="s">
        <v>947</v>
      </c>
    </row>
    <row customHeight="1" ht="11.25">
      <c r="A176" s="1858" t="s">
        <v>2460</v>
      </c>
      <c r="B176" s="1858" t="s">
        <v>16</v>
      </c>
      <c r="C176" s="0" t="s">
        <v>3033</v>
      </c>
      <c r="D176" s="0" t="s">
        <v>3034</v>
      </c>
      <c r="E176" s="0" t="s">
        <v>3035</v>
      </c>
      <c r="F176" s="0" t="s">
        <v>2797</v>
      </c>
      <c r="G176" s="0" t="s">
        <v>22</v>
      </c>
      <c r="H176" s="0" t="s">
        <v>22</v>
      </c>
      <c r="I176" s="0" t="s">
        <v>947</v>
      </c>
    </row>
    <row customHeight="1" ht="11.25">
      <c r="A177" s="1858" t="s">
        <v>2460</v>
      </c>
      <c r="B177" s="1858" t="s">
        <v>16</v>
      </c>
      <c r="C177" s="0" t="s">
        <v>2477</v>
      </c>
      <c r="D177" s="0" t="s">
        <v>2478</v>
      </c>
      <c r="E177" s="0" t="s">
        <v>2479</v>
      </c>
      <c r="F177" s="0" t="s">
        <v>51</v>
      </c>
      <c r="G177" s="0" t="s">
        <v>2480</v>
      </c>
      <c r="H177" s="0" t="s">
        <v>22</v>
      </c>
      <c r="I177" s="0" t="s">
        <v>947</v>
      </c>
    </row>
    <row customHeight="1" ht="11.25">
      <c r="A178" s="1858" t="s">
        <v>2460</v>
      </c>
      <c r="B178" s="1858" t="s">
        <v>16</v>
      </c>
      <c r="C178" s="0" t="s">
        <v>2481</v>
      </c>
      <c r="D178" s="0" t="s">
        <v>2482</v>
      </c>
      <c r="E178" s="0" t="s">
        <v>2483</v>
      </c>
      <c r="F178" s="0" t="s">
        <v>51</v>
      </c>
      <c r="G178" s="0" t="s">
        <v>2484</v>
      </c>
      <c r="H178" s="0" t="s">
        <v>22</v>
      </c>
      <c r="I178" s="0" t="s">
        <v>947</v>
      </c>
    </row>
    <row customHeight="1" ht="11.25">
      <c r="A179" s="1858" t="s">
        <v>2460</v>
      </c>
      <c r="B179" s="1858" t="s">
        <v>16</v>
      </c>
      <c r="C179" s="0" t="s">
        <v>3036</v>
      </c>
      <c r="D179" s="0" t="s">
        <v>3037</v>
      </c>
      <c r="E179" s="0" t="s">
        <v>3038</v>
      </c>
      <c r="F179" s="0" t="s">
        <v>51</v>
      </c>
      <c r="G179" s="0" t="s">
        <v>3039</v>
      </c>
      <c r="H179" s="0" t="s">
        <v>22</v>
      </c>
      <c r="I179" s="0" t="s">
        <v>947</v>
      </c>
    </row>
    <row customHeight="1" ht="11.25">
      <c r="A180" s="1858" t="s">
        <v>2460</v>
      </c>
      <c r="B180" s="1858" t="s">
        <v>16</v>
      </c>
      <c r="C180" s="0" t="s">
        <v>3040</v>
      </c>
      <c r="D180" s="0" t="s">
        <v>3041</v>
      </c>
      <c r="E180" s="0" t="s">
        <v>3042</v>
      </c>
      <c r="F180" s="0" t="s">
        <v>51</v>
      </c>
      <c r="G180" s="0" t="s">
        <v>3043</v>
      </c>
      <c r="H180" s="0" t="s">
        <v>22</v>
      </c>
      <c r="I180" s="0" t="s">
        <v>947</v>
      </c>
    </row>
    <row customHeight="1" ht="11.25">
      <c r="A181" s="1858" t="s">
        <v>2460</v>
      </c>
      <c r="B181" s="1858" t="s">
        <v>16</v>
      </c>
      <c r="C181" s="0" t="s">
        <v>2508</v>
      </c>
      <c r="D181" s="0" t="s">
        <v>2509</v>
      </c>
      <c r="E181" s="0" t="s">
        <v>2510</v>
      </c>
      <c r="F181" s="0" t="s">
        <v>2511</v>
      </c>
      <c r="G181" s="0" t="s">
        <v>2512</v>
      </c>
      <c r="H181" s="0" t="s">
        <v>22</v>
      </c>
      <c r="I181" s="0" t="s">
        <v>947</v>
      </c>
    </row>
    <row customHeight="1" ht="11.25">
      <c r="A182" s="1858" t="s">
        <v>2460</v>
      </c>
      <c r="B182" s="1858" t="s">
        <v>16</v>
      </c>
      <c r="C182" s="0" t="s">
        <v>3044</v>
      </c>
      <c r="D182" s="0" t="s">
        <v>3045</v>
      </c>
      <c r="E182" s="0" t="s">
        <v>3046</v>
      </c>
      <c r="F182" s="0" t="s">
        <v>2973</v>
      </c>
      <c r="G182" s="0" t="s">
        <v>22</v>
      </c>
      <c r="H182" s="0" t="s">
        <v>22</v>
      </c>
      <c r="I182" s="0" t="s">
        <v>947</v>
      </c>
    </row>
    <row customHeight="1" ht="11.25">
      <c r="A183" s="1858" t="s">
        <v>2460</v>
      </c>
      <c r="B183" s="1858" t="s">
        <v>16</v>
      </c>
      <c r="C183" s="0" t="s">
        <v>3047</v>
      </c>
      <c r="D183" s="0" t="s">
        <v>3048</v>
      </c>
      <c r="E183" s="0" t="s">
        <v>3049</v>
      </c>
      <c r="F183" s="0" t="s">
        <v>3050</v>
      </c>
      <c r="G183" s="0" t="s">
        <v>22</v>
      </c>
      <c r="H183" s="0" t="s">
        <v>22</v>
      </c>
      <c r="I183" s="0" t="s">
        <v>947</v>
      </c>
    </row>
    <row customHeight="1" ht="11.25">
      <c r="A184" s="1858" t="s">
        <v>2460</v>
      </c>
      <c r="B184" s="1858" t="s">
        <v>16</v>
      </c>
      <c r="C184" s="0" t="s">
        <v>22</v>
      </c>
      <c r="D184" s="0" t="s">
        <v>2530</v>
      </c>
      <c r="E184" s="0" t="s">
        <v>2531</v>
      </c>
      <c r="F184" s="0" t="s">
        <v>51</v>
      </c>
      <c r="G184" s="0" t="s">
        <v>22</v>
      </c>
      <c r="H184" s="0" t="s">
        <v>22</v>
      </c>
      <c r="I184" s="0" t="s">
        <v>947</v>
      </c>
    </row>
    <row customHeight="1" ht="11.25">
      <c r="A185" s="1858" t="s">
        <v>2460</v>
      </c>
      <c r="B185" s="1858" t="s">
        <v>16</v>
      </c>
      <c r="C185" s="0" t="s">
        <v>2532</v>
      </c>
      <c r="D185" s="0" t="s">
        <v>2533</v>
      </c>
      <c r="E185" s="0" t="s">
        <v>2534</v>
      </c>
      <c r="F185" s="0" t="s">
        <v>2535</v>
      </c>
      <c r="G185" s="0" t="s">
        <v>2536</v>
      </c>
      <c r="H185" s="0" t="s">
        <v>22</v>
      </c>
      <c r="I185" s="0" t="s">
        <v>947</v>
      </c>
    </row>
    <row customHeight="1" ht="11.25">
      <c r="A186" s="1858" t="s">
        <v>2460</v>
      </c>
      <c r="B186" s="1858" t="s">
        <v>16</v>
      </c>
      <c r="C186" s="0" t="s">
        <v>2541</v>
      </c>
      <c r="D186" s="0" t="s">
        <v>2542</v>
      </c>
      <c r="E186" s="0" t="s">
        <v>2543</v>
      </c>
      <c r="F186" s="0" t="s">
        <v>599</v>
      </c>
      <c r="G186" s="0" t="s">
        <v>22</v>
      </c>
      <c r="H186" s="0" t="s">
        <v>22</v>
      </c>
      <c r="I186" s="0" t="s">
        <v>947</v>
      </c>
    </row>
    <row customHeight="1" ht="11.25">
      <c r="A187" s="1858" t="s">
        <v>2460</v>
      </c>
      <c r="B187" s="1858" t="s">
        <v>16</v>
      </c>
      <c r="C187" s="0" t="s">
        <v>3051</v>
      </c>
      <c r="D187" s="0" t="s">
        <v>3052</v>
      </c>
      <c r="E187" s="0" t="s">
        <v>3053</v>
      </c>
      <c r="F187" s="0" t="s">
        <v>599</v>
      </c>
      <c r="G187" s="0" t="s">
        <v>22</v>
      </c>
      <c r="H187" s="0" t="s">
        <v>22</v>
      </c>
      <c r="I187" s="0" t="s">
        <v>947</v>
      </c>
    </row>
    <row customHeight="1" ht="11.25">
      <c r="A188" s="1858" t="s">
        <v>2460</v>
      </c>
      <c r="B188" s="1858" t="s">
        <v>16</v>
      </c>
      <c r="C188" s="0" t="s">
        <v>3054</v>
      </c>
      <c r="D188" s="0" t="s">
        <v>3055</v>
      </c>
      <c r="E188" s="0" t="s">
        <v>3056</v>
      </c>
      <c r="F188" s="0" t="s">
        <v>599</v>
      </c>
      <c r="G188" s="0" t="s">
        <v>22</v>
      </c>
      <c r="H188" s="0" t="s">
        <v>22</v>
      </c>
      <c r="I188" s="0" t="s">
        <v>947</v>
      </c>
    </row>
    <row customHeight="1" ht="11.25">
      <c r="A189" s="1858" t="s">
        <v>2460</v>
      </c>
      <c r="B189" s="1858" t="s">
        <v>16</v>
      </c>
      <c r="C189" s="0" t="s">
        <v>2554</v>
      </c>
      <c r="D189" s="0" t="s">
        <v>2555</v>
      </c>
      <c r="E189" s="0" t="s">
        <v>2556</v>
      </c>
      <c r="F189" s="0" t="s">
        <v>51</v>
      </c>
      <c r="G189" s="0" t="s">
        <v>2557</v>
      </c>
      <c r="H189" s="0" t="s">
        <v>22</v>
      </c>
      <c r="I189" s="0" t="s">
        <v>947</v>
      </c>
    </row>
    <row customHeight="1" ht="11.25">
      <c r="A190" s="1858" t="s">
        <v>2460</v>
      </c>
      <c r="B190" s="1858" t="s">
        <v>16</v>
      </c>
      <c r="C190" s="0" t="s">
        <v>2558</v>
      </c>
      <c r="D190" s="0" t="s">
        <v>2559</v>
      </c>
      <c r="E190" s="0" t="s">
        <v>2556</v>
      </c>
      <c r="F190" s="0" t="s">
        <v>2560</v>
      </c>
      <c r="G190" s="0" t="s">
        <v>2561</v>
      </c>
      <c r="H190" s="0" t="s">
        <v>22</v>
      </c>
      <c r="I190" s="0" t="s">
        <v>947</v>
      </c>
    </row>
    <row customHeight="1" ht="11.25">
      <c r="A191" s="1858" t="s">
        <v>2460</v>
      </c>
      <c r="B191" s="1858" t="s">
        <v>16</v>
      </c>
      <c r="C191" s="0" t="s">
        <v>3057</v>
      </c>
      <c r="D191" s="0" t="s">
        <v>3058</v>
      </c>
      <c r="E191" s="0" t="s">
        <v>3059</v>
      </c>
      <c r="F191" s="0" t="s">
        <v>2506</v>
      </c>
      <c r="G191" s="0" t="s">
        <v>22</v>
      </c>
      <c r="H191" s="0" t="s">
        <v>22</v>
      </c>
      <c r="I191" s="0" t="s">
        <v>947</v>
      </c>
    </row>
    <row customHeight="1" ht="11.25">
      <c r="A192" s="1858" t="s">
        <v>2460</v>
      </c>
      <c r="B192" s="1858" t="s">
        <v>16</v>
      </c>
      <c r="C192" s="0" t="s">
        <v>2562</v>
      </c>
      <c r="D192" s="0" t="s">
        <v>2563</v>
      </c>
      <c r="E192" s="0" t="s">
        <v>2564</v>
      </c>
      <c r="F192" s="0" t="s">
        <v>2565</v>
      </c>
      <c r="G192" s="0" t="s">
        <v>2566</v>
      </c>
      <c r="H192" s="0" t="s">
        <v>22</v>
      </c>
      <c r="I192" s="0" t="s">
        <v>947</v>
      </c>
    </row>
    <row customHeight="1" ht="11.25">
      <c r="A193" s="1858" t="s">
        <v>2460</v>
      </c>
      <c r="B193" s="1858" t="s">
        <v>16</v>
      </c>
      <c r="C193" s="0" t="s">
        <v>2567</v>
      </c>
      <c r="D193" s="0" t="s">
        <v>2568</v>
      </c>
      <c r="E193" s="0" t="s">
        <v>2564</v>
      </c>
      <c r="F193" s="0" t="s">
        <v>2569</v>
      </c>
      <c r="G193" s="0" t="s">
        <v>2566</v>
      </c>
      <c r="H193" s="0" t="s">
        <v>22</v>
      </c>
      <c r="I193" s="0" t="s">
        <v>947</v>
      </c>
    </row>
    <row customHeight="1" ht="11.25">
      <c r="A194" s="1858" t="s">
        <v>2460</v>
      </c>
      <c r="B194" s="1858" t="s">
        <v>16</v>
      </c>
      <c r="C194" s="0" t="s">
        <v>2570</v>
      </c>
      <c r="D194" s="0" t="s">
        <v>2571</v>
      </c>
      <c r="E194" s="0" t="s">
        <v>2564</v>
      </c>
      <c r="F194" s="0" t="s">
        <v>2572</v>
      </c>
      <c r="G194" s="0" t="s">
        <v>2566</v>
      </c>
      <c r="H194" s="0" t="s">
        <v>22</v>
      </c>
      <c r="I194" s="0" t="s">
        <v>947</v>
      </c>
    </row>
    <row customHeight="1" ht="11.25">
      <c r="A195" s="1858" t="s">
        <v>2460</v>
      </c>
      <c r="B195" s="1858" t="s">
        <v>16</v>
      </c>
      <c r="C195" s="0" t="s">
        <v>3060</v>
      </c>
      <c r="D195" s="0" t="s">
        <v>3061</v>
      </c>
      <c r="E195" s="0" t="s">
        <v>3062</v>
      </c>
      <c r="F195" s="0" t="s">
        <v>3063</v>
      </c>
      <c r="G195" s="0" t="s">
        <v>3064</v>
      </c>
      <c r="H195" s="0" t="s">
        <v>22</v>
      </c>
      <c r="I195" s="0" t="s">
        <v>947</v>
      </c>
    </row>
    <row customHeight="1" ht="11.25">
      <c r="A196" s="1858" t="s">
        <v>2460</v>
      </c>
      <c r="B196" s="1858" t="s">
        <v>16</v>
      </c>
      <c r="C196" s="0" t="s">
        <v>3065</v>
      </c>
      <c r="D196" s="0" t="s">
        <v>3066</v>
      </c>
      <c r="E196" s="0" t="s">
        <v>3067</v>
      </c>
      <c r="F196" s="0" t="s">
        <v>2576</v>
      </c>
      <c r="G196" s="0" t="s">
        <v>3068</v>
      </c>
      <c r="H196" s="0" t="s">
        <v>22</v>
      </c>
      <c r="I196" s="0" t="s">
        <v>947</v>
      </c>
    </row>
    <row customHeight="1" ht="11.25">
      <c r="A197" s="1858" t="s">
        <v>2460</v>
      </c>
      <c r="B197" s="1858" t="s">
        <v>16</v>
      </c>
      <c r="C197" s="0" t="s">
        <v>2578</v>
      </c>
      <c r="D197" s="0" t="s">
        <v>2579</v>
      </c>
      <c r="E197" s="0" t="s">
        <v>2580</v>
      </c>
      <c r="F197" s="0" t="s">
        <v>2576</v>
      </c>
      <c r="G197" s="0" t="s">
        <v>2581</v>
      </c>
      <c r="H197" s="0" t="s">
        <v>22</v>
      </c>
      <c r="I197" s="0" t="s">
        <v>947</v>
      </c>
    </row>
    <row customHeight="1" ht="11.25">
      <c r="A198" s="1858" t="s">
        <v>2460</v>
      </c>
      <c r="B198" s="1858" t="s">
        <v>16</v>
      </c>
      <c r="C198" s="0" t="s">
        <v>2582</v>
      </c>
      <c r="D198" s="0" t="s">
        <v>2583</v>
      </c>
      <c r="E198" s="0" t="s">
        <v>2584</v>
      </c>
      <c r="F198" s="0" t="s">
        <v>2585</v>
      </c>
      <c r="G198" s="0" t="s">
        <v>2586</v>
      </c>
      <c r="H198" s="0" t="s">
        <v>22</v>
      </c>
      <c r="I198" s="0" t="s">
        <v>947</v>
      </c>
    </row>
    <row customHeight="1" ht="11.25">
      <c r="A199" s="1858" t="s">
        <v>2460</v>
      </c>
      <c r="B199" s="1858" t="s">
        <v>16</v>
      </c>
      <c r="C199" s="0" t="s">
        <v>2592</v>
      </c>
      <c r="D199" s="0" t="s">
        <v>2593</v>
      </c>
      <c r="E199" s="0" t="s">
        <v>2594</v>
      </c>
      <c r="F199" s="0" t="s">
        <v>2576</v>
      </c>
      <c r="G199" s="0" t="s">
        <v>2595</v>
      </c>
      <c r="H199" s="0" t="s">
        <v>22</v>
      </c>
      <c r="I199" s="0" t="s">
        <v>947</v>
      </c>
    </row>
    <row customHeight="1" ht="11.25">
      <c r="A200" s="1858" t="s">
        <v>2460</v>
      </c>
      <c r="B200" s="1858" t="s">
        <v>16</v>
      </c>
      <c r="C200" s="0" t="s">
        <v>2596</v>
      </c>
      <c r="D200" s="0" t="s">
        <v>2597</v>
      </c>
      <c r="E200" s="0" t="s">
        <v>2598</v>
      </c>
      <c r="F200" s="0" t="s">
        <v>2599</v>
      </c>
      <c r="G200" s="0" t="s">
        <v>2600</v>
      </c>
      <c r="H200" s="0" t="s">
        <v>22</v>
      </c>
      <c r="I200" s="0" t="s">
        <v>947</v>
      </c>
    </row>
    <row customHeight="1" ht="11.25">
      <c r="A201" s="1858" t="s">
        <v>2460</v>
      </c>
      <c r="B201" s="1858" t="s">
        <v>16</v>
      </c>
      <c r="C201" s="0" t="s">
        <v>2605</v>
      </c>
      <c r="D201" s="0" t="s">
        <v>2606</v>
      </c>
      <c r="E201" s="0" t="s">
        <v>2607</v>
      </c>
      <c r="F201" s="0" t="s">
        <v>2608</v>
      </c>
      <c r="G201" s="0" t="s">
        <v>2609</v>
      </c>
      <c r="H201" s="0" t="s">
        <v>22</v>
      </c>
      <c r="I201" s="0" t="s">
        <v>947</v>
      </c>
    </row>
    <row customHeight="1" ht="11.25">
      <c r="A202" s="1858" t="s">
        <v>2460</v>
      </c>
      <c r="B202" s="1858" t="s">
        <v>16</v>
      </c>
      <c r="C202" s="0" t="s">
        <v>3069</v>
      </c>
      <c r="D202" s="0" t="s">
        <v>3070</v>
      </c>
      <c r="E202" s="0" t="s">
        <v>3071</v>
      </c>
      <c r="F202" s="0" t="s">
        <v>2703</v>
      </c>
      <c r="G202" s="0" t="s">
        <v>3072</v>
      </c>
      <c r="H202" s="0" t="s">
        <v>22</v>
      </c>
      <c r="I202" s="0" t="s">
        <v>947</v>
      </c>
    </row>
    <row customHeight="1" ht="11.25">
      <c r="A203" s="1858" t="s">
        <v>2460</v>
      </c>
      <c r="B203" s="1858" t="s">
        <v>16</v>
      </c>
      <c r="C203" s="0" t="s">
        <v>3073</v>
      </c>
      <c r="D203" s="0" t="s">
        <v>3074</v>
      </c>
      <c r="E203" s="0" t="s">
        <v>3075</v>
      </c>
      <c r="F203" s="0" t="s">
        <v>2488</v>
      </c>
      <c r="G203" s="0" t="s">
        <v>3076</v>
      </c>
      <c r="H203" s="0" t="s">
        <v>22</v>
      </c>
      <c r="I203" s="0" t="s">
        <v>947</v>
      </c>
    </row>
    <row customHeight="1" ht="11.25">
      <c r="A204" s="1858" t="s">
        <v>2460</v>
      </c>
      <c r="B204" s="1858" t="s">
        <v>16</v>
      </c>
      <c r="C204" s="0" t="s">
        <v>3077</v>
      </c>
      <c r="D204" s="0" t="s">
        <v>3078</v>
      </c>
      <c r="E204" s="0" t="s">
        <v>3079</v>
      </c>
      <c r="F204" s="0" t="s">
        <v>2695</v>
      </c>
      <c r="G204" s="0" t="s">
        <v>3080</v>
      </c>
      <c r="H204" s="0" t="s">
        <v>22</v>
      </c>
      <c r="I204" s="0" t="s">
        <v>947</v>
      </c>
    </row>
    <row customHeight="1" ht="11.25">
      <c r="A205" s="1858" t="s">
        <v>2460</v>
      </c>
      <c r="B205" s="1858" t="s">
        <v>16</v>
      </c>
      <c r="C205" s="0" t="s">
        <v>3081</v>
      </c>
      <c r="D205" s="0" t="s">
        <v>3082</v>
      </c>
      <c r="E205" s="0" t="s">
        <v>3083</v>
      </c>
      <c r="F205" s="0" t="s">
        <v>2506</v>
      </c>
      <c r="G205" s="0" t="s">
        <v>3084</v>
      </c>
      <c r="H205" s="0" t="s">
        <v>22</v>
      </c>
      <c r="I205" s="0" t="s">
        <v>947</v>
      </c>
    </row>
    <row customHeight="1" ht="11.25">
      <c r="A206" s="1858" t="s">
        <v>2460</v>
      </c>
      <c r="B206" s="1858" t="s">
        <v>16</v>
      </c>
      <c r="C206" s="0" t="s">
        <v>2610</v>
      </c>
      <c r="D206" s="0" t="s">
        <v>2611</v>
      </c>
      <c r="E206" s="0" t="s">
        <v>2612</v>
      </c>
      <c r="F206" s="0" t="s">
        <v>2506</v>
      </c>
      <c r="G206" s="0" t="s">
        <v>2613</v>
      </c>
      <c r="H206" s="0" t="s">
        <v>22</v>
      </c>
      <c r="I206" s="0" t="s">
        <v>947</v>
      </c>
    </row>
    <row customHeight="1" ht="11.25">
      <c r="A207" s="1858" t="s">
        <v>2460</v>
      </c>
      <c r="B207" s="1858" t="s">
        <v>16</v>
      </c>
      <c r="C207" s="0" t="s">
        <v>2614</v>
      </c>
      <c r="D207" s="0" t="s">
        <v>2615</v>
      </c>
      <c r="E207" s="0" t="s">
        <v>2616</v>
      </c>
      <c r="F207" s="0" t="s">
        <v>2506</v>
      </c>
      <c r="G207" s="0" t="s">
        <v>2617</v>
      </c>
      <c r="H207" s="0" t="s">
        <v>22</v>
      </c>
      <c r="I207" s="0" t="s">
        <v>947</v>
      </c>
    </row>
    <row customHeight="1" ht="11.25">
      <c r="A208" s="1858" t="s">
        <v>2460</v>
      </c>
      <c r="B208" s="1858" t="s">
        <v>16</v>
      </c>
      <c r="C208" s="0" t="s">
        <v>2618</v>
      </c>
      <c r="D208" s="0" t="s">
        <v>2619</v>
      </c>
      <c r="E208" s="0" t="s">
        <v>2620</v>
      </c>
      <c r="F208" s="0" t="s">
        <v>2506</v>
      </c>
      <c r="G208" s="0" t="s">
        <v>2621</v>
      </c>
      <c r="H208" s="0" t="s">
        <v>22</v>
      </c>
      <c r="I208" s="0" t="s">
        <v>947</v>
      </c>
    </row>
    <row customHeight="1" ht="11.25">
      <c r="A209" s="1858" t="s">
        <v>2460</v>
      </c>
      <c r="B209" s="1858" t="s">
        <v>16</v>
      </c>
      <c r="C209" s="0" t="s">
        <v>3085</v>
      </c>
      <c r="D209" s="0" t="s">
        <v>2627</v>
      </c>
      <c r="E209" s="0" t="s">
        <v>3086</v>
      </c>
      <c r="F209" s="0" t="s">
        <v>3087</v>
      </c>
      <c r="G209" s="0" t="s">
        <v>22</v>
      </c>
      <c r="H209" s="0" t="s">
        <v>22</v>
      </c>
      <c r="I209" s="0" t="s">
        <v>947</v>
      </c>
    </row>
    <row customHeight="1" ht="11.25">
      <c r="A210" s="1858" t="s">
        <v>2460</v>
      </c>
      <c r="B210" s="1858" t="s">
        <v>16</v>
      </c>
      <c r="C210" s="0" t="s">
        <v>2626</v>
      </c>
      <c r="D210" s="0" t="s">
        <v>2627</v>
      </c>
      <c r="E210" s="0" t="s">
        <v>2628</v>
      </c>
      <c r="F210" s="0" t="s">
        <v>2629</v>
      </c>
      <c r="G210" s="0" t="s">
        <v>2630</v>
      </c>
      <c r="H210" s="0" t="s">
        <v>22</v>
      </c>
      <c r="I210" s="0" t="s">
        <v>947</v>
      </c>
    </row>
    <row customHeight="1" ht="11.25">
      <c r="A211" s="1858" t="s">
        <v>2460</v>
      </c>
      <c r="B211" s="1858" t="s">
        <v>16</v>
      </c>
      <c r="C211" s="0" t="s">
        <v>3088</v>
      </c>
      <c r="D211" s="0" t="s">
        <v>3089</v>
      </c>
      <c r="E211" s="0" t="s">
        <v>3090</v>
      </c>
      <c r="F211" s="0" t="s">
        <v>2608</v>
      </c>
      <c r="G211" s="0" t="s">
        <v>3091</v>
      </c>
      <c r="H211" s="0" t="s">
        <v>22</v>
      </c>
      <c r="I211" s="0" t="s">
        <v>947</v>
      </c>
    </row>
    <row customHeight="1" ht="11.25">
      <c r="A212" s="1858" t="s">
        <v>2460</v>
      </c>
      <c r="B212" s="1858" t="s">
        <v>16</v>
      </c>
      <c r="C212" s="0" t="s">
        <v>3092</v>
      </c>
      <c r="D212" s="0" t="s">
        <v>3093</v>
      </c>
      <c r="E212" s="0" t="s">
        <v>3094</v>
      </c>
      <c r="F212" s="0" t="s">
        <v>2813</v>
      </c>
      <c r="G212" s="0" t="s">
        <v>22</v>
      </c>
      <c r="H212" s="0" t="s">
        <v>2645</v>
      </c>
      <c r="I212" s="0" t="s">
        <v>947</v>
      </c>
    </row>
    <row customHeight="1" ht="11.25">
      <c r="A213" s="1858" t="s">
        <v>2460</v>
      </c>
      <c r="B213" s="1858" t="s">
        <v>16</v>
      </c>
      <c r="C213" s="0" t="s">
        <v>3095</v>
      </c>
      <c r="D213" s="0" t="s">
        <v>3096</v>
      </c>
      <c r="E213" s="0" t="s">
        <v>3097</v>
      </c>
      <c r="F213" s="0" t="s">
        <v>2657</v>
      </c>
      <c r="G213" s="0" t="s">
        <v>22</v>
      </c>
      <c r="H213" s="0" t="s">
        <v>3098</v>
      </c>
      <c r="I213" s="0" t="s">
        <v>947</v>
      </c>
    </row>
    <row customHeight="1" ht="11.25">
      <c r="A214" s="1858" t="s">
        <v>2460</v>
      </c>
      <c r="B214" s="1858" t="s">
        <v>16</v>
      </c>
      <c r="C214" s="0" t="s">
        <v>3099</v>
      </c>
      <c r="D214" s="0" t="s">
        <v>3100</v>
      </c>
      <c r="E214" s="0" t="s">
        <v>3101</v>
      </c>
      <c r="F214" s="0" t="s">
        <v>2695</v>
      </c>
      <c r="G214" s="0" t="s">
        <v>22</v>
      </c>
      <c r="H214" s="0" t="s">
        <v>22</v>
      </c>
      <c r="I214" s="0" t="s">
        <v>947</v>
      </c>
    </row>
    <row customHeight="1" ht="11.25">
      <c r="A215" s="1858" t="s">
        <v>2460</v>
      </c>
      <c r="B215" s="1858" t="s">
        <v>16</v>
      </c>
      <c r="C215" s="0" t="s">
        <v>2636</v>
      </c>
      <c r="D215" s="0" t="s">
        <v>2637</v>
      </c>
      <c r="E215" s="0" t="s">
        <v>2638</v>
      </c>
      <c r="F215" s="0" t="s">
        <v>2639</v>
      </c>
      <c r="G215" s="0" t="s">
        <v>2640</v>
      </c>
      <c r="H215" s="0" t="s">
        <v>22</v>
      </c>
      <c r="I215" s="0" t="s">
        <v>947</v>
      </c>
    </row>
    <row customHeight="1" ht="11.25">
      <c r="A216" s="1858" t="s">
        <v>2460</v>
      </c>
      <c r="B216" s="1858" t="s">
        <v>16</v>
      </c>
      <c r="C216" s="0" t="s">
        <v>3102</v>
      </c>
      <c r="D216" s="0" t="s">
        <v>3103</v>
      </c>
      <c r="E216" s="0" t="s">
        <v>3104</v>
      </c>
      <c r="F216" s="0" t="s">
        <v>2813</v>
      </c>
      <c r="G216" s="0" t="s">
        <v>22</v>
      </c>
      <c r="H216" s="0" t="s">
        <v>22</v>
      </c>
      <c r="I216" s="0" t="s">
        <v>947</v>
      </c>
    </row>
    <row customHeight="1" ht="11.25">
      <c r="A217" s="1858" t="s">
        <v>2460</v>
      </c>
      <c r="B217" s="1858" t="s">
        <v>16</v>
      </c>
      <c r="C217" s="0" t="s">
        <v>3105</v>
      </c>
      <c r="D217" s="0" t="s">
        <v>3106</v>
      </c>
      <c r="E217" s="0" t="s">
        <v>3107</v>
      </c>
      <c r="F217" s="0" t="s">
        <v>3108</v>
      </c>
      <c r="G217" s="0" t="s">
        <v>22</v>
      </c>
      <c r="H217" s="0" t="s">
        <v>3109</v>
      </c>
      <c r="I217" s="0" t="s">
        <v>947</v>
      </c>
    </row>
    <row customHeight="1" ht="11.25">
      <c r="A218" s="1858" t="s">
        <v>2460</v>
      </c>
      <c r="B218" s="1858" t="s">
        <v>16</v>
      </c>
      <c r="C218" s="0" t="s">
        <v>2641</v>
      </c>
      <c r="D218" s="0" t="s">
        <v>2642</v>
      </c>
      <c r="E218" s="0" t="s">
        <v>2643</v>
      </c>
      <c r="F218" s="0" t="s">
        <v>2644</v>
      </c>
      <c r="G218" s="0" t="s">
        <v>22</v>
      </c>
      <c r="H218" s="0" t="s">
        <v>2645</v>
      </c>
      <c r="I218" s="0" t="s">
        <v>947</v>
      </c>
    </row>
    <row customHeight="1" ht="11.25">
      <c r="A219" s="1858" t="s">
        <v>2460</v>
      </c>
      <c r="B219" s="1858" t="s">
        <v>16</v>
      </c>
      <c r="C219" s="0" t="s">
        <v>3110</v>
      </c>
      <c r="D219" s="0" t="s">
        <v>3111</v>
      </c>
      <c r="E219" s="0" t="s">
        <v>3112</v>
      </c>
      <c r="F219" s="0" t="s">
        <v>2576</v>
      </c>
      <c r="G219" s="0" t="s">
        <v>3113</v>
      </c>
      <c r="H219" s="0" t="s">
        <v>22</v>
      </c>
      <c r="I219" s="0" t="s">
        <v>947</v>
      </c>
    </row>
    <row customHeight="1" ht="11.25">
      <c r="A220" s="1858" t="s">
        <v>2460</v>
      </c>
      <c r="B220" s="1858" t="s">
        <v>16</v>
      </c>
      <c r="C220" s="0" t="s">
        <v>2646</v>
      </c>
      <c r="D220" s="0" t="s">
        <v>2647</v>
      </c>
      <c r="E220" s="0" t="s">
        <v>2648</v>
      </c>
      <c r="F220" s="0" t="s">
        <v>2639</v>
      </c>
      <c r="G220" s="0" t="s">
        <v>2649</v>
      </c>
      <c r="H220" s="0" t="s">
        <v>22</v>
      </c>
      <c r="I220" s="0" t="s">
        <v>947</v>
      </c>
    </row>
    <row customHeight="1" ht="11.25">
      <c r="A221" s="1858" t="s">
        <v>2460</v>
      </c>
      <c r="B221" s="1858" t="s">
        <v>16</v>
      </c>
      <c r="C221" s="0" t="s">
        <v>3114</v>
      </c>
      <c r="D221" s="0" t="s">
        <v>3115</v>
      </c>
      <c r="E221" s="0" t="s">
        <v>3116</v>
      </c>
      <c r="F221" s="0" t="s">
        <v>2657</v>
      </c>
      <c r="G221" s="0" t="s">
        <v>3117</v>
      </c>
      <c r="H221" s="0" t="s">
        <v>22</v>
      </c>
      <c r="I221" s="0" t="s">
        <v>947</v>
      </c>
    </row>
    <row customHeight="1" ht="11.25">
      <c r="A222" s="1858" t="s">
        <v>2460</v>
      </c>
      <c r="B222" s="1858" t="s">
        <v>16</v>
      </c>
      <c r="C222" s="0" t="s">
        <v>2659</v>
      </c>
      <c r="D222" s="0" t="s">
        <v>2660</v>
      </c>
      <c r="E222" s="0" t="s">
        <v>2661</v>
      </c>
      <c r="F222" s="0" t="s">
        <v>2662</v>
      </c>
      <c r="G222" s="0" t="s">
        <v>2663</v>
      </c>
      <c r="H222" s="0" t="s">
        <v>22</v>
      </c>
      <c r="I222" s="0" t="s">
        <v>947</v>
      </c>
    </row>
    <row customHeight="1" ht="11.25">
      <c r="A223" s="1858" t="s">
        <v>2460</v>
      </c>
      <c r="B223" s="1858" t="s">
        <v>16</v>
      </c>
      <c r="C223" s="0" t="s">
        <v>2674</v>
      </c>
      <c r="D223" s="0" t="s">
        <v>2675</v>
      </c>
      <c r="E223" s="0" t="s">
        <v>2676</v>
      </c>
      <c r="F223" s="0" t="s">
        <v>2511</v>
      </c>
      <c r="G223" s="0" t="s">
        <v>2677</v>
      </c>
      <c r="H223" s="0" t="s">
        <v>22</v>
      </c>
      <c r="I223" s="0" t="s">
        <v>947</v>
      </c>
    </row>
    <row customHeight="1" ht="11.25">
      <c r="A224" s="1858" t="s">
        <v>2460</v>
      </c>
      <c r="B224" s="1858" t="s">
        <v>16</v>
      </c>
      <c r="C224" s="0" t="s">
        <v>3118</v>
      </c>
      <c r="D224" s="0" t="s">
        <v>3119</v>
      </c>
      <c r="E224" s="0" t="s">
        <v>3120</v>
      </c>
      <c r="F224" s="0" t="s">
        <v>2488</v>
      </c>
      <c r="G224" s="0" t="s">
        <v>22</v>
      </c>
      <c r="H224" s="0" t="s">
        <v>22</v>
      </c>
      <c r="I224" s="0" t="s">
        <v>947</v>
      </c>
    </row>
    <row customHeight="1" ht="11.25">
      <c r="A225" s="1858" t="s">
        <v>2460</v>
      </c>
      <c r="B225" s="1858" t="s">
        <v>16</v>
      </c>
      <c r="C225" s="0" t="s">
        <v>2678</v>
      </c>
      <c r="D225" s="0" t="s">
        <v>2679</v>
      </c>
      <c r="E225" s="0" t="s">
        <v>2680</v>
      </c>
      <c r="F225" s="0" t="s">
        <v>2511</v>
      </c>
      <c r="G225" s="0" t="s">
        <v>2681</v>
      </c>
      <c r="H225" s="0" t="s">
        <v>22</v>
      </c>
      <c r="I225" s="0" t="s">
        <v>947</v>
      </c>
    </row>
    <row customHeight="1" ht="11.25">
      <c r="A226" s="1858" t="s">
        <v>2460</v>
      </c>
      <c r="B226" s="1858" t="s">
        <v>16</v>
      </c>
      <c r="C226" s="0" t="s">
        <v>3121</v>
      </c>
      <c r="D226" s="0" t="s">
        <v>3122</v>
      </c>
      <c r="E226" s="0" t="s">
        <v>3123</v>
      </c>
      <c r="F226" s="0" t="s">
        <v>2831</v>
      </c>
      <c r="G226" s="0" t="s">
        <v>22</v>
      </c>
      <c r="H226" s="0" t="s">
        <v>22</v>
      </c>
      <c r="I226" s="0" t="s">
        <v>947</v>
      </c>
    </row>
    <row customHeight="1" ht="11.25">
      <c r="A227" s="1858" t="s">
        <v>2460</v>
      </c>
      <c r="B227" s="1858" t="s">
        <v>16</v>
      </c>
      <c r="C227" s="0" t="s">
        <v>2682</v>
      </c>
      <c r="D227" s="0" t="s">
        <v>2683</v>
      </c>
      <c r="E227" s="0" t="s">
        <v>2684</v>
      </c>
      <c r="F227" s="0" t="s">
        <v>2685</v>
      </c>
      <c r="G227" s="0" t="s">
        <v>2686</v>
      </c>
      <c r="H227" s="0" t="s">
        <v>22</v>
      </c>
      <c r="I227" s="0" t="s">
        <v>947</v>
      </c>
    </row>
    <row customHeight="1" ht="11.25">
      <c r="A228" s="1858" t="s">
        <v>2460</v>
      </c>
      <c r="B228" s="1858" t="s">
        <v>16</v>
      </c>
      <c r="C228" s="0" t="s">
        <v>3124</v>
      </c>
      <c r="D228" s="0" t="s">
        <v>3125</v>
      </c>
      <c r="E228" s="0" t="s">
        <v>3126</v>
      </c>
      <c r="F228" s="0" t="s">
        <v>2511</v>
      </c>
      <c r="G228" s="0" t="s">
        <v>3127</v>
      </c>
      <c r="H228" s="0" t="s">
        <v>22</v>
      </c>
      <c r="I228" s="0" t="s">
        <v>947</v>
      </c>
    </row>
    <row customHeight="1" ht="11.25">
      <c r="A229" s="1858" t="s">
        <v>2460</v>
      </c>
      <c r="B229" s="1858" t="s">
        <v>16</v>
      </c>
      <c r="C229" s="0" t="s">
        <v>3128</v>
      </c>
      <c r="D229" s="0" t="s">
        <v>3129</v>
      </c>
      <c r="E229" s="0" t="s">
        <v>3130</v>
      </c>
      <c r="F229" s="0" t="s">
        <v>2608</v>
      </c>
      <c r="G229" s="0" t="s">
        <v>3131</v>
      </c>
      <c r="H229" s="0" t="s">
        <v>22</v>
      </c>
      <c r="I229" s="0" t="s">
        <v>947</v>
      </c>
    </row>
    <row customHeight="1" ht="11.25">
      <c r="A230" s="1858" t="s">
        <v>2460</v>
      </c>
      <c r="B230" s="1858" t="s">
        <v>16</v>
      </c>
      <c r="C230" s="0" t="s">
        <v>3132</v>
      </c>
      <c r="D230" s="0" t="s">
        <v>3133</v>
      </c>
      <c r="E230" s="0" t="s">
        <v>3134</v>
      </c>
      <c r="F230" s="0" t="s">
        <v>2797</v>
      </c>
      <c r="G230" s="0" t="s">
        <v>22</v>
      </c>
      <c r="H230" s="0" t="s">
        <v>22</v>
      </c>
      <c r="I230" s="0" t="s">
        <v>947</v>
      </c>
    </row>
    <row customHeight="1" ht="11.25">
      <c r="A231" s="1858" t="s">
        <v>2460</v>
      </c>
      <c r="B231" s="1858" t="s">
        <v>16</v>
      </c>
      <c r="C231" s="0" t="s">
        <v>3135</v>
      </c>
      <c r="D231" s="0" t="s">
        <v>3136</v>
      </c>
      <c r="E231" s="0" t="s">
        <v>3137</v>
      </c>
      <c r="F231" s="0" t="s">
        <v>2608</v>
      </c>
      <c r="G231" s="0" t="s">
        <v>22</v>
      </c>
      <c r="H231" s="0" t="s">
        <v>22</v>
      </c>
      <c r="I231" s="0" t="s">
        <v>947</v>
      </c>
    </row>
    <row customHeight="1" ht="11.25">
      <c r="A232" s="1858" t="s">
        <v>2460</v>
      </c>
      <c r="B232" s="1858" t="s">
        <v>16</v>
      </c>
      <c r="C232" s="0" t="s">
        <v>3138</v>
      </c>
      <c r="D232" s="0" t="s">
        <v>3139</v>
      </c>
      <c r="E232" s="0" t="s">
        <v>3140</v>
      </c>
      <c r="F232" s="0" t="s">
        <v>2576</v>
      </c>
      <c r="G232" s="0" t="s">
        <v>3141</v>
      </c>
      <c r="H232" s="0" t="s">
        <v>22</v>
      </c>
      <c r="I232" s="0" t="s">
        <v>947</v>
      </c>
    </row>
    <row customHeight="1" ht="11.25">
      <c r="A233" s="1858" t="s">
        <v>2460</v>
      </c>
      <c r="B233" s="1858" t="s">
        <v>16</v>
      </c>
      <c r="C233" s="0" t="s">
        <v>3142</v>
      </c>
      <c r="D233" s="0" t="s">
        <v>3139</v>
      </c>
      <c r="E233" s="0" t="s">
        <v>3143</v>
      </c>
      <c r="F233" s="0" t="s">
        <v>2703</v>
      </c>
      <c r="G233" s="0" t="s">
        <v>22</v>
      </c>
      <c r="H233" s="0" t="s">
        <v>22</v>
      </c>
      <c r="I233" s="0" t="s">
        <v>947</v>
      </c>
    </row>
    <row customHeight="1" ht="11.25">
      <c r="A234" s="1858" t="s">
        <v>2460</v>
      </c>
      <c r="B234" s="1858" t="s">
        <v>16</v>
      </c>
      <c r="C234" s="0" t="s">
        <v>3144</v>
      </c>
      <c r="D234" s="0" t="s">
        <v>3145</v>
      </c>
      <c r="E234" s="0" t="s">
        <v>3146</v>
      </c>
      <c r="F234" s="0" t="s">
        <v>2784</v>
      </c>
      <c r="G234" s="0" t="s">
        <v>22</v>
      </c>
      <c r="H234" s="0" t="s">
        <v>22</v>
      </c>
      <c r="I234" s="0" t="s">
        <v>947</v>
      </c>
    </row>
    <row customHeight="1" ht="11.25">
      <c r="A235" s="1858" t="s">
        <v>2460</v>
      </c>
      <c r="B235" s="1858" t="s">
        <v>16</v>
      </c>
      <c r="C235" s="0" t="s">
        <v>3147</v>
      </c>
      <c r="D235" s="0" t="s">
        <v>3148</v>
      </c>
      <c r="E235" s="0" t="s">
        <v>3149</v>
      </c>
      <c r="F235" s="0" t="s">
        <v>2797</v>
      </c>
      <c r="G235" s="0" t="s">
        <v>22</v>
      </c>
      <c r="H235" s="0" t="s">
        <v>3150</v>
      </c>
      <c r="I235" s="0" t="s">
        <v>947</v>
      </c>
    </row>
    <row customHeight="1" ht="11.25">
      <c r="A236" s="1858" t="s">
        <v>2460</v>
      </c>
      <c r="B236" s="1858" t="s">
        <v>16</v>
      </c>
      <c r="C236" s="0" t="s">
        <v>3151</v>
      </c>
      <c r="D236" s="0" t="s">
        <v>3152</v>
      </c>
      <c r="E236" s="0" t="s">
        <v>3153</v>
      </c>
      <c r="F236" s="0" t="s">
        <v>2506</v>
      </c>
      <c r="G236" s="0" t="s">
        <v>22</v>
      </c>
      <c r="H236" s="0" t="s">
        <v>3154</v>
      </c>
      <c r="I236" s="0" t="s">
        <v>947</v>
      </c>
    </row>
    <row customHeight="1" ht="11.25">
      <c r="A237" s="1858" t="s">
        <v>2460</v>
      </c>
      <c r="B237" s="1858" t="s">
        <v>16</v>
      </c>
      <c r="C237" s="0" t="s">
        <v>3155</v>
      </c>
      <c r="D237" s="0" t="s">
        <v>3156</v>
      </c>
      <c r="E237" s="0" t="s">
        <v>3157</v>
      </c>
      <c r="F237" s="0" t="s">
        <v>3050</v>
      </c>
      <c r="G237" s="0" t="s">
        <v>3158</v>
      </c>
      <c r="H237" s="0" t="s">
        <v>22</v>
      </c>
      <c r="I237" s="0" t="s">
        <v>947</v>
      </c>
    </row>
    <row customHeight="1" ht="11.25">
      <c r="A238" s="1858" t="s">
        <v>2460</v>
      </c>
      <c r="B238" s="1858" t="s">
        <v>16</v>
      </c>
      <c r="C238" s="0" t="s">
        <v>2705</v>
      </c>
      <c r="D238" s="0" t="s">
        <v>2706</v>
      </c>
      <c r="E238" s="0" t="s">
        <v>2707</v>
      </c>
      <c r="F238" s="0" t="s">
        <v>2644</v>
      </c>
      <c r="G238" s="0" t="s">
        <v>2708</v>
      </c>
      <c r="H238" s="0" t="s">
        <v>22</v>
      </c>
      <c r="I238" s="0" t="s">
        <v>947</v>
      </c>
    </row>
    <row customHeight="1" ht="11.25">
      <c r="A239" s="1858" t="s">
        <v>2460</v>
      </c>
      <c r="B239" s="1858" t="s">
        <v>16</v>
      </c>
      <c r="C239" s="0" t="s">
        <v>3159</v>
      </c>
      <c r="D239" s="0" t="s">
        <v>3160</v>
      </c>
      <c r="E239" s="0" t="s">
        <v>3161</v>
      </c>
      <c r="F239" s="0" t="s">
        <v>2644</v>
      </c>
      <c r="G239" s="0" t="s">
        <v>22</v>
      </c>
      <c r="H239" s="0" t="s">
        <v>3162</v>
      </c>
      <c r="I239" s="0" t="s">
        <v>947</v>
      </c>
    </row>
    <row customHeight="1" ht="11.25">
      <c r="A240" s="1858" t="s">
        <v>2460</v>
      </c>
      <c r="B240" s="1858" t="s">
        <v>16</v>
      </c>
      <c r="C240" s="0" t="s">
        <v>2716</v>
      </c>
      <c r="D240" s="0" t="s">
        <v>2717</v>
      </c>
      <c r="E240" s="0" t="s">
        <v>2718</v>
      </c>
      <c r="F240" s="0" t="s">
        <v>2719</v>
      </c>
      <c r="G240" s="0" t="s">
        <v>2720</v>
      </c>
      <c r="H240" s="0" t="s">
        <v>22</v>
      </c>
      <c r="I240" s="0" t="s">
        <v>947</v>
      </c>
    </row>
    <row customHeight="1" ht="11.25">
      <c r="A241" s="1858" t="s">
        <v>2460</v>
      </c>
      <c r="B241" s="1858" t="s">
        <v>16</v>
      </c>
      <c r="C241" s="0" t="s">
        <v>2721</v>
      </c>
      <c r="D241" s="0" t="s">
        <v>2722</v>
      </c>
      <c r="E241" s="0" t="s">
        <v>2723</v>
      </c>
      <c r="F241" s="0" t="s">
        <v>51</v>
      </c>
      <c r="G241" s="0" t="s">
        <v>2724</v>
      </c>
      <c r="H241" s="0" t="s">
        <v>2725</v>
      </c>
      <c r="I241" s="0" t="s">
        <v>947</v>
      </c>
    </row>
    <row customHeight="1" ht="11.25">
      <c r="A242" s="1858" t="s">
        <v>2460</v>
      </c>
      <c r="B242" s="1858" t="s">
        <v>16</v>
      </c>
      <c r="C242" s="0" t="s">
        <v>2726</v>
      </c>
      <c r="D242" s="0" t="s">
        <v>2727</v>
      </c>
      <c r="E242" s="0" t="s">
        <v>2728</v>
      </c>
      <c r="F242" s="0" t="s">
        <v>2511</v>
      </c>
      <c r="G242" s="0" t="s">
        <v>2729</v>
      </c>
      <c r="H242" s="0" t="s">
        <v>22</v>
      </c>
      <c r="I242" s="0" t="s">
        <v>947</v>
      </c>
    </row>
    <row customHeight="1" ht="11.25">
      <c r="A243" s="1858" t="s">
        <v>2460</v>
      </c>
      <c r="B243" s="1858" t="s">
        <v>16</v>
      </c>
      <c r="C243" s="0" t="s">
        <v>2730</v>
      </c>
      <c r="D243" s="0" t="s">
        <v>2731</v>
      </c>
      <c r="E243" s="0" t="s">
        <v>2732</v>
      </c>
      <c r="F243" s="0" t="s">
        <v>2644</v>
      </c>
      <c r="G243" s="0" t="s">
        <v>2733</v>
      </c>
      <c r="H243" s="0" t="s">
        <v>22</v>
      </c>
      <c r="I243" s="0" t="s">
        <v>947</v>
      </c>
    </row>
    <row customHeight="1" ht="11.25">
      <c r="A244" s="1858" t="s">
        <v>2460</v>
      </c>
      <c r="B244" s="1858" t="s">
        <v>16</v>
      </c>
      <c r="C244" s="0" t="s">
        <v>2743</v>
      </c>
      <c r="D244" s="0" t="s">
        <v>2744</v>
      </c>
      <c r="E244" s="0" t="s">
        <v>2745</v>
      </c>
      <c r="F244" s="0" t="s">
        <v>2576</v>
      </c>
      <c r="G244" s="0" t="s">
        <v>2746</v>
      </c>
      <c r="H244" s="0" t="s">
        <v>22</v>
      </c>
      <c r="I244" s="0" t="s">
        <v>947</v>
      </c>
    </row>
    <row customHeight="1" ht="11.25">
      <c r="A245" s="1858" t="s">
        <v>2460</v>
      </c>
      <c r="B245" s="1858" t="s">
        <v>16</v>
      </c>
      <c r="C245" s="0" t="s">
        <v>3163</v>
      </c>
      <c r="D245" s="0" t="s">
        <v>3164</v>
      </c>
      <c r="E245" s="0" t="s">
        <v>3165</v>
      </c>
      <c r="F245" s="0" t="s">
        <v>2644</v>
      </c>
      <c r="G245" s="0" t="s">
        <v>22</v>
      </c>
      <c r="H245" s="0" t="s">
        <v>22</v>
      </c>
      <c r="I245" s="0" t="s">
        <v>947</v>
      </c>
    </row>
    <row customHeight="1" ht="11.25">
      <c r="A246" s="1858" t="s">
        <v>2460</v>
      </c>
      <c r="B246" s="1858" t="s">
        <v>16</v>
      </c>
      <c r="C246" s="0" t="s">
        <v>3166</v>
      </c>
      <c r="D246" s="0" t="s">
        <v>3167</v>
      </c>
      <c r="E246" s="0" t="s">
        <v>3168</v>
      </c>
      <c r="F246" s="0" t="s">
        <v>2590</v>
      </c>
      <c r="G246" s="0" t="s">
        <v>3169</v>
      </c>
      <c r="H246" s="0" t="s">
        <v>3170</v>
      </c>
      <c r="I246" s="0" t="s">
        <v>947</v>
      </c>
    </row>
    <row customHeight="1" ht="11.25">
      <c r="A247" s="1858" t="s">
        <v>2460</v>
      </c>
      <c r="B247" s="1858" t="s">
        <v>16</v>
      </c>
      <c r="C247" s="0" t="s">
        <v>2769</v>
      </c>
      <c r="D247" s="0" t="s">
        <v>2770</v>
      </c>
      <c r="E247" s="0" t="s">
        <v>2771</v>
      </c>
      <c r="F247" s="0" t="s">
        <v>2576</v>
      </c>
      <c r="G247" s="0" t="s">
        <v>2772</v>
      </c>
      <c r="H247" s="0" t="s">
        <v>22</v>
      </c>
      <c r="I247" s="0" t="s">
        <v>947</v>
      </c>
    </row>
    <row customHeight="1" ht="11.25">
      <c r="A248" s="1858" t="s">
        <v>2460</v>
      </c>
      <c r="B248" s="1858" t="s">
        <v>16</v>
      </c>
      <c r="C248" s="0" t="s">
        <v>2773</v>
      </c>
      <c r="D248" s="0" t="s">
        <v>2774</v>
      </c>
      <c r="E248" s="0" t="s">
        <v>2775</v>
      </c>
      <c r="F248" s="0" t="s">
        <v>2576</v>
      </c>
      <c r="G248" s="0" t="s">
        <v>2776</v>
      </c>
      <c r="H248" s="0" t="s">
        <v>22</v>
      </c>
      <c r="I248" s="0" t="s">
        <v>947</v>
      </c>
    </row>
    <row customHeight="1" ht="11.25">
      <c r="A249" s="1858" t="s">
        <v>2460</v>
      </c>
      <c r="B249" s="1858" t="s">
        <v>16</v>
      </c>
      <c r="C249" s="0" t="s">
        <v>2794</v>
      </c>
      <c r="D249" s="0" t="s">
        <v>2795</v>
      </c>
      <c r="E249" s="0" t="s">
        <v>2796</v>
      </c>
      <c r="F249" s="0" t="s">
        <v>2797</v>
      </c>
      <c r="G249" s="0" t="s">
        <v>2798</v>
      </c>
      <c r="H249" s="0" t="s">
        <v>22</v>
      </c>
      <c r="I249" s="0" t="s">
        <v>947</v>
      </c>
    </row>
    <row customHeight="1" ht="11.25">
      <c r="A250" s="1858" t="s">
        <v>2460</v>
      </c>
      <c r="B250" s="1858" t="s">
        <v>16</v>
      </c>
      <c r="C250" s="0" t="s">
        <v>2802</v>
      </c>
      <c r="D250" s="0" t="s">
        <v>2803</v>
      </c>
      <c r="E250" s="0" t="s">
        <v>2804</v>
      </c>
      <c r="F250" s="0" t="s">
        <v>2644</v>
      </c>
      <c r="G250" s="0" t="s">
        <v>2805</v>
      </c>
      <c r="H250" s="0" t="s">
        <v>22</v>
      </c>
      <c r="I250" s="0" t="s">
        <v>947</v>
      </c>
    </row>
    <row customHeight="1" ht="11.25">
      <c r="A251" s="1858" t="s">
        <v>2460</v>
      </c>
      <c r="B251" s="1858" t="s">
        <v>16</v>
      </c>
      <c r="C251" s="0" t="s">
        <v>2806</v>
      </c>
      <c r="D251" s="0" t="s">
        <v>2807</v>
      </c>
      <c r="E251" s="0" t="s">
        <v>2808</v>
      </c>
      <c r="F251" s="0" t="s">
        <v>2644</v>
      </c>
      <c r="G251" s="0" t="s">
        <v>2809</v>
      </c>
      <c r="H251" s="0" t="s">
        <v>22</v>
      </c>
      <c r="I251" s="0" t="s">
        <v>947</v>
      </c>
    </row>
    <row customHeight="1" ht="11.25">
      <c r="A252" s="1858" t="s">
        <v>2460</v>
      </c>
      <c r="B252" s="1858" t="s">
        <v>16</v>
      </c>
      <c r="C252" s="0" t="s">
        <v>2810</v>
      </c>
      <c r="D252" s="0" t="s">
        <v>2811</v>
      </c>
      <c r="E252" s="0" t="s">
        <v>2812</v>
      </c>
      <c r="F252" s="0" t="s">
        <v>2813</v>
      </c>
      <c r="G252" s="0" t="s">
        <v>2814</v>
      </c>
      <c r="H252" s="0" t="s">
        <v>22</v>
      </c>
      <c r="I252" s="0" t="s">
        <v>947</v>
      </c>
    </row>
    <row customHeight="1" ht="11.25">
      <c r="A253" s="1858" t="s">
        <v>2460</v>
      </c>
      <c r="B253" s="1858" t="s">
        <v>16</v>
      </c>
      <c r="C253" s="0" t="s">
        <v>2820</v>
      </c>
      <c r="D253" s="0" t="s">
        <v>2821</v>
      </c>
      <c r="E253" s="0" t="s">
        <v>2822</v>
      </c>
      <c r="F253" s="0" t="s">
        <v>2644</v>
      </c>
      <c r="G253" s="0" t="s">
        <v>2823</v>
      </c>
      <c r="H253" s="0" t="s">
        <v>22</v>
      </c>
      <c r="I253" s="0" t="s">
        <v>947</v>
      </c>
    </row>
    <row customHeight="1" ht="11.25">
      <c r="A254" s="1858" t="s">
        <v>2460</v>
      </c>
      <c r="B254" s="1858" t="s">
        <v>16</v>
      </c>
      <c r="C254" s="0" t="s">
        <v>2824</v>
      </c>
      <c r="D254" s="0" t="s">
        <v>2825</v>
      </c>
      <c r="E254" s="0" t="s">
        <v>2826</v>
      </c>
      <c r="F254" s="0" t="s">
        <v>2576</v>
      </c>
      <c r="G254" s="0" t="s">
        <v>2827</v>
      </c>
      <c r="H254" s="0" t="s">
        <v>22</v>
      </c>
      <c r="I254" s="0" t="s">
        <v>947</v>
      </c>
    </row>
    <row customHeight="1" ht="11.25">
      <c r="A255" s="1858" t="s">
        <v>2460</v>
      </c>
      <c r="B255" s="1858" t="s">
        <v>16</v>
      </c>
      <c r="C255" s="0" t="s">
        <v>2851</v>
      </c>
      <c r="D255" s="0" t="s">
        <v>2852</v>
      </c>
      <c r="E255" s="0" t="s">
        <v>2853</v>
      </c>
      <c r="F255" s="0" t="s">
        <v>2644</v>
      </c>
      <c r="G255" s="0" t="s">
        <v>2805</v>
      </c>
      <c r="H255" s="0" t="s">
        <v>22</v>
      </c>
      <c r="I255" s="0" t="s">
        <v>947</v>
      </c>
    </row>
    <row customHeight="1" ht="11.25">
      <c r="A256" s="1858" t="s">
        <v>2460</v>
      </c>
      <c r="B256" s="1858" t="s">
        <v>16</v>
      </c>
      <c r="C256" s="0" t="s">
        <v>2857</v>
      </c>
      <c r="D256" s="0" t="s">
        <v>2858</v>
      </c>
      <c r="E256" s="0" t="s">
        <v>2859</v>
      </c>
      <c r="F256" s="0" t="s">
        <v>2488</v>
      </c>
      <c r="G256" s="0" t="s">
        <v>2724</v>
      </c>
      <c r="H256" s="0" t="s">
        <v>2725</v>
      </c>
      <c r="I256" s="0" t="s">
        <v>947</v>
      </c>
    </row>
    <row customHeight="1" ht="11.25">
      <c r="A257" s="1858" t="s">
        <v>2460</v>
      </c>
      <c r="B257" s="1858" t="s">
        <v>16</v>
      </c>
      <c r="C257" s="0" t="s">
        <v>2864</v>
      </c>
      <c r="D257" s="0" t="s">
        <v>2865</v>
      </c>
      <c r="E257" s="0" t="s">
        <v>2866</v>
      </c>
      <c r="F257" s="0" t="s">
        <v>2511</v>
      </c>
      <c r="G257" s="0" t="s">
        <v>2867</v>
      </c>
      <c r="H257" s="0" t="s">
        <v>22</v>
      </c>
      <c r="I257" s="0" t="s">
        <v>947</v>
      </c>
    </row>
    <row customHeight="1" ht="11.25">
      <c r="A258" s="1858" t="s">
        <v>2460</v>
      </c>
      <c r="B258" s="1858" t="s">
        <v>16</v>
      </c>
      <c r="C258" s="0" t="s">
        <v>2884</v>
      </c>
      <c r="D258" s="0" t="s">
        <v>2885</v>
      </c>
      <c r="E258" s="0" t="s">
        <v>2886</v>
      </c>
      <c r="F258" s="0" t="s">
        <v>2511</v>
      </c>
      <c r="G258" s="0" t="s">
        <v>22</v>
      </c>
      <c r="H258" s="0" t="s">
        <v>22</v>
      </c>
      <c r="I258" s="0" t="s">
        <v>947</v>
      </c>
    </row>
    <row customHeight="1" ht="11.25">
      <c r="A259" s="1858" t="s">
        <v>2460</v>
      </c>
      <c r="B259" s="1858" t="s">
        <v>16</v>
      </c>
      <c r="C259" s="0" t="s">
        <v>3171</v>
      </c>
      <c r="D259" s="0" t="s">
        <v>3172</v>
      </c>
      <c r="E259" s="0" t="s">
        <v>3173</v>
      </c>
      <c r="F259" s="0" t="s">
        <v>51</v>
      </c>
      <c r="G259" s="0" t="s">
        <v>3174</v>
      </c>
      <c r="H259" s="0" t="s">
        <v>22</v>
      </c>
      <c r="I259" s="0" t="s">
        <v>947</v>
      </c>
    </row>
    <row customHeight="1" ht="11.25">
      <c r="A260" s="1858" t="s">
        <v>2460</v>
      </c>
      <c r="B260" s="1858" t="s">
        <v>16</v>
      </c>
      <c r="C260" s="0" t="s">
        <v>2887</v>
      </c>
      <c r="D260" s="0" t="s">
        <v>2888</v>
      </c>
      <c r="E260" s="0" t="s">
        <v>2534</v>
      </c>
      <c r="F260" s="0" t="s">
        <v>2889</v>
      </c>
      <c r="G260" s="0" t="s">
        <v>22</v>
      </c>
      <c r="H260" s="0" t="s">
        <v>22</v>
      </c>
      <c r="I260" s="0" t="s">
        <v>947</v>
      </c>
    </row>
    <row customHeight="1" ht="11.25">
      <c r="A261" s="1858" t="s">
        <v>2460</v>
      </c>
      <c r="B261" s="1858" t="s">
        <v>16</v>
      </c>
      <c r="C261" s="0" t="s">
        <v>2898</v>
      </c>
      <c r="D261" s="0" t="s">
        <v>2899</v>
      </c>
      <c r="E261" s="0" t="s">
        <v>2900</v>
      </c>
      <c r="F261" s="0" t="s">
        <v>2511</v>
      </c>
      <c r="G261" s="0" t="s">
        <v>2901</v>
      </c>
      <c r="H261" s="0" t="s">
        <v>22</v>
      </c>
      <c r="I261" s="0" t="s">
        <v>947</v>
      </c>
    </row>
    <row customHeight="1" ht="11.25">
      <c r="A262" s="1858" t="s">
        <v>2460</v>
      </c>
      <c r="B262" s="1858" t="s">
        <v>16</v>
      </c>
      <c r="C262" s="0" t="s">
        <v>2917</v>
      </c>
      <c r="D262" s="0" t="s">
        <v>2918</v>
      </c>
      <c r="E262" s="0" t="s">
        <v>2919</v>
      </c>
      <c r="F262" s="0" t="s">
        <v>2468</v>
      </c>
      <c r="G262" s="0" t="s">
        <v>2920</v>
      </c>
      <c r="H262" s="0" t="s">
        <v>22</v>
      </c>
      <c r="I262" s="0" t="s">
        <v>947</v>
      </c>
    </row>
    <row customHeight="1" ht="11.25">
      <c r="A263" s="1858" t="s">
        <v>2460</v>
      </c>
      <c r="B263" s="1858" t="s">
        <v>16</v>
      </c>
      <c r="C263" s="0" t="s">
        <v>2934</v>
      </c>
      <c r="D263" s="0" t="s">
        <v>2935</v>
      </c>
      <c r="E263" s="0" t="s">
        <v>2936</v>
      </c>
      <c r="F263" s="0" t="s">
        <v>2608</v>
      </c>
      <c r="G263" s="0" t="s">
        <v>2937</v>
      </c>
      <c r="H263" s="0" t="s">
        <v>22</v>
      </c>
      <c r="I263" s="0" t="s">
        <v>947</v>
      </c>
    </row>
    <row customHeight="1" ht="11.25">
      <c r="A264" s="1858" t="s">
        <v>2460</v>
      </c>
      <c r="B264" s="1858" t="s">
        <v>16</v>
      </c>
      <c r="C264" s="0" t="s">
        <v>2941</v>
      </c>
      <c r="D264" s="0" t="s">
        <v>2942</v>
      </c>
      <c r="E264" s="0" t="s">
        <v>2943</v>
      </c>
      <c r="F264" s="0" t="s">
        <v>2511</v>
      </c>
      <c r="G264" s="0" t="s">
        <v>2944</v>
      </c>
      <c r="H264" s="0" t="s">
        <v>22</v>
      </c>
      <c r="I264" s="0" t="s">
        <v>947</v>
      </c>
    </row>
    <row customHeight="1" ht="11.25">
      <c r="A265" s="1858" t="s">
        <v>2460</v>
      </c>
      <c r="B265" s="1858" t="s">
        <v>16</v>
      </c>
      <c r="C265" s="0" t="s">
        <v>13</v>
      </c>
      <c r="D265" s="0" t="s">
        <v>46</v>
      </c>
      <c r="E265" s="0" t="s">
        <v>49</v>
      </c>
      <c r="F265" s="0" t="s">
        <v>51</v>
      </c>
      <c r="G265" s="0" t="s">
        <v>2962</v>
      </c>
      <c r="H265" s="0" t="s">
        <v>22</v>
      </c>
      <c r="I265" s="0" t="s">
        <v>947</v>
      </c>
    </row>
    <row customHeight="1" ht="11.25">
      <c r="A266" s="1858" t="s">
        <v>2460</v>
      </c>
      <c r="B266" s="1858" t="s">
        <v>16</v>
      </c>
      <c r="C266" s="0" t="s">
        <v>3175</v>
      </c>
      <c r="D266" s="0" t="s">
        <v>3176</v>
      </c>
      <c r="E266" s="0" t="s">
        <v>3177</v>
      </c>
      <c r="F266" s="0" t="s">
        <v>2506</v>
      </c>
      <c r="G266" s="0" t="s">
        <v>3178</v>
      </c>
      <c r="H266" s="0" t="s">
        <v>22</v>
      </c>
      <c r="I266" s="0" t="s">
        <v>947</v>
      </c>
    </row>
    <row customHeight="1" ht="11.25">
      <c r="A267" s="1858" t="s">
        <v>2460</v>
      </c>
      <c r="B267" s="1858" t="s">
        <v>16</v>
      </c>
      <c r="C267" s="0" t="s">
        <v>2982</v>
      </c>
      <c r="D267" s="0" t="s">
        <v>2983</v>
      </c>
      <c r="E267" s="0" t="s">
        <v>2984</v>
      </c>
      <c r="F267" s="0" t="s">
        <v>2985</v>
      </c>
      <c r="G267" s="0" t="s">
        <v>22</v>
      </c>
      <c r="H267" s="0" t="s">
        <v>22</v>
      </c>
      <c r="I267" s="0" t="s">
        <v>947</v>
      </c>
    </row>
    <row customHeight="1" ht="11.25">
      <c r="A268" s="1858" t="s">
        <v>2460</v>
      </c>
      <c r="B268" s="1858" t="s">
        <v>16</v>
      </c>
      <c r="C268" s="0" t="s">
        <v>2986</v>
      </c>
      <c r="D268" s="0" t="s">
        <v>2987</v>
      </c>
      <c r="E268" s="0" t="s">
        <v>2988</v>
      </c>
      <c r="F268" s="0" t="s">
        <v>51</v>
      </c>
      <c r="G268" s="0" t="s">
        <v>2989</v>
      </c>
      <c r="H268" s="0" t="s">
        <v>22</v>
      </c>
      <c r="I268" s="0" t="s">
        <v>947</v>
      </c>
    </row>
    <row customHeight="1" ht="11.25">
      <c r="A269" s="1858" t="s">
        <v>2460</v>
      </c>
      <c r="B269" s="1858" t="s">
        <v>16</v>
      </c>
      <c r="C269" s="0" t="s">
        <v>2990</v>
      </c>
      <c r="D269" s="0" t="s">
        <v>2991</v>
      </c>
      <c r="E269" s="0" t="s">
        <v>2992</v>
      </c>
      <c r="F269" s="0" t="s">
        <v>2719</v>
      </c>
      <c r="G269" s="0" t="s">
        <v>2993</v>
      </c>
      <c r="H269" s="0" t="s">
        <v>22</v>
      </c>
      <c r="I269" s="0" t="s">
        <v>947</v>
      </c>
    </row>
    <row customHeight="1" ht="11.25">
      <c r="A270" s="1858" t="s">
        <v>2460</v>
      </c>
      <c r="B270" s="1858" t="s">
        <v>16</v>
      </c>
      <c r="C270" s="0" t="s">
        <v>2994</v>
      </c>
      <c r="D270" s="0" t="s">
        <v>2995</v>
      </c>
      <c r="E270" s="0" t="s">
        <v>2996</v>
      </c>
      <c r="F270" s="0" t="s">
        <v>2511</v>
      </c>
      <c r="G270" s="0" t="s">
        <v>22</v>
      </c>
      <c r="H270" s="0" t="s">
        <v>22</v>
      </c>
      <c r="I270" s="0" t="s">
        <v>947</v>
      </c>
    </row>
    <row customHeight="1" ht="11.25">
      <c r="A271" s="1858" t="s">
        <v>2460</v>
      </c>
      <c r="B271" s="1858" t="s">
        <v>16</v>
      </c>
      <c r="C271" s="0" t="s">
        <v>2997</v>
      </c>
      <c r="D271" s="0" t="s">
        <v>2998</v>
      </c>
      <c r="E271" s="0" t="s">
        <v>2999</v>
      </c>
      <c r="F271" s="0" t="s">
        <v>2644</v>
      </c>
      <c r="G271" s="0" t="s">
        <v>3000</v>
      </c>
      <c r="H271" s="0" t="s">
        <v>22</v>
      </c>
      <c r="I271" s="0" t="s">
        <v>947</v>
      </c>
    </row>
    <row customHeight="1" ht="11.25">
      <c r="A272" s="1858" t="s">
        <v>2460</v>
      </c>
      <c r="B272" s="1858" t="s">
        <v>16</v>
      </c>
      <c r="C272" s="0" t="s">
        <v>3001</v>
      </c>
      <c r="D272" s="0" t="s">
        <v>3002</v>
      </c>
      <c r="E272" s="0" t="s">
        <v>3003</v>
      </c>
      <c r="F272" s="0" t="s">
        <v>2644</v>
      </c>
      <c r="G272" s="0" t="s">
        <v>3004</v>
      </c>
      <c r="H272" s="0" t="s">
        <v>22</v>
      </c>
      <c r="I272" s="0" t="s">
        <v>947</v>
      </c>
    </row>
    <row customHeight="1" ht="11.25">
      <c r="A273" s="1858" t="s">
        <v>2460</v>
      </c>
      <c r="B273" s="1858" t="s">
        <v>16</v>
      </c>
      <c r="C273" s="0" t="s">
        <v>3014</v>
      </c>
      <c r="D273" s="0" t="s">
        <v>3015</v>
      </c>
      <c r="E273" s="0" t="s">
        <v>2984</v>
      </c>
      <c r="F273" s="0" t="s">
        <v>3016</v>
      </c>
      <c r="G273" s="0" t="s">
        <v>22</v>
      </c>
      <c r="H273" s="0" t="s">
        <v>22</v>
      </c>
      <c r="I273" s="0" t="s">
        <v>947</v>
      </c>
    </row>
    <row customHeight="1" ht="11.25">
      <c r="A274" s="1858" t="s">
        <v>2460</v>
      </c>
      <c r="B274" s="1858" t="s">
        <v>16</v>
      </c>
      <c r="C274" s="0" t="s">
        <v>3017</v>
      </c>
      <c r="D274" s="0" t="s">
        <v>3018</v>
      </c>
      <c r="E274" s="0" t="s">
        <v>2534</v>
      </c>
      <c r="F274" s="0" t="s">
        <v>3008</v>
      </c>
      <c r="G274" s="0" t="s">
        <v>22</v>
      </c>
      <c r="H274" s="0" t="s">
        <v>22</v>
      </c>
      <c r="I274" s="0" t="s">
        <v>947</v>
      </c>
    </row>
    <row customHeight="1" ht="11.25">
      <c r="A275" s="1858" t="s">
        <v>2460</v>
      </c>
      <c r="B275" s="1858" t="s">
        <v>16</v>
      </c>
      <c r="C275" s="0" t="s">
        <v>3019</v>
      </c>
      <c r="D275" s="0" t="s">
        <v>3018</v>
      </c>
      <c r="E275" s="0" t="s">
        <v>2534</v>
      </c>
      <c r="F275" s="0" t="s">
        <v>3020</v>
      </c>
      <c r="G275" s="0" t="s">
        <v>2536</v>
      </c>
      <c r="H275" s="0" t="s">
        <v>22</v>
      </c>
      <c r="I275" s="0" t="s">
        <v>947</v>
      </c>
    </row>
    <row customHeight="1" ht="11.25">
      <c r="A276" s="1858" t="s">
        <v>2460</v>
      </c>
      <c r="B276" s="1858" t="s">
        <v>16</v>
      </c>
      <c r="C276" s="0" t="s">
        <v>3021</v>
      </c>
      <c r="D276" s="0" t="s">
        <v>3022</v>
      </c>
      <c r="E276" s="0" t="s">
        <v>3023</v>
      </c>
      <c r="F276" s="0" t="s">
        <v>3024</v>
      </c>
      <c r="G276" s="0" t="s">
        <v>3025</v>
      </c>
      <c r="H276" s="0" t="s">
        <v>22</v>
      </c>
      <c r="I276" s="0" t="s">
        <v>947</v>
      </c>
    </row>
    <row customHeight="1" ht="11.25">
      <c r="A277" s="1858" t="s">
        <v>2460</v>
      </c>
      <c r="B277" s="1858" t="s">
        <v>16</v>
      </c>
      <c r="C277" s="0" t="s">
        <v>2461</v>
      </c>
      <c r="D277" s="0" t="s">
        <v>2462</v>
      </c>
      <c r="E277" s="0" t="s">
        <v>2463</v>
      </c>
      <c r="F277" s="0" t="s">
        <v>51</v>
      </c>
      <c r="G277" s="0" t="s">
        <v>2464</v>
      </c>
      <c r="H277" s="0" t="s">
        <v>22</v>
      </c>
      <c r="I277" s="0" t="s">
        <v>1000</v>
      </c>
    </row>
    <row customHeight="1" ht="11.25">
      <c r="A278" s="1858" t="s">
        <v>2460</v>
      </c>
      <c r="B278" s="1858" t="s">
        <v>16</v>
      </c>
      <c r="C278" s="0" t="s">
        <v>2470</v>
      </c>
      <c r="D278" s="0" t="s">
        <v>2471</v>
      </c>
      <c r="E278" s="0" t="s">
        <v>2472</v>
      </c>
      <c r="F278" s="0" t="s">
        <v>2473</v>
      </c>
      <c r="G278" s="0" t="s">
        <v>22</v>
      </c>
      <c r="H278" s="0" t="s">
        <v>22</v>
      </c>
      <c r="I278" s="0" t="s">
        <v>1000</v>
      </c>
    </row>
    <row customHeight="1" ht="11.25">
      <c r="A279" s="1858" t="s">
        <v>2460</v>
      </c>
      <c r="B279" s="1858" t="s">
        <v>16</v>
      </c>
      <c r="C279" s="0" t="s">
        <v>3033</v>
      </c>
      <c r="D279" s="0" t="s">
        <v>3034</v>
      </c>
      <c r="E279" s="0" t="s">
        <v>3035</v>
      </c>
      <c r="F279" s="0" t="s">
        <v>2797</v>
      </c>
      <c r="G279" s="0" t="s">
        <v>22</v>
      </c>
      <c r="H279" s="0" t="s">
        <v>22</v>
      </c>
      <c r="I279" s="0" t="s">
        <v>1000</v>
      </c>
    </row>
    <row customHeight="1" ht="11.25">
      <c r="A280" s="1858" t="s">
        <v>2460</v>
      </c>
      <c r="B280" s="1858" t="s">
        <v>16</v>
      </c>
      <c r="C280" s="0" t="s">
        <v>2477</v>
      </c>
      <c r="D280" s="0" t="s">
        <v>2478</v>
      </c>
      <c r="E280" s="0" t="s">
        <v>2479</v>
      </c>
      <c r="F280" s="0" t="s">
        <v>51</v>
      </c>
      <c r="G280" s="0" t="s">
        <v>2480</v>
      </c>
      <c r="H280" s="0" t="s">
        <v>22</v>
      </c>
      <c r="I280" s="0" t="s">
        <v>1000</v>
      </c>
    </row>
    <row customHeight="1" ht="11.25">
      <c r="A281" s="1858" t="s">
        <v>2460</v>
      </c>
      <c r="B281" s="1858" t="s">
        <v>16</v>
      </c>
      <c r="C281" s="0" t="s">
        <v>2481</v>
      </c>
      <c r="D281" s="0" t="s">
        <v>2482</v>
      </c>
      <c r="E281" s="0" t="s">
        <v>2483</v>
      </c>
      <c r="F281" s="0" t="s">
        <v>51</v>
      </c>
      <c r="G281" s="0" t="s">
        <v>2484</v>
      </c>
      <c r="H281" s="0" t="s">
        <v>22</v>
      </c>
      <c r="I281" s="0" t="s">
        <v>1000</v>
      </c>
    </row>
    <row customHeight="1" ht="11.25">
      <c r="A282" s="1858" t="s">
        <v>2460</v>
      </c>
      <c r="B282" s="1858" t="s">
        <v>16</v>
      </c>
      <c r="C282" s="0" t="s">
        <v>3036</v>
      </c>
      <c r="D282" s="0" t="s">
        <v>3037</v>
      </c>
      <c r="E282" s="0" t="s">
        <v>3038</v>
      </c>
      <c r="F282" s="0" t="s">
        <v>51</v>
      </c>
      <c r="G282" s="0" t="s">
        <v>3039</v>
      </c>
      <c r="H282" s="0" t="s">
        <v>22</v>
      </c>
      <c r="I282" s="0" t="s">
        <v>1000</v>
      </c>
    </row>
    <row customHeight="1" ht="11.25">
      <c r="A283" s="1858" t="s">
        <v>2460</v>
      </c>
      <c r="B283" s="1858" t="s">
        <v>16</v>
      </c>
      <c r="C283" s="0" t="s">
        <v>2497</v>
      </c>
      <c r="D283" s="0" t="s">
        <v>2498</v>
      </c>
      <c r="E283" s="0" t="s">
        <v>2499</v>
      </c>
      <c r="F283" s="0" t="s">
        <v>2488</v>
      </c>
      <c r="G283" s="0" t="s">
        <v>22</v>
      </c>
      <c r="H283" s="0" t="s">
        <v>22</v>
      </c>
      <c r="I283" s="0" t="s">
        <v>1000</v>
      </c>
    </row>
    <row customHeight="1" ht="11.25">
      <c r="A284" s="1858" t="s">
        <v>2460</v>
      </c>
      <c r="B284" s="1858" t="s">
        <v>16</v>
      </c>
      <c r="C284" s="0" t="s">
        <v>3047</v>
      </c>
      <c r="D284" s="0" t="s">
        <v>3048</v>
      </c>
      <c r="E284" s="0" t="s">
        <v>3049</v>
      </c>
      <c r="F284" s="0" t="s">
        <v>3050</v>
      </c>
      <c r="G284" s="0" t="s">
        <v>22</v>
      </c>
      <c r="H284" s="0" t="s">
        <v>22</v>
      </c>
      <c r="I284" s="0" t="s">
        <v>1000</v>
      </c>
    </row>
    <row customHeight="1" ht="11.25">
      <c r="A285" s="1858" t="s">
        <v>2460</v>
      </c>
      <c r="B285" s="1858" t="s">
        <v>16</v>
      </c>
      <c r="C285" s="0" t="s">
        <v>22</v>
      </c>
      <c r="D285" s="0" t="s">
        <v>2530</v>
      </c>
      <c r="E285" s="0" t="s">
        <v>2531</v>
      </c>
      <c r="F285" s="0" t="s">
        <v>51</v>
      </c>
      <c r="G285" s="0" t="s">
        <v>22</v>
      </c>
      <c r="H285" s="0" t="s">
        <v>22</v>
      </c>
      <c r="I285" s="0" t="s">
        <v>1000</v>
      </c>
    </row>
    <row customHeight="1" ht="11.25">
      <c r="A286" s="1858" t="s">
        <v>2460</v>
      </c>
      <c r="B286" s="1858" t="s">
        <v>16</v>
      </c>
      <c r="C286" s="0" t="s">
        <v>2541</v>
      </c>
      <c r="D286" s="0" t="s">
        <v>2542</v>
      </c>
      <c r="E286" s="0" t="s">
        <v>2543</v>
      </c>
      <c r="F286" s="0" t="s">
        <v>599</v>
      </c>
      <c r="G286" s="0" t="s">
        <v>22</v>
      </c>
      <c r="H286" s="0" t="s">
        <v>22</v>
      </c>
      <c r="I286" s="0" t="s">
        <v>1000</v>
      </c>
    </row>
    <row customHeight="1" ht="11.25">
      <c r="A287" s="1858" t="s">
        <v>2460</v>
      </c>
      <c r="B287" s="1858" t="s">
        <v>16</v>
      </c>
      <c r="C287" s="0" t="s">
        <v>3051</v>
      </c>
      <c r="D287" s="0" t="s">
        <v>3052</v>
      </c>
      <c r="E287" s="0" t="s">
        <v>3053</v>
      </c>
      <c r="F287" s="0" t="s">
        <v>599</v>
      </c>
      <c r="G287" s="0" t="s">
        <v>22</v>
      </c>
      <c r="H287" s="0" t="s">
        <v>22</v>
      </c>
      <c r="I287" s="0" t="s">
        <v>1000</v>
      </c>
    </row>
    <row customHeight="1" ht="11.25">
      <c r="A288" s="1858" t="s">
        <v>2460</v>
      </c>
      <c r="B288" s="1858" t="s">
        <v>16</v>
      </c>
      <c r="C288" s="0" t="s">
        <v>2554</v>
      </c>
      <c r="D288" s="0" t="s">
        <v>2555</v>
      </c>
      <c r="E288" s="0" t="s">
        <v>2556</v>
      </c>
      <c r="F288" s="0" t="s">
        <v>51</v>
      </c>
      <c r="G288" s="0" t="s">
        <v>2557</v>
      </c>
      <c r="H288" s="0" t="s">
        <v>22</v>
      </c>
      <c r="I288" s="0" t="s">
        <v>1000</v>
      </c>
    </row>
    <row customHeight="1" ht="11.25">
      <c r="A289" s="1858" t="s">
        <v>2460</v>
      </c>
      <c r="B289" s="1858" t="s">
        <v>16</v>
      </c>
      <c r="C289" s="0" t="s">
        <v>2558</v>
      </c>
      <c r="D289" s="0" t="s">
        <v>2559</v>
      </c>
      <c r="E289" s="0" t="s">
        <v>2556</v>
      </c>
      <c r="F289" s="0" t="s">
        <v>2560</v>
      </c>
      <c r="G289" s="0" t="s">
        <v>2561</v>
      </c>
      <c r="H289" s="0" t="s">
        <v>22</v>
      </c>
      <c r="I289" s="0" t="s">
        <v>1000</v>
      </c>
    </row>
    <row customHeight="1" ht="11.25">
      <c r="A290" s="1858" t="s">
        <v>2460</v>
      </c>
      <c r="B290" s="1858" t="s">
        <v>16</v>
      </c>
      <c r="C290" s="0" t="s">
        <v>2570</v>
      </c>
      <c r="D290" s="0" t="s">
        <v>2571</v>
      </c>
      <c r="E290" s="0" t="s">
        <v>2564</v>
      </c>
      <c r="F290" s="0" t="s">
        <v>2572</v>
      </c>
      <c r="G290" s="0" t="s">
        <v>2566</v>
      </c>
      <c r="H290" s="0" t="s">
        <v>22</v>
      </c>
      <c r="I290" s="0" t="s">
        <v>1000</v>
      </c>
    </row>
    <row customHeight="1" ht="11.25">
      <c r="A291" s="1858" t="s">
        <v>2460</v>
      </c>
      <c r="B291" s="1858" t="s">
        <v>16</v>
      </c>
      <c r="C291" s="0" t="s">
        <v>3060</v>
      </c>
      <c r="D291" s="0" t="s">
        <v>3061</v>
      </c>
      <c r="E291" s="0" t="s">
        <v>3062</v>
      </c>
      <c r="F291" s="0" t="s">
        <v>3063</v>
      </c>
      <c r="G291" s="0" t="s">
        <v>3064</v>
      </c>
      <c r="H291" s="0" t="s">
        <v>22</v>
      </c>
      <c r="I291" s="0" t="s">
        <v>1000</v>
      </c>
    </row>
    <row customHeight="1" ht="11.25">
      <c r="A292" s="1858" t="s">
        <v>2460</v>
      </c>
      <c r="B292" s="1858" t="s">
        <v>16</v>
      </c>
      <c r="C292" s="0" t="s">
        <v>3065</v>
      </c>
      <c r="D292" s="0" t="s">
        <v>3066</v>
      </c>
      <c r="E292" s="0" t="s">
        <v>3067</v>
      </c>
      <c r="F292" s="0" t="s">
        <v>2576</v>
      </c>
      <c r="G292" s="0" t="s">
        <v>3068</v>
      </c>
      <c r="H292" s="0" t="s">
        <v>22</v>
      </c>
      <c r="I292" s="0" t="s">
        <v>1000</v>
      </c>
    </row>
    <row customHeight="1" ht="11.25">
      <c r="A293" s="1858" t="s">
        <v>2460</v>
      </c>
      <c r="B293" s="1858" t="s">
        <v>16</v>
      </c>
      <c r="C293" s="0" t="s">
        <v>2592</v>
      </c>
      <c r="D293" s="0" t="s">
        <v>2593</v>
      </c>
      <c r="E293" s="0" t="s">
        <v>2594</v>
      </c>
      <c r="F293" s="0" t="s">
        <v>2576</v>
      </c>
      <c r="G293" s="0" t="s">
        <v>2595</v>
      </c>
      <c r="H293" s="0" t="s">
        <v>22</v>
      </c>
      <c r="I293" s="0" t="s">
        <v>1000</v>
      </c>
    </row>
    <row customHeight="1" ht="11.25">
      <c r="A294" s="1858" t="s">
        <v>2460</v>
      </c>
      <c r="B294" s="1858" t="s">
        <v>16</v>
      </c>
      <c r="C294" s="0" t="s">
        <v>3073</v>
      </c>
      <c r="D294" s="0" t="s">
        <v>3074</v>
      </c>
      <c r="E294" s="0" t="s">
        <v>3075</v>
      </c>
      <c r="F294" s="0" t="s">
        <v>2488</v>
      </c>
      <c r="G294" s="0" t="s">
        <v>3076</v>
      </c>
      <c r="H294" s="0" t="s">
        <v>22</v>
      </c>
      <c r="I294" s="0" t="s">
        <v>1000</v>
      </c>
    </row>
    <row customHeight="1" ht="11.25">
      <c r="A295" s="1858" t="s">
        <v>2460</v>
      </c>
      <c r="B295" s="1858" t="s">
        <v>16</v>
      </c>
      <c r="C295" s="0" t="s">
        <v>3081</v>
      </c>
      <c r="D295" s="0" t="s">
        <v>3082</v>
      </c>
      <c r="E295" s="0" t="s">
        <v>3083</v>
      </c>
      <c r="F295" s="0" t="s">
        <v>2506</v>
      </c>
      <c r="G295" s="0" t="s">
        <v>3084</v>
      </c>
      <c r="H295" s="0" t="s">
        <v>22</v>
      </c>
      <c r="I295" s="0" t="s">
        <v>1000</v>
      </c>
    </row>
    <row customHeight="1" ht="11.25">
      <c r="A296" s="1858" t="s">
        <v>2460</v>
      </c>
      <c r="B296" s="1858" t="s">
        <v>16</v>
      </c>
      <c r="C296" s="0" t="s">
        <v>2614</v>
      </c>
      <c r="D296" s="0" t="s">
        <v>2615</v>
      </c>
      <c r="E296" s="0" t="s">
        <v>2616</v>
      </c>
      <c r="F296" s="0" t="s">
        <v>2506</v>
      </c>
      <c r="G296" s="0" t="s">
        <v>2617</v>
      </c>
      <c r="H296" s="0" t="s">
        <v>22</v>
      </c>
      <c r="I296" s="0" t="s">
        <v>1000</v>
      </c>
    </row>
    <row customHeight="1" ht="11.25">
      <c r="A297" s="1858" t="s">
        <v>2460</v>
      </c>
      <c r="B297" s="1858" t="s">
        <v>16</v>
      </c>
      <c r="C297" s="0" t="s">
        <v>3088</v>
      </c>
      <c r="D297" s="0" t="s">
        <v>3089</v>
      </c>
      <c r="E297" s="0" t="s">
        <v>3090</v>
      </c>
      <c r="F297" s="0" t="s">
        <v>2608</v>
      </c>
      <c r="G297" s="0" t="s">
        <v>3091</v>
      </c>
      <c r="H297" s="0" t="s">
        <v>22</v>
      </c>
      <c r="I297" s="0" t="s">
        <v>1000</v>
      </c>
    </row>
    <row customHeight="1" ht="11.25">
      <c r="A298" s="1858" t="s">
        <v>2460</v>
      </c>
      <c r="B298" s="1858" t="s">
        <v>16</v>
      </c>
      <c r="C298" s="0" t="s">
        <v>3099</v>
      </c>
      <c r="D298" s="0" t="s">
        <v>3100</v>
      </c>
      <c r="E298" s="0" t="s">
        <v>3101</v>
      </c>
      <c r="F298" s="0" t="s">
        <v>2695</v>
      </c>
      <c r="G298" s="0" t="s">
        <v>22</v>
      </c>
      <c r="H298" s="0" t="s">
        <v>22</v>
      </c>
      <c r="I298" s="0" t="s">
        <v>1000</v>
      </c>
    </row>
    <row customHeight="1" ht="11.25">
      <c r="A299" s="1858" t="s">
        <v>2460</v>
      </c>
      <c r="B299" s="1858" t="s">
        <v>16</v>
      </c>
      <c r="C299" s="0" t="s">
        <v>2641</v>
      </c>
      <c r="D299" s="0" t="s">
        <v>2642</v>
      </c>
      <c r="E299" s="0" t="s">
        <v>2643</v>
      </c>
      <c r="F299" s="0" t="s">
        <v>2644</v>
      </c>
      <c r="G299" s="0" t="s">
        <v>22</v>
      </c>
      <c r="H299" s="0" t="s">
        <v>2645</v>
      </c>
      <c r="I299" s="0" t="s">
        <v>1000</v>
      </c>
    </row>
    <row customHeight="1" ht="11.25">
      <c r="A300" s="1858" t="s">
        <v>2460</v>
      </c>
      <c r="B300" s="1858" t="s">
        <v>16</v>
      </c>
      <c r="C300" s="0" t="s">
        <v>2674</v>
      </c>
      <c r="D300" s="0" t="s">
        <v>2675</v>
      </c>
      <c r="E300" s="0" t="s">
        <v>2676</v>
      </c>
      <c r="F300" s="0" t="s">
        <v>2511</v>
      </c>
      <c r="G300" s="0" t="s">
        <v>2677</v>
      </c>
      <c r="H300" s="0" t="s">
        <v>22</v>
      </c>
      <c r="I300" s="0" t="s">
        <v>1000</v>
      </c>
    </row>
    <row customHeight="1" ht="11.25">
      <c r="A301" s="1858" t="s">
        <v>2460</v>
      </c>
      <c r="B301" s="1858" t="s">
        <v>16</v>
      </c>
      <c r="C301" s="0" t="s">
        <v>2678</v>
      </c>
      <c r="D301" s="0" t="s">
        <v>2679</v>
      </c>
      <c r="E301" s="0" t="s">
        <v>2680</v>
      </c>
      <c r="F301" s="0" t="s">
        <v>2511</v>
      </c>
      <c r="G301" s="0" t="s">
        <v>2681</v>
      </c>
      <c r="H301" s="0" t="s">
        <v>22</v>
      </c>
      <c r="I301" s="0" t="s">
        <v>1000</v>
      </c>
    </row>
    <row customHeight="1" ht="11.25">
      <c r="A302" s="1858" t="s">
        <v>2460</v>
      </c>
      <c r="B302" s="1858" t="s">
        <v>16</v>
      </c>
      <c r="C302" s="0" t="s">
        <v>3121</v>
      </c>
      <c r="D302" s="0" t="s">
        <v>3122</v>
      </c>
      <c r="E302" s="0" t="s">
        <v>3123</v>
      </c>
      <c r="F302" s="0" t="s">
        <v>2831</v>
      </c>
      <c r="G302" s="0" t="s">
        <v>22</v>
      </c>
      <c r="H302" s="0" t="s">
        <v>22</v>
      </c>
      <c r="I302" s="0" t="s">
        <v>1000</v>
      </c>
    </row>
    <row customHeight="1" ht="11.25">
      <c r="A303" s="1858" t="s">
        <v>2460</v>
      </c>
      <c r="B303" s="1858" t="s">
        <v>16</v>
      </c>
      <c r="C303" s="0" t="s">
        <v>3124</v>
      </c>
      <c r="D303" s="0" t="s">
        <v>3125</v>
      </c>
      <c r="E303" s="0" t="s">
        <v>3126</v>
      </c>
      <c r="F303" s="0" t="s">
        <v>2511</v>
      </c>
      <c r="G303" s="0" t="s">
        <v>3127</v>
      </c>
      <c r="H303" s="0" t="s">
        <v>22</v>
      </c>
      <c r="I303" s="0" t="s">
        <v>1000</v>
      </c>
    </row>
    <row customHeight="1" ht="11.25">
      <c r="A304" s="1858" t="s">
        <v>2460</v>
      </c>
      <c r="B304" s="1858" t="s">
        <v>16</v>
      </c>
      <c r="C304" s="0" t="s">
        <v>3128</v>
      </c>
      <c r="D304" s="0" t="s">
        <v>3129</v>
      </c>
      <c r="E304" s="0" t="s">
        <v>3130</v>
      </c>
      <c r="F304" s="0" t="s">
        <v>2608</v>
      </c>
      <c r="G304" s="0" t="s">
        <v>3131</v>
      </c>
      <c r="H304" s="0" t="s">
        <v>22</v>
      </c>
      <c r="I304" s="0" t="s">
        <v>1000</v>
      </c>
    </row>
    <row customHeight="1" ht="11.25">
      <c r="A305" s="1858" t="s">
        <v>2460</v>
      </c>
      <c r="B305" s="1858" t="s">
        <v>16</v>
      </c>
      <c r="C305" s="0" t="s">
        <v>3132</v>
      </c>
      <c r="D305" s="0" t="s">
        <v>3133</v>
      </c>
      <c r="E305" s="0" t="s">
        <v>3134</v>
      </c>
      <c r="F305" s="0" t="s">
        <v>2797</v>
      </c>
      <c r="G305" s="0" t="s">
        <v>22</v>
      </c>
      <c r="H305" s="0" t="s">
        <v>22</v>
      </c>
      <c r="I305" s="0" t="s">
        <v>1000</v>
      </c>
    </row>
    <row customHeight="1" ht="11.25">
      <c r="A306" s="1858" t="s">
        <v>2460</v>
      </c>
      <c r="B306" s="1858" t="s">
        <v>16</v>
      </c>
      <c r="C306" s="0" t="s">
        <v>3135</v>
      </c>
      <c r="D306" s="0" t="s">
        <v>3136</v>
      </c>
      <c r="E306" s="0" t="s">
        <v>3137</v>
      </c>
      <c r="F306" s="0" t="s">
        <v>2608</v>
      </c>
      <c r="G306" s="0" t="s">
        <v>22</v>
      </c>
      <c r="H306" s="0" t="s">
        <v>22</v>
      </c>
      <c r="I306" s="0" t="s">
        <v>1000</v>
      </c>
    </row>
    <row customHeight="1" ht="11.25">
      <c r="A307" s="1858" t="s">
        <v>2460</v>
      </c>
      <c r="B307" s="1858" t="s">
        <v>16</v>
      </c>
      <c r="C307" s="0" t="s">
        <v>3138</v>
      </c>
      <c r="D307" s="0" t="s">
        <v>3139</v>
      </c>
      <c r="E307" s="0" t="s">
        <v>3140</v>
      </c>
      <c r="F307" s="0" t="s">
        <v>2576</v>
      </c>
      <c r="G307" s="0" t="s">
        <v>3141</v>
      </c>
      <c r="H307" s="0" t="s">
        <v>22</v>
      </c>
      <c r="I307" s="0" t="s">
        <v>1000</v>
      </c>
    </row>
    <row customHeight="1" ht="11.25">
      <c r="A308" s="1858" t="s">
        <v>2460</v>
      </c>
      <c r="B308" s="1858" t="s">
        <v>16</v>
      </c>
      <c r="C308" s="0" t="s">
        <v>3142</v>
      </c>
      <c r="D308" s="0" t="s">
        <v>3139</v>
      </c>
      <c r="E308" s="0" t="s">
        <v>3143</v>
      </c>
      <c r="F308" s="0" t="s">
        <v>2703</v>
      </c>
      <c r="G308" s="0" t="s">
        <v>22</v>
      </c>
      <c r="H308" s="0" t="s">
        <v>22</v>
      </c>
      <c r="I308" s="0" t="s">
        <v>1000</v>
      </c>
    </row>
    <row customHeight="1" ht="11.25">
      <c r="A309" s="1858" t="s">
        <v>2460</v>
      </c>
      <c r="B309" s="1858" t="s">
        <v>16</v>
      </c>
      <c r="C309" s="0" t="s">
        <v>2726</v>
      </c>
      <c r="D309" s="0" t="s">
        <v>2727</v>
      </c>
      <c r="E309" s="0" t="s">
        <v>2728</v>
      </c>
      <c r="F309" s="0" t="s">
        <v>2511</v>
      </c>
      <c r="G309" s="0" t="s">
        <v>2729</v>
      </c>
      <c r="H309" s="0" t="s">
        <v>22</v>
      </c>
      <c r="I309" s="0" t="s">
        <v>1000</v>
      </c>
    </row>
    <row customHeight="1" ht="11.25">
      <c r="A310" s="1858" t="s">
        <v>2460</v>
      </c>
      <c r="B310" s="1858" t="s">
        <v>16</v>
      </c>
      <c r="C310" s="0" t="s">
        <v>2743</v>
      </c>
      <c r="D310" s="0" t="s">
        <v>2744</v>
      </c>
      <c r="E310" s="0" t="s">
        <v>2745</v>
      </c>
      <c r="F310" s="0" t="s">
        <v>2576</v>
      </c>
      <c r="G310" s="0" t="s">
        <v>2746</v>
      </c>
      <c r="H310" s="0" t="s">
        <v>22</v>
      </c>
      <c r="I310" s="0" t="s">
        <v>1000</v>
      </c>
    </row>
    <row customHeight="1" ht="11.25">
      <c r="A311" s="1858" t="s">
        <v>2460</v>
      </c>
      <c r="B311" s="1858" t="s">
        <v>16</v>
      </c>
      <c r="C311" s="0" t="s">
        <v>3166</v>
      </c>
      <c r="D311" s="0" t="s">
        <v>3167</v>
      </c>
      <c r="E311" s="0" t="s">
        <v>3168</v>
      </c>
      <c r="F311" s="0" t="s">
        <v>2590</v>
      </c>
      <c r="G311" s="0" t="s">
        <v>3169</v>
      </c>
      <c r="H311" s="0" t="s">
        <v>3170</v>
      </c>
      <c r="I311" s="0" t="s">
        <v>1000</v>
      </c>
    </row>
    <row customHeight="1" ht="11.25">
      <c r="A312" s="1858" t="s">
        <v>2460</v>
      </c>
      <c r="B312" s="1858" t="s">
        <v>16</v>
      </c>
      <c r="C312" s="0" t="s">
        <v>2773</v>
      </c>
      <c r="D312" s="0" t="s">
        <v>2774</v>
      </c>
      <c r="E312" s="0" t="s">
        <v>2775</v>
      </c>
      <c r="F312" s="0" t="s">
        <v>2576</v>
      </c>
      <c r="G312" s="0" t="s">
        <v>2776</v>
      </c>
      <c r="H312" s="0" t="s">
        <v>22</v>
      </c>
      <c r="I312" s="0" t="s">
        <v>1000</v>
      </c>
    </row>
    <row customHeight="1" ht="11.25">
      <c r="A313" s="1858" t="s">
        <v>2460</v>
      </c>
      <c r="B313" s="1858" t="s">
        <v>16</v>
      </c>
      <c r="C313" s="0" t="s">
        <v>2806</v>
      </c>
      <c r="D313" s="0" t="s">
        <v>2807</v>
      </c>
      <c r="E313" s="0" t="s">
        <v>2808</v>
      </c>
      <c r="F313" s="0" t="s">
        <v>2644</v>
      </c>
      <c r="G313" s="0" t="s">
        <v>2809</v>
      </c>
      <c r="H313" s="0" t="s">
        <v>22</v>
      </c>
      <c r="I313" s="0" t="s">
        <v>1000</v>
      </c>
    </row>
    <row customHeight="1" ht="11.25">
      <c r="A314" s="1858" t="s">
        <v>2460</v>
      </c>
      <c r="B314" s="1858" t="s">
        <v>16</v>
      </c>
      <c r="C314" s="0" t="s">
        <v>2824</v>
      </c>
      <c r="D314" s="0" t="s">
        <v>2825</v>
      </c>
      <c r="E314" s="0" t="s">
        <v>2826</v>
      </c>
      <c r="F314" s="0" t="s">
        <v>2576</v>
      </c>
      <c r="G314" s="0" t="s">
        <v>2827</v>
      </c>
      <c r="H314" s="0" t="s">
        <v>22</v>
      </c>
      <c r="I314" s="0" t="s">
        <v>1000</v>
      </c>
    </row>
    <row customHeight="1" ht="11.25">
      <c r="A315" s="1858" t="s">
        <v>2460</v>
      </c>
      <c r="B315" s="1858" t="s">
        <v>16</v>
      </c>
      <c r="C315" s="0" t="s">
        <v>2851</v>
      </c>
      <c r="D315" s="0" t="s">
        <v>2852</v>
      </c>
      <c r="E315" s="0" t="s">
        <v>2853</v>
      </c>
      <c r="F315" s="0" t="s">
        <v>2644</v>
      </c>
      <c r="G315" s="0" t="s">
        <v>2805</v>
      </c>
      <c r="H315" s="0" t="s">
        <v>22</v>
      </c>
      <c r="I315" s="0" t="s">
        <v>1000</v>
      </c>
    </row>
    <row customHeight="1" ht="11.25">
      <c r="A316" s="1858" t="s">
        <v>2460</v>
      </c>
      <c r="B316" s="1858" t="s">
        <v>16</v>
      </c>
      <c r="C316" s="0" t="s">
        <v>2864</v>
      </c>
      <c r="D316" s="0" t="s">
        <v>2865</v>
      </c>
      <c r="E316" s="0" t="s">
        <v>2866</v>
      </c>
      <c r="F316" s="0" t="s">
        <v>2511</v>
      </c>
      <c r="G316" s="0" t="s">
        <v>2867</v>
      </c>
      <c r="H316" s="0" t="s">
        <v>22</v>
      </c>
      <c r="I316" s="0" t="s">
        <v>1000</v>
      </c>
    </row>
    <row customHeight="1" ht="11.25">
      <c r="A317" s="1858" t="s">
        <v>2460</v>
      </c>
      <c r="B317" s="1858" t="s">
        <v>16</v>
      </c>
      <c r="C317" s="0" t="s">
        <v>3171</v>
      </c>
      <c r="D317" s="0" t="s">
        <v>3172</v>
      </c>
      <c r="E317" s="0" t="s">
        <v>3173</v>
      </c>
      <c r="F317" s="0" t="s">
        <v>51</v>
      </c>
      <c r="G317" s="0" t="s">
        <v>3174</v>
      </c>
      <c r="H317" s="0" t="s">
        <v>22</v>
      </c>
      <c r="I317" s="0" t="s">
        <v>1000</v>
      </c>
    </row>
    <row customHeight="1" ht="11.25">
      <c r="A318" s="1858" t="s">
        <v>2460</v>
      </c>
      <c r="B318" s="1858" t="s">
        <v>16</v>
      </c>
      <c r="C318" s="0" t="s">
        <v>2887</v>
      </c>
      <c r="D318" s="0" t="s">
        <v>2888</v>
      </c>
      <c r="E318" s="0" t="s">
        <v>2534</v>
      </c>
      <c r="F318" s="0" t="s">
        <v>2889</v>
      </c>
      <c r="G318" s="0" t="s">
        <v>22</v>
      </c>
      <c r="H318" s="0" t="s">
        <v>22</v>
      </c>
      <c r="I318" s="0" t="s">
        <v>1000</v>
      </c>
    </row>
    <row customHeight="1" ht="11.25">
      <c r="A319" s="1858" t="s">
        <v>2460</v>
      </c>
      <c r="B319" s="1858" t="s">
        <v>16</v>
      </c>
      <c r="C319" s="0" t="s">
        <v>2898</v>
      </c>
      <c r="D319" s="0" t="s">
        <v>2899</v>
      </c>
      <c r="E319" s="0" t="s">
        <v>2900</v>
      </c>
      <c r="F319" s="0" t="s">
        <v>2511</v>
      </c>
      <c r="G319" s="0" t="s">
        <v>2901</v>
      </c>
      <c r="H319" s="0" t="s">
        <v>22</v>
      </c>
      <c r="I319" s="0" t="s">
        <v>1000</v>
      </c>
    </row>
    <row customHeight="1" ht="11.25">
      <c r="A320" s="1858" t="s">
        <v>2460</v>
      </c>
      <c r="B320" s="1858" t="s">
        <v>16</v>
      </c>
      <c r="C320" s="0" t="s">
        <v>2975</v>
      </c>
      <c r="D320" s="0" t="s">
        <v>2976</v>
      </c>
      <c r="E320" s="0" t="s">
        <v>2977</v>
      </c>
      <c r="F320" s="0" t="s">
        <v>2978</v>
      </c>
      <c r="G320" s="0" t="s">
        <v>22</v>
      </c>
      <c r="H320" s="0" t="s">
        <v>22</v>
      </c>
      <c r="I320" s="0" t="s">
        <v>1000</v>
      </c>
    </row>
    <row customHeight="1" ht="11.25">
      <c r="A321" s="1858" t="s">
        <v>2460</v>
      </c>
      <c r="B321" s="1858" t="s">
        <v>16</v>
      </c>
      <c r="C321" s="0" t="s">
        <v>2982</v>
      </c>
      <c r="D321" s="0" t="s">
        <v>2983</v>
      </c>
      <c r="E321" s="0" t="s">
        <v>2984</v>
      </c>
      <c r="F321" s="0" t="s">
        <v>2985</v>
      </c>
      <c r="G321" s="0" t="s">
        <v>22</v>
      </c>
      <c r="H321" s="0" t="s">
        <v>22</v>
      </c>
      <c r="I321" s="0" t="s">
        <v>1000</v>
      </c>
    </row>
    <row customHeight="1" ht="11.25">
      <c r="A322" s="1858" t="s">
        <v>2460</v>
      </c>
      <c r="B322" s="1858" t="s">
        <v>16</v>
      </c>
      <c r="C322" s="0" t="s">
        <v>2990</v>
      </c>
      <c r="D322" s="0" t="s">
        <v>2991</v>
      </c>
      <c r="E322" s="0" t="s">
        <v>2992</v>
      </c>
      <c r="F322" s="0" t="s">
        <v>2719</v>
      </c>
      <c r="G322" s="0" t="s">
        <v>2993</v>
      </c>
      <c r="H322" s="0" t="s">
        <v>22</v>
      </c>
      <c r="I322" s="0" t="s">
        <v>1000</v>
      </c>
    </row>
    <row customHeight="1" ht="11.25">
      <c r="A323" s="1858" t="s">
        <v>2460</v>
      </c>
      <c r="B323" s="1858" t="s">
        <v>16</v>
      </c>
      <c r="C323" s="0" t="s">
        <v>2994</v>
      </c>
      <c r="D323" s="0" t="s">
        <v>2995</v>
      </c>
      <c r="E323" s="0" t="s">
        <v>2996</v>
      </c>
      <c r="F323" s="0" t="s">
        <v>2511</v>
      </c>
      <c r="G323" s="0" t="s">
        <v>22</v>
      </c>
      <c r="H323" s="0" t="s">
        <v>22</v>
      </c>
      <c r="I323" s="0" t="s">
        <v>1000</v>
      </c>
    </row>
    <row customHeight="1" ht="11.25">
      <c r="A324" s="1858" t="s">
        <v>2460</v>
      </c>
      <c r="B324" s="1858" t="s">
        <v>16</v>
      </c>
      <c r="C324" s="0" t="s">
        <v>3014</v>
      </c>
      <c r="D324" s="0" t="s">
        <v>3015</v>
      </c>
      <c r="E324" s="0" t="s">
        <v>2984</v>
      </c>
      <c r="F324" s="0" t="s">
        <v>3016</v>
      </c>
      <c r="G324" s="0" t="s">
        <v>22</v>
      </c>
      <c r="H324" s="0" t="s">
        <v>22</v>
      </c>
      <c r="I324" s="0" t="s">
        <v>1000</v>
      </c>
    </row>
    <row customHeight="1" ht="11.25">
      <c r="A325" s="1858" t="s">
        <v>2460</v>
      </c>
      <c r="B325" s="1858" t="s">
        <v>16</v>
      </c>
      <c r="C325" s="0" t="s">
        <v>3019</v>
      </c>
      <c r="D325" s="0" t="s">
        <v>3018</v>
      </c>
      <c r="E325" s="0" t="s">
        <v>2534</v>
      </c>
      <c r="F325" s="0" t="s">
        <v>3020</v>
      </c>
      <c r="G325" s="0" t="s">
        <v>2536</v>
      </c>
      <c r="H325" s="0" t="s">
        <v>22</v>
      </c>
      <c r="I325" s="0" t="s">
        <v>1000</v>
      </c>
    </row>
    <row customHeight="1" ht="11.25">
      <c r="A326" s="1858" t="s">
        <v>2460</v>
      </c>
      <c r="B326" s="1858" t="s">
        <v>16</v>
      </c>
      <c r="C326" s="0" t="s">
        <v>3021</v>
      </c>
      <c r="D326" s="0" t="s">
        <v>3022</v>
      </c>
      <c r="E326" s="0" t="s">
        <v>3023</v>
      </c>
      <c r="F326" s="0" t="s">
        <v>3024</v>
      </c>
      <c r="G326" s="0" t="s">
        <v>3025</v>
      </c>
      <c r="H326" s="0" t="s">
        <v>22</v>
      </c>
      <c r="I326" s="0" t="s">
        <v>1000</v>
      </c>
    </row>
    <row customHeight="1" ht="11.25">
      <c r="A327" s="1858" t="s">
        <v>2460</v>
      </c>
      <c r="B327" s="1858" t="s">
        <v>16</v>
      </c>
      <c r="C327" s="0" t="s">
        <v>22</v>
      </c>
      <c r="D327" s="0" t="s">
        <v>2530</v>
      </c>
      <c r="E327" s="0" t="s">
        <v>2531</v>
      </c>
      <c r="F327" s="0" t="s">
        <v>51</v>
      </c>
      <c r="G327" s="0" t="s">
        <v>22</v>
      </c>
      <c r="H327" s="0" t="s">
        <v>22</v>
      </c>
      <c r="I327" s="0" t="s">
        <v>1853</v>
      </c>
    </row>
    <row customHeight="1" ht="11.25">
      <c r="A328" s="1858" t="s">
        <v>2460</v>
      </c>
      <c r="B328" s="1858" t="s">
        <v>16</v>
      </c>
      <c r="C328" s="0" t="s">
        <v>3051</v>
      </c>
      <c r="D328" s="0" t="s">
        <v>3052</v>
      </c>
      <c r="E328" s="0" t="s">
        <v>3053</v>
      </c>
      <c r="F328" s="0" t="s">
        <v>599</v>
      </c>
      <c r="G328" s="0" t="s">
        <v>22</v>
      </c>
      <c r="H328" s="0" t="s">
        <v>22</v>
      </c>
      <c r="I328" s="0" t="s">
        <v>1853</v>
      </c>
    </row>
    <row customHeight="1" ht="11.25">
      <c r="A329" s="1858" t="s">
        <v>2460</v>
      </c>
      <c r="B329" s="1858" t="s">
        <v>16</v>
      </c>
      <c r="C329" s="0" t="s">
        <v>3179</v>
      </c>
      <c r="D329" s="0" t="s">
        <v>3180</v>
      </c>
      <c r="E329" s="0" t="s">
        <v>3181</v>
      </c>
      <c r="F329" s="0" t="s">
        <v>2797</v>
      </c>
      <c r="G329" s="0" t="s">
        <v>22</v>
      </c>
      <c r="H329" s="0" t="s">
        <v>3182</v>
      </c>
      <c r="I329" s="0" t="s">
        <v>1853</v>
      </c>
    </row>
    <row customHeight="1" ht="11.25">
      <c r="A330" s="1858" t="s">
        <v>2460</v>
      </c>
      <c r="B330" s="1858" t="s">
        <v>16</v>
      </c>
      <c r="C330" s="0" t="s">
        <v>3183</v>
      </c>
      <c r="D330" s="0" t="s">
        <v>3184</v>
      </c>
      <c r="E330" s="0" t="s">
        <v>3185</v>
      </c>
      <c r="F330" s="0" t="s">
        <v>51</v>
      </c>
      <c r="G330" s="0" t="s">
        <v>3186</v>
      </c>
      <c r="H330" s="0" t="s">
        <v>3187</v>
      </c>
      <c r="I330" s="0" t="s">
        <v>1853</v>
      </c>
    </row>
    <row customHeight="1" ht="11.25">
      <c r="A331" s="1858" t="s">
        <v>2460</v>
      </c>
      <c r="B331" s="1858" t="s">
        <v>16</v>
      </c>
      <c r="C331" s="0" t="s">
        <v>3142</v>
      </c>
      <c r="D331" s="0" t="s">
        <v>3139</v>
      </c>
      <c r="E331" s="0" t="s">
        <v>3143</v>
      </c>
      <c r="F331" s="0" t="s">
        <v>2703</v>
      </c>
      <c r="G331" s="0" t="s">
        <v>22</v>
      </c>
      <c r="H331" s="0" t="s">
        <v>22</v>
      </c>
      <c r="I331" s="0" t="s">
        <v>1853</v>
      </c>
    </row>
    <row customHeight="1" ht="11.25">
      <c r="A332" s="1858" t="s">
        <v>2460</v>
      </c>
      <c r="B332" s="1858" t="s">
        <v>16</v>
      </c>
      <c r="C332" s="0" t="s">
        <v>3144</v>
      </c>
      <c r="D332" s="0" t="s">
        <v>3145</v>
      </c>
      <c r="E332" s="0" t="s">
        <v>3146</v>
      </c>
      <c r="F332" s="0" t="s">
        <v>2784</v>
      </c>
      <c r="G332" s="0" t="s">
        <v>22</v>
      </c>
      <c r="H332" s="0" t="s">
        <v>22</v>
      </c>
      <c r="I332" s="0" t="s">
        <v>1853</v>
      </c>
    </row>
    <row customHeight="1" ht="11.25">
      <c r="A333" s="1858" t="s">
        <v>2460</v>
      </c>
      <c r="B333" s="1858" t="s">
        <v>16</v>
      </c>
      <c r="C333" s="0" t="s">
        <v>3188</v>
      </c>
      <c r="D333" s="0" t="s">
        <v>3189</v>
      </c>
      <c r="E333" s="0" t="s">
        <v>3190</v>
      </c>
      <c r="F333" s="0" t="s">
        <v>2506</v>
      </c>
      <c r="G333" s="0" t="s">
        <v>3191</v>
      </c>
      <c r="H333" s="0" t="s">
        <v>22</v>
      </c>
      <c r="I333" s="0" t="s">
        <v>1853</v>
      </c>
    </row>
    <row customHeight="1" ht="11.25">
      <c r="A334" s="1858" t="s">
        <v>2460</v>
      </c>
      <c r="B334" s="1858" t="s">
        <v>16</v>
      </c>
      <c r="C334" s="0" t="s">
        <v>3192</v>
      </c>
      <c r="D334" s="0" t="s">
        <v>3193</v>
      </c>
      <c r="E334" s="0" t="s">
        <v>3194</v>
      </c>
      <c r="F334" s="0" t="s">
        <v>2973</v>
      </c>
      <c r="G334" s="0" t="s">
        <v>22</v>
      </c>
      <c r="H334" s="0" t="s">
        <v>22</v>
      </c>
      <c r="I334" s="0" t="s">
        <v>1853</v>
      </c>
    </row>
    <row customHeight="1" ht="11.25">
      <c r="A335" s="1858" t="s">
        <v>2460</v>
      </c>
      <c r="B335" s="1858" t="s">
        <v>16</v>
      </c>
      <c r="C335" s="0" t="s">
        <v>3195</v>
      </c>
      <c r="D335" s="0" t="s">
        <v>3196</v>
      </c>
      <c r="E335" s="0" t="s">
        <v>3197</v>
      </c>
      <c r="F335" s="0" t="s">
        <v>2576</v>
      </c>
      <c r="G335" s="0" t="s">
        <v>3198</v>
      </c>
      <c r="H335" s="0" t="s">
        <v>22</v>
      </c>
      <c r="I335" s="0" t="s">
        <v>1853</v>
      </c>
    </row>
    <row customHeight="1" ht="11.25">
      <c r="A336" s="1858" t="s">
        <v>2460</v>
      </c>
      <c r="B336" s="1858" t="s">
        <v>16</v>
      </c>
      <c r="C336" s="0" t="s">
        <v>2726</v>
      </c>
      <c r="D336" s="0" t="s">
        <v>2727</v>
      </c>
      <c r="E336" s="0" t="s">
        <v>2728</v>
      </c>
      <c r="F336" s="0" t="s">
        <v>2511</v>
      </c>
      <c r="G336" s="0" t="s">
        <v>2729</v>
      </c>
      <c r="H336" s="0" t="s">
        <v>22</v>
      </c>
      <c r="I336" s="0" t="s">
        <v>1853</v>
      </c>
    </row>
    <row customHeight="1" ht="11.25">
      <c r="A337" s="1858" t="s">
        <v>2460</v>
      </c>
      <c r="B337" s="1858" t="s">
        <v>16</v>
      </c>
      <c r="C337" s="0" t="s">
        <v>3199</v>
      </c>
      <c r="D337" s="0" t="s">
        <v>3200</v>
      </c>
      <c r="E337" s="0" t="s">
        <v>3201</v>
      </c>
      <c r="F337" s="0" t="s">
        <v>2576</v>
      </c>
      <c r="G337" s="0" t="s">
        <v>3187</v>
      </c>
      <c r="H337" s="0" t="s">
        <v>22</v>
      </c>
      <c r="I337" s="0" t="s">
        <v>1853</v>
      </c>
    </row>
    <row customHeight="1" ht="11.25">
      <c r="A338" s="1858" t="s">
        <v>2460</v>
      </c>
      <c r="B338" s="1858" t="s">
        <v>16</v>
      </c>
      <c r="C338" s="0" t="s">
        <v>3202</v>
      </c>
      <c r="D338" s="0" t="s">
        <v>3203</v>
      </c>
      <c r="E338" s="0" t="s">
        <v>3204</v>
      </c>
      <c r="F338" s="0" t="s">
        <v>2797</v>
      </c>
      <c r="G338" s="0" t="s">
        <v>22</v>
      </c>
      <c r="H338" s="0" t="s">
        <v>22</v>
      </c>
      <c r="I338" s="0" t="s">
        <v>1853</v>
      </c>
    </row>
    <row customHeight="1" ht="11.25">
      <c r="A339" s="1858" t="s">
        <v>2460</v>
      </c>
      <c r="B339" s="1858" t="s">
        <v>16</v>
      </c>
      <c r="C339" s="0" t="s">
        <v>3205</v>
      </c>
      <c r="D339" s="0" t="s">
        <v>3206</v>
      </c>
      <c r="E339" s="0" t="s">
        <v>3207</v>
      </c>
      <c r="F339" s="0" t="s">
        <v>51</v>
      </c>
      <c r="G339" s="0" t="s">
        <v>3208</v>
      </c>
      <c r="H339" s="0" t="s">
        <v>22</v>
      </c>
      <c r="I339" s="0" t="s">
        <v>1853</v>
      </c>
    </row>
    <row customHeight="1" ht="11.25">
      <c r="A340" s="1858" t="s">
        <v>2460</v>
      </c>
      <c r="B340" s="1858" t="s">
        <v>16</v>
      </c>
      <c r="C340" s="0" t="s">
        <v>3209</v>
      </c>
      <c r="D340" s="0" t="s">
        <v>3210</v>
      </c>
      <c r="E340" s="0" t="s">
        <v>3211</v>
      </c>
      <c r="F340" s="0" t="s">
        <v>3212</v>
      </c>
      <c r="G340" s="0" t="s">
        <v>3213</v>
      </c>
      <c r="H340" s="0" t="s">
        <v>22</v>
      </c>
      <c r="I340" s="0" t="s">
        <v>1853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746AC-EBD8-C548-9368-1182A617C23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8" width="9.140625"/>
  </cols>
  <sheetData>
    <row customHeight="1" ht="11.25">
      <c r="A1" s="384" t="s">
        <v>3214</v>
      </c>
      <c r="B1" s="75" t="s">
        <v>3215</v>
      </c>
      <c r="C1" s="73" t="s">
        <v>3216</v>
      </c>
      <c r="D1" s="73" t="s">
        <v>3217</v>
      </c>
      <c r="E1" s="73" t="s">
        <v>3218</v>
      </c>
      <c r="F1" s="73" t="s">
        <v>3219</v>
      </c>
      <c r="G1" s="73" t="s">
        <v>3220</v>
      </c>
    </row>
    <row customHeight="1" ht="11.25">
      <c r="A2" s="384" t="s">
        <v>16</v>
      </c>
      <c r="B2" s="0" t="s">
        <v>3221</v>
      </c>
      <c r="C2" s="0" t="s">
        <v>3222</v>
      </c>
      <c r="D2" s="0" t="s">
        <v>3221</v>
      </c>
      <c r="E2" s="0" t="s">
        <v>3222</v>
      </c>
      <c r="F2" s="0" t="s">
        <v>3223</v>
      </c>
      <c r="G2" s="0" t="s">
        <v>120</v>
      </c>
    </row>
    <row customHeight="1" ht="11.25">
      <c r="A3" s="1858" t="s">
        <v>16</v>
      </c>
      <c r="B3" s="0" t="s">
        <v>3224</v>
      </c>
      <c r="C3" s="0" t="s">
        <v>3225</v>
      </c>
      <c r="D3" s="0" t="s">
        <v>3224</v>
      </c>
      <c r="E3" s="0" t="s">
        <v>3225</v>
      </c>
      <c r="F3" s="0" t="s">
        <v>3223</v>
      </c>
      <c r="G3" s="0" t="s">
        <v>104</v>
      </c>
    </row>
    <row customHeight="1" ht="11.25">
      <c r="A4" s="1858" t="s">
        <v>16</v>
      </c>
      <c r="B4" s="0" t="s">
        <v>3226</v>
      </c>
      <c r="C4" s="0" t="s">
        <v>3227</v>
      </c>
      <c r="D4" s="0" t="s">
        <v>3226</v>
      </c>
      <c r="E4" s="0" t="s">
        <v>3227</v>
      </c>
      <c r="F4" s="0" t="s">
        <v>3223</v>
      </c>
      <c r="G4" s="0" t="s">
        <v>91</v>
      </c>
    </row>
    <row customHeight="1" ht="11.25">
      <c r="A5" s="1858" t="s">
        <v>16</v>
      </c>
      <c r="B5" s="0" t="s">
        <v>3228</v>
      </c>
      <c r="C5" s="0" t="s">
        <v>3229</v>
      </c>
      <c r="D5" s="0" t="s">
        <v>3228</v>
      </c>
      <c r="E5" s="0" t="s">
        <v>3229</v>
      </c>
      <c r="F5" s="0" t="s">
        <v>3230</v>
      </c>
      <c r="G5" s="0" t="s">
        <v>92</v>
      </c>
    </row>
    <row customHeight="1" ht="11.25">
      <c r="A6" s="1858" t="s">
        <v>16</v>
      </c>
      <c r="B6" s="0" t="s">
        <v>3228</v>
      </c>
      <c r="C6" s="0" t="s">
        <v>3229</v>
      </c>
      <c r="D6" s="0" t="s">
        <v>3231</v>
      </c>
      <c r="E6" s="0" t="s">
        <v>3232</v>
      </c>
      <c r="F6" s="0" t="s">
        <v>3233</v>
      </c>
      <c r="G6" s="0" t="s">
        <v>121</v>
      </c>
    </row>
    <row customHeight="1" ht="11.25">
      <c r="A7" s="1858" t="s">
        <v>16</v>
      </c>
      <c r="B7" s="0" t="s">
        <v>3228</v>
      </c>
      <c r="C7" s="0" t="s">
        <v>3229</v>
      </c>
      <c r="D7" s="0" t="s">
        <v>3234</v>
      </c>
      <c r="E7" s="0" t="s">
        <v>3235</v>
      </c>
      <c r="F7" s="0" t="s">
        <v>3233</v>
      </c>
      <c r="G7" s="0" t="s">
        <v>93</v>
      </c>
    </row>
    <row customHeight="1" ht="11.25">
      <c r="A8" s="1858" t="s">
        <v>16</v>
      </c>
      <c r="B8" s="0" t="s">
        <v>3228</v>
      </c>
      <c r="C8" s="0" t="s">
        <v>3229</v>
      </c>
      <c r="D8" s="0" t="s">
        <v>3236</v>
      </c>
      <c r="E8" s="0" t="s">
        <v>3237</v>
      </c>
      <c r="F8" s="0" t="s">
        <v>3238</v>
      </c>
      <c r="G8" s="0" t="s">
        <v>94</v>
      </c>
    </row>
    <row customHeight="1" ht="11.25">
      <c r="A9" s="1858" t="s">
        <v>16</v>
      </c>
      <c r="B9" s="0" t="s">
        <v>3228</v>
      </c>
      <c r="C9" s="0" t="s">
        <v>3229</v>
      </c>
      <c r="D9" s="0" t="s">
        <v>3239</v>
      </c>
      <c r="E9" s="0" t="s">
        <v>3240</v>
      </c>
      <c r="F9" s="0" t="s">
        <v>3233</v>
      </c>
      <c r="G9" s="0" t="s">
        <v>122</v>
      </c>
    </row>
    <row customHeight="1" ht="11.25">
      <c r="A10" s="1858" t="s">
        <v>16</v>
      </c>
      <c r="B10" s="0" t="s">
        <v>3228</v>
      </c>
      <c r="C10" s="0" t="s">
        <v>3229</v>
      </c>
      <c r="D10" s="0" t="s">
        <v>3241</v>
      </c>
      <c r="E10" s="0" t="s">
        <v>3242</v>
      </c>
      <c r="F10" s="0" t="s">
        <v>3233</v>
      </c>
      <c r="G10" s="0" t="s">
        <v>164</v>
      </c>
    </row>
    <row customHeight="1" ht="11.25">
      <c r="A11" s="1858" t="s">
        <v>16</v>
      </c>
      <c r="B11" s="0" t="s">
        <v>3243</v>
      </c>
      <c r="C11" s="0" t="s">
        <v>3244</v>
      </c>
      <c r="D11" s="0" t="s">
        <v>3243</v>
      </c>
      <c r="E11" s="0" t="s">
        <v>3244</v>
      </c>
      <c r="F11" s="0" t="s">
        <v>3223</v>
      </c>
      <c r="G11" s="0" t="s">
        <v>165</v>
      </c>
    </row>
    <row customHeight="1" ht="11.25">
      <c r="A12" s="1858" t="s">
        <v>16</v>
      </c>
      <c r="B12" s="0" t="s">
        <v>3245</v>
      </c>
      <c r="C12" s="0" t="s">
        <v>3246</v>
      </c>
      <c r="D12" s="0" t="s">
        <v>3247</v>
      </c>
      <c r="E12" s="0" t="s">
        <v>3248</v>
      </c>
      <c r="F12" s="0" t="s">
        <v>3233</v>
      </c>
      <c r="G12" s="0" t="s">
        <v>166</v>
      </c>
    </row>
    <row customHeight="1" ht="11.25">
      <c r="A13" s="1858" t="s">
        <v>16</v>
      </c>
      <c r="B13" s="0" t="s">
        <v>3245</v>
      </c>
      <c r="C13" s="0" t="s">
        <v>3246</v>
      </c>
      <c r="D13" s="0" t="s">
        <v>3249</v>
      </c>
      <c r="E13" s="0" t="s">
        <v>3250</v>
      </c>
      <c r="F13" s="0" t="s">
        <v>3233</v>
      </c>
      <c r="G13" s="0" t="s">
        <v>167</v>
      </c>
    </row>
    <row customHeight="1" ht="11.25">
      <c r="A14" s="1858" t="s">
        <v>16</v>
      </c>
      <c r="B14" s="0" t="s">
        <v>3245</v>
      </c>
      <c r="C14" s="0" t="s">
        <v>3246</v>
      </c>
      <c r="D14" s="0" t="s">
        <v>3251</v>
      </c>
      <c r="E14" s="0" t="s">
        <v>3252</v>
      </c>
      <c r="F14" s="0" t="s">
        <v>3233</v>
      </c>
      <c r="G14" s="0" t="s">
        <v>168</v>
      </c>
    </row>
    <row customHeight="1" ht="11.25">
      <c r="A15" s="1858" t="s">
        <v>16</v>
      </c>
      <c r="B15" s="0" t="s">
        <v>3245</v>
      </c>
      <c r="C15" s="0" t="s">
        <v>3246</v>
      </c>
      <c r="D15" s="0" t="s">
        <v>3253</v>
      </c>
      <c r="E15" s="0" t="s">
        <v>3254</v>
      </c>
      <c r="F15" s="0" t="s">
        <v>3255</v>
      </c>
      <c r="G15" s="0" t="s">
        <v>169</v>
      </c>
    </row>
    <row customHeight="1" ht="11.25">
      <c r="A16" s="1858" t="s">
        <v>16</v>
      </c>
      <c r="B16" s="0" t="s">
        <v>3245</v>
      </c>
      <c r="C16" s="0" t="s">
        <v>3246</v>
      </c>
      <c r="D16" s="0" t="s">
        <v>3245</v>
      </c>
      <c r="E16" s="0" t="s">
        <v>3246</v>
      </c>
      <c r="F16" s="0" t="s">
        <v>3230</v>
      </c>
      <c r="G16" s="0" t="s">
        <v>1165</v>
      </c>
    </row>
    <row customHeight="1" ht="11.25">
      <c r="A17" s="1858" t="s">
        <v>16</v>
      </c>
      <c r="B17" s="0" t="s">
        <v>3245</v>
      </c>
      <c r="C17" s="0" t="s">
        <v>3246</v>
      </c>
      <c r="D17" s="0" t="s">
        <v>3256</v>
      </c>
      <c r="E17" s="0" t="s">
        <v>3257</v>
      </c>
      <c r="F17" s="0" t="s">
        <v>3233</v>
      </c>
      <c r="G17" s="0" t="s">
        <v>1167</v>
      </c>
    </row>
    <row customHeight="1" ht="11.25">
      <c r="A18" s="1858" t="s">
        <v>16</v>
      </c>
      <c r="B18" s="0" t="s">
        <v>3245</v>
      </c>
      <c r="C18" s="0" t="s">
        <v>3246</v>
      </c>
      <c r="D18" s="0" t="s">
        <v>3258</v>
      </c>
      <c r="E18" s="0" t="s">
        <v>3259</v>
      </c>
      <c r="F18" s="0" t="s">
        <v>3233</v>
      </c>
      <c r="G18" s="0" t="s">
        <v>1172</v>
      </c>
    </row>
    <row customHeight="1" ht="11.25">
      <c r="A19" s="1858" t="s">
        <v>16</v>
      </c>
      <c r="B19" s="0" t="s">
        <v>3245</v>
      </c>
      <c r="C19" s="0" t="s">
        <v>3246</v>
      </c>
      <c r="D19" s="0" t="s">
        <v>3260</v>
      </c>
      <c r="E19" s="0" t="s">
        <v>3261</v>
      </c>
      <c r="F19" s="0" t="s">
        <v>3233</v>
      </c>
      <c r="G19" s="0" t="s">
        <v>1177</v>
      </c>
    </row>
    <row customHeight="1" ht="11.25">
      <c r="A20" s="1858" t="s">
        <v>16</v>
      </c>
      <c r="B20" s="0" t="s">
        <v>3245</v>
      </c>
      <c r="C20" s="0" t="s">
        <v>3246</v>
      </c>
      <c r="D20" s="0" t="s">
        <v>3262</v>
      </c>
      <c r="E20" s="0" t="s">
        <v>3263</v>
      </c>
      <c r="F20" s="0" t="s">
        <v>3233</v>
      </c>
      <c r="G20" s="0" t="s">
        <v>1179</v>
      </c>
    </row>
    <row customHeight="1" ht="11.25">
      <c r="A21" s="1858" t="s">
        <v>16</v>
      </c>
      <c r="B21" s="0" t="s">
        <v>3245</v>
      </c>
      <c r="C21" s="0" t="s">
        <v>3246</v>
      </c>
      <c r="D21" s="0" t="s">
        <v>3264</v>
      </c>
      <c r="E21" s="0" t="s">
        <v>3265</v>
      </c>
      <c r="F21" s="0" t="s">
        <v>3233</v>
      </c>
      <c r="G21" s="0" t="s">
        <v>1186</v>
      </c>
    </row>
    <row customHeight="1" ht="11.25">
      <c r="A22" s="1858" t="s">
        <v>16</v>
      </c>
      <c r="B22" s="0" t="s">
        <v>3245</v>
      </c>
      <c r="C22" s="0" t="s">
        <v>3246</v>
      </c>
      <c r="D22" s="0" t="s">
        <v>3266</v>
      </c>
      <c r="E22" s="0" t="s">
        <v>3267</v>
      </c>
      <c r="F22" s="0" t="s">
        <v>3233</v>
      </c>
      <c r="G22" s="0" t="s">
        <v>1192</v>
      </c>
    </row>
    <row customHeight="1" ht="11.25">
      <c r="A23" s="1858" t="s">
        <v>16</v>
      </c>
      <c r="B23" s="0" t="s">
        <v>3245</v>
      </c>
      <c r="C23" s="0" t="s">
        <v>3246</v>
      </c>
      <c r="D23" s="0" t="s">
        <v>3268</v>
      </c>
      <c r="E23" s="0" t="s">
        <v>3269</v>
      </c>
      <c r="F23" s="0" t="s">
        <v>3233</v>
      </c>
      <c r="G23" s="0" t="s">
        <v>1196</v>
      </c>
    </row>
    <row customHeight="1" ht="11.25">
      <c r="A24" s="1858" t="s">
        <v>16</v>
      </c>
      <c r="B24" s="0" t="s">
        <v>3245</v>
      </c>
      <c r="C24" s="0" t="s">
        <v>3246</v>
      </c>
      <c r="D24" s="0" t="s">
        <v>3270</v>
      </c>
      <c r="E24" s="0" t="s">
        <v>3271</v>
      </c>
      <c r="F24" s="0" t="s">
        <v>3233</v>
      </c>
      <c r="G24" s="0" t="s">
        <v>1197</v>
      </c>
    </row>
    <row customHeight="1" ht="11.25">
      <c r="A25" s="1858" t="s">
        <v>16</v>
      </c>
      <c r="B25" s="0" t="s">
        <v>3245</v>
      </c>
      <c r="C25" s="0" t="s">
        <v>3246</v>
      </c>
      <c r="D25" s="0" t="s">
        <v>3272</v>
      </c>
      <c r="E25" s="0" t="s">
        <v>3273</v>
      </c>
      <c r="F25" s="0" t="s">
        <v>3233</v>
      </c>
      <c r="G25" s="0" t="s">
        <v>1199</v>
      </c>
    </row>
    <row customHeight="1" ht="11.25">
      <c r="A26" s="1858" t="s">
        <v>16</v>
      </c>
      <c r="B26" s="0" t="s">
        <v>3245</v>
      </c>
      <c r="C26" s="0" t="s">
        <v>3246</v>
      </c>
      <c r="D26" s="0" t="s">
        <v>3274</v>
      </c>
      <c r="E26" s="0" t="s">
        <v>3275</v>
      </c>
      <c r="F26" s="0" t="s">
        <v>3233</v>
      </c>
      <c r="G26" s="0" t="s">
        <v>1201</v>
      </c>
    </row>
    <row customHeight="1" ht="11.25">
      <c r="A27" s="1858" t="s">
        <v>16</v>
      </c>
      <c r="B27" s="0" t="s">
        <v>3245</v>
      </c>
      <c r="C27" s="0" t="s">
        <v>3246</v>
      </c>
      <c r="D27" s="0" t="s">
        <v>3276</v>
      </c>
      <c r="E27" s="0" t="s">
        <v>3277</v>
      </c>
      <c r="F27" s="0" t="s">
        <v>3233</v>
      </c>
      <c r="G27" s="0" t="s">
        <v>1204</v>
      </c>
    </row>
    <row customHeight="1" ht="11.25">
      <c r="A28" s="1858" t="s">
        <v>16</v>
      </c>
      <c r="B28" s="0" t="s">
        <v>3245</v>
      </c>
      <c r="C28" s="0" t="s">
        <v>3246</v>
      </c>
      <c r="D28" s="0" t="s">
        <v>3278</v>
      </c>
      <c r="E28" s="0" t="s">
        <v>3279</v>
      </c>
      <c r="F28" s="0" t="s">
        <v>3233</v>
      </c>
      <c r="G28" s="0" t="s">
        <v>1206</v>
      </c>
    </row>
    <row customHeight="1" ht="11.25">
      <c r="A29" s="1858" t="s">
        <v>16</v>
      </c>
      <c r="B29" s="0" t="s">
        <v>3245</v>
      </c>
      <c r="C29" s="0" t="s">
        <v>3246</v>
      </c>
      <c r="D29" s="0" t="s">
        <v>3280</v>
      </c>
      <c r="E29" s="0" t="s">
        <v>3281</v>
      </c>
      <c r="F29" s="0" t="s">
        <v>3233</v>
      </c>
      <c r="G29" s="0" t="s">
        <v>1208</v>
      </c>
    </row>
    <row customHeight="1" ht="11.25">
      <c r="A30" s="1858" t="s">
        <v>16</v>
      </c>
      <c r="B30" s="0" t="s">
        <v>3245</v>
      </c>
      <c r="C30" s="0" t="s">
        <v>3246</v>
      </c>
      <c r="D30" s="0" t="s">
        <v>3282</v>
      </c>
      <c r="E30" s="0" t="s">
        <v>3283</v>
      </c>
      <c r="F30" s="0" t="s">
        <v>3233</v>
      </c>
      <c r="G30" s="0" t="s">
        <v>1212</v>
      </c>
    </row>
    <row customHeight="1" ht="11.25">
      <c r="A31" s="1858" t="s">
        <v>16</v>
      </c>
      <c r="B31" s="0" t="s">
        <v>3245</v>
      </c>
      <c r="C31" s="0" t="s">
        <v>3246</v>
      </c>
      <c r="D31" s="0" t="s">
        <v>3284</v>
      </c>
      <c r="E31" s="0" t="s">
        <v>3285</v>
      </c>
      <c r="F31" s="0" t="s">
        <v>3233</v>
      </c>
      <c r="G31" s="0" t="s">
        <v>1215</v>
      </c>
    </row>
    <row customHeight="1" ht="11.25">
      <c r="A32" s="1858" t="s">
        <v>16</v>
      </c>
      <c r="B32" s="0" t="s">
        <v>3245</v>
      </c>
      <c r="C32" s="0" t="s">
        <v>3246</v>
      </c>
      <c r="D32" s="0" t="s">
        <v>3286</v>
      </c>
      <c r="E32" s="0" t="s">
        <v>3287</v>
      </c>
      <c r="F32" s="0" t="s">
        <v>3233</v>
      </c>
      <c r="G32" s="0" t="s">
        <v>1217</v>
      </c>
    </row>
    <row customHeight="1" ht="11.25">
      <c r="A33" s="1858" t="s">
        <v>16</v>
      </c>
      <c r="B33" s="0" t="s">
        <v>3245</v>
      </c>
      <c r="C33" s="0" t="s">
        <v>3246</v>
      </c>
      <c r="D33" s="0" t="s">
        <v>3288</v>
      </c>
      <c r="E33" s="0" t="s">
        <v>3289</v>
      </c>
      <c r="F33" s="0" t="s">
        <v>3233</v>
      </c>
      <c r="G33" s="0" t="s">
        <v>1219</v>
      </c>
    </row>
    <row customHeight="1" ht="11.25">
      <c r="A34" s="1858" t="s">
        <v>16</v>
      </c>
      <c r="B34" s="0" t="s">
        <v>3245</v>
      </c>
      <c r="C34" s="0" t="s">
        <v>3246</v>
      </c>
      <c r="D34" s="0" t="s">
        <v>3290</v>
      </c>
      <c r="E34" s="0" t="s">
        <v>3291</v>
      </c>
      <c r="F34" s="0" t="s">
        <v>3233</v>
      </c>
      <c r="G34" s="0" t="s">
        <v>1379</v>
      </c>
    </row>
    <row customHeight="1" ht="11.25">
      <c r="A35" s="1858" t="s">
        <v>16</v>
      </c>
      <c r="B35" s="0" t="s">
        <v>3245</v>
      </c>
      <c r="C35" s="0" t="s">
        <v>3246</v>
      </c>
      <c r="D35" s="0" t="s">
        <v>3292</v>
      </c>
      <c r="E35" s="0" t="s">
        <v>3293</v>
      </c>
      <c r="F35" s="0" t="s">
        <v>3233</v>
      </c>
      <c r="G35" s="0" t="s">
        <v>1381</v>
      </c>
    </row>
    <row customHeight="1" ht="11.25">
      <c r="A36" s="1858" t="s">
        <v>16</v>
      </c>
      <c r="B36" s="0" t="s">
        <v>3294</v>
      </c>
      <c r="C36" s="0" t="s">
        <v>3295</v>
      </c>
      <c r="D36" s="0" t="s">
        <v>3294</v>
      </c>
      <c r="E36" s="0" t="s">
        <v>3295</v>
      </c>
      <c r="F36" s="0" t="s">
        <v>3223</v>
      </c>
      <c r="G36" s="0" t="s">
        <v>1383</v>
      </c>
    </row>
    <row customHeight="1" ht="11.25">
      <c r="A37" s="1858" t="s">
        <v>16</v>
      </c>
      <c r="B37" s="0" t="s">
        <v>3296</v>
      </c>
      <c r="C37" s="0" t="s">
        <v>3297</v>
      </c>
      <c r="D37" s="0" t="s">
        <v>3296</v>
      </c>
      <c r="E37" s="0" t="s">
        <v>3297</v>
      </c>
      <c r="F37" s="0" t="s">
        <v>3223</v>
      </c>
      <c r="G37" s="0" t="s">
        <v>1384</v>
      </c>
    </row>
    <row customHeight="1" ht="11.25">
      <c r="A38" s="1858" t="s">
        <v>16</v>
      </c>
      <c r="B38" s="0" t="s">
        <v>3298</v>
      </c>
      <c r="C38" s="0" t="s">
        <v>3299</v>
      </c>
      <c r="D38" s="0" t="s">
        <v>3298</v>
      </c>
      <c r="E38" s="0" t="s">
        <v>3299</v>
      </c>
      <c r="F38" s="0" t="s">
        <v>3223</v>
      </c>
      <c r="G38" s="0" t="s">
        <v>1385</v>
      </c>
    </row>
    <row customHeight="1" ht="11.25">
      <c r="A39" s="1858" t="s">
        <v>16</v>
      </c>
      <c r="B39" s="0" t="s">
        <v>3300</v>
      </c>
      <c r="C39" s="0" t="s">
        <v>3301</v>
      </c>
      <c r="D39" s="0" t="s">
        <v>3302</v>
      </c>
      <c r="E39" s="0" t="s">
        <v>3303</v>
      </c>
      <c r="F39" s="0" t="s">
        <v>3233</v>
      </c>
      <c r="G39" s="0" t="s">
        <v>1386</v>
      </c>
    </row>
    <row customHeight="1" ht="11.25">
      <c r="A40" s="1858" t="s">
        <v>16</v>
      </c>
      <c r="B40" s="0" t="s">
        <v>3300</v>
      </c>
      <c r="C40" s="0" t="s">
        <v>3301</v>
      </c>
      <c r="D40" s="0" t="s">
        <v>3304</v>
      </c>
      <c r="E40" s="0" t="s">
        <v>3305</v>
      </c>
      <c r="F40" s="0" t="s">
        <v>3233</v>
      </c>
      <c r="G40" s="0" t="s">
        <v>1854</v>
      </c>
    </row>
    <row customHeight="1" ht="11.25">
      <c r="A41" s="1858" t="s">
        <v>16</v>
      </c>
      <c r="B41" s="0" t="s">
        <v>3300</v>
      </c>
      <c r="C41" s="0" t="s">
        <v>3301</v>
      </c>
      <c r="D41" s="0" t="s">
        <v>3306</v>
      </c>
      <c r="E41" s="0" t="s">
        <v>3307</v>
      </c>
      <c r="F41" s="0" t="s">
        <v>3233</v>
      </c>
      <c r="G41" s="0" t="s">
        <v>1858</v>
      </c>
    </row>
    <row customHeight="1" ht="11.25">
      <c r="A42" s="1858" t="s">
        <v>16</v>
      </c>
      <c r="B42" s="0" t="s">
        <v>3300</v>
      </c>
      <c r="C42" s="0" t="s">
        <v>3301</v>
      </c>
      <c r="D42" s="0" t="s">
        <v>3308</v>
      </c>
      <c r="E42" s="0" t="s">
        <v>3309</v>
      </c>
      <c r="F42" s="0" t="s">
        <v>3233</v>
      </c>
      <c r="G42" s="0" t="s">
        <v>1861</v>
      </c>
    </row>
    <row customHeight="1" ht="11.25">
      <c r="A43" s="1858" t="s">
        <v>16</v>
      </c>
      <c r="B43" s="0" t="s">
        <v>3300</v>
      </c>
      <c r="C43" s="0" t="s">
        <v>3301</v>
      </c>
      <c r="D43" s="0" t="s">
        <v>3310</v>
      </c>
      <c r="E43" s="0" t="s">
        <v>3311</v>
      </c>
      <c r="F43" s="0" t="s">
        <v>3233</v>
      </c>
      <c r="G43" s="0" t="s">
        <v>1868</v>
      </c>
    </row>
    <row customHeight="1" ht="11.25">
      <c r="A44" s="1858" t="s">
        <v>16</v>
      </c>
      <c r="B44" s="0" t="s">
        <v>3300</v>
      </c>
      <c r="C44" s="0" t="s">
        <v>3301</v>
      </c>
      <c r="D44" s="0" t="s">
        <v>3312</v>
      </c>
      <c r="E44" s="0" t="s">
        <v>3313</v>
      </c>
      <c r="F44" s="0" t="s">
        <v>3255</v>
      </c>
      <c r="G44" s="0" t="s">
        <v>1877</v>
      </c>
    </row>
    <row customHeight="1" ht="11.25">
      <c r="A45" s="1858" t="s">
        <v>16</v>
      </c>
      <c r="B45" s="0" t="s">
        <v>3300</v>
      </c>
      <c r="C45" s="0" t="s">
        <v>3301</v>
      </c>
      <c r="D45" s="0" t="s">
        <v>3314</v>
      </c>
      <c r="E45" s="0" t="s">
        <v>3315</v>
      </c>
      <c r="F45" s="0" t="s">
        <v>3233</v>
      </c>
      <c r="G45" s="0" t="s">
        <v>1882</v>
      </c>
    </row>
    <row customHeight="1" ht="11.25">
      <c r="A46" s="1858" t="s">
        <v>16</v>
      </c>
      <c r="B46" s="0" t="s">
        <v>3300</v>
      </c>
      <c r="C46" s="0" t="s">
        <v>3301</v>
      </c>
      <c r="D46" s="0" t="s">
        <v>3300</v>
      </c>
      <c r="E46" s="0" t="s">
        <v>3301</v>
      </c>
      <c r="F46" s="0" t="s">
        <v>3230</v>
      </c>
      <c r="G46" s="0" t="s">
        <v>1886</v>
      </c>
    </row>
    <row customHeight="1" ht="11.25">
      <c r="A47" s="1858" t="s">
        <v>16</v>
      </c>
      <c r="B47" s="0" t="s">
        <v>3300</v>
      </c>
      <c r="C47" s="0" t="s">
        <v>3301</v>
      </c>
      <c r="D47" s="0" t="s">
        <v>3316</v>
      </c>
      <c r="E47" s="0" t="s">
        <v>3317</v>
      </c>
      <c r="F47" s="0" t="s">
        <v>3233</v>
      </c>
      <c r="G47" s="0" t="s">
        <v>1891</v>
      </c>
    </row>
    <row customHeight="1" ht="11.25">
      <c r="A48" s="1858" t="s">
        <v>16</v>
      </c>
      <c r="B48" s="0" t="s">
        <v>3300</v>
      </c>
      <c r="C48" s="0" t="s">
        <v>3301</v>
      </c>
      <c r="D48" s="0" t="s">
        <v>3318</v>
      </c>
      <c r="E48" s="0" t="s">
        <v>3319</v>
      </c>
      <c r="F48" s="0" t="s">
        <v>3233</v>
      </c>
      <c r="G48" s="0" t="s">
        <v>1896</v>
      </c>
    </row>
    <row customHeight="1" ht="11.25">
      <c r="A49" s="1858" t="s">
        <v>16</v>
      </c>
      <c r="B49" s="0" t="s">
        <v>3300</v>
      </c>
      <c r="C49" s="0" t="s">
        <v>3301</v>
      </c>
      <c r="D49" s="0" t="s">
        <v>3320</v>
      </c>
      <c r="E49" s="0" t="s">
        <v>3321</v>
      </c>
      <c r="F49" s="0" t="s">
        <v>3233</v>
      </c>
      <c r="G49" s="0" t="s">
        <v>1899</v>
      </c>
    </row>
    <row customHeight="1" ht="11.25">
      <c r="A50" s="1858" t="s">
        <v>16</v>
      </c>
      <c r="B50" s="0" t="s">
        <v>3300</v>
      </c>
      <c r="C50" s="0" t="s">
        <v>3301</v>
      </c>
      <c r="D50" s="0" t="s">
        <v>3322</v>
      </c>
      <c r="E50" s="0" t="s">
        <v>3323</v>
      </c>
      <c r="F50" s="0" t="s">
        <v>3233</v>
      </c>
      <c r="G50" s="0" t="s">
        <v>1903</v>
      </c>
    </row>
    <row customHeight="1" ht="11.25">
      <c r="A51" s="1858" t="s">
        <v>16</v>
      </c>
      <c r="B51" s="0" t="s">
        <v>3300</v>
      </c>
      <c r="C51" s="0" t="s">
        <v>3301</v>
      </c>
      <c r="D51" s="0" t="s">
        <v>3324</v>
      </c>
      <c r="E51" s="0" t="s">
        <v>3325</v>
      </c>
      <c r="F51" s="0" t="s">
        <v>3233</v>
      </c>
      <c r="G51" s="0" t="s">
        <v>1908</v>
      </c>
    </row>
    <row customHeight="1" ht="11.25">
      <c r="A52" s="1858" t="s">
        <v>16</v>
      </c>
      <c r="B52" s="0" t="s">
        <v>3300</v>
      </c>
      <c r="C52" s="0" t="s">
        <v>3301</v>
      </c>
      <c r="D52" s="0" t="s">
        <v>3326</v>
      </c>
      <c r="E52" s="0" t="s">
        <v>3327</v>
      </c>
      <c r="F52" s="0" t="s">
        <v>3233</v>
      </c>
      <c r="G52" s="0" t="s">
        <v>1912</v>
      </c>
    </row>
    <row customHeight="1" ht="11.25">
      <c r="A53" s="1858" t="s">
        <v>16</v>
      </c>
      <c r="B53" s="0" t="s">
        <v>3328</v>
      </c>
      <c r="C53" s="0" t="s">
        <v>3329</v>
      </c>
      <c r="D53" s="0" t="s">
        <v>3328</v>
      </c>
      <c r="E53" s="0" t="s">
        <v>3329</v>
      </c>
      <c r="F53" s="0" t="s">
        <v>3223</v>
      </c>
      <c r="G53" s="0" t="s">
        <v>1914</v>
      </c>
    </row>
    <row customHeight="1" ht="11.25">
      <c r="A54" s="1858" t="s">
        <v>16</v>
      </c>
      <c r="B54" s="0" t="s">
        <v>3330</v>
      </c>
      <c r="C54" s="0" t="s">
        <v>3331</v>
      </c>
      <c r="D54" s="0" t="s">
        <v>3330</v>
      </c>
      <c r="E54" s="0" t="s">
        <v>3331</v>
      </c>
      <c r="F54" s="0" t="s">
        <v>3223</v>
      </c>
      <c r="G54" s="0" t="s">
        <v>1917</v>
      </c>
    </row>
    <row customHeight="1" ht="11.25">
      <c r="A55" s="1858" t="s">
        <v>16</v>
      </c>
      <c r="B55" s="0" t="s">
        <v>3332</v>
      </c>
      <c r="C55" s="0" t="s">
        <v>3333</v>
      </c>
      <c r="D55" s="0" t="s">
        <v>3332</v>
      </c>
      <c r="E55" s="0" t="s">
        <v>3333</v>
      </c>
      <c r="F55" s="0" t="s">
        <v>3223</v>
      </c>
      <c r="G55" s="0" t="s">
        <v>1922</v>
      </c>
    </row>
    <row customHeight="1" ht="11.25">
      <c r="A56" s="1858" t="s">
        <v>16</v>
      </c>
      <c r="B56" s="0" t="s">
        <v>3334</v>
      </c>
      <c r="C56" s="0" t="s">
        <v>3335</v>
      </c>
      <c r="D56" s="0" t="s">
        <v>3334</v>
      </c>
      <c r="E56" s="0" t="s">
        <v>3335</v>
      </c>
      <c r="F56" s="0" t="s">
        <v>3223</v>
      </c>
      <c r="G56" s="0" t="s">
        <v>1926</v>
      </c>
    </row>
    <row customHeight="1" ht="11.25">
      <c r="A57" s="1858" t="s">
        <v>16</v>
      </c>
      <c r="B57" s="0" t="s">
        <v>3336</v>
      </c>
      <c r="C57" s="0" t="s">
        <v>3337</v>
      </c>
      <c r="D57" s="0" t="s">
        <v>3336</v>
      </c>
      <c r="E57" s="0" t="s">
        <v>3337</v>
      </c>
      <c r="F57" s="0" t="s">
        <v>3223</v>
      </c>
      <c r="G57" s="0" t="s">
        <v>1929</v>
      </c>
    </row>
    <row customHeight="1" ht="11.25">
      <c r="A58" s="1858" t="s">
        <v>16</v>
      </c>
      <c r="B58" s="0" t="s">
        <v>3338</v>
      </c>
      <c r="C58" s="0" t="s">
        <v>3339</v>
      </c>
      <c r="D58" s="0" t="s">
        <v>3338</v>
      </c>
      <c r="E58" s="0" t="s">
        <v>3339</v>
      </c>
      <c r="F58" s="0" t="s">
        <v>3223</v>
      </c>
      <c r="G58" s="0" t="s">
        <v>1932</v>
      </c>
    </row>
    <row customHeight="1" ht="11.25">
      <c r="A59" s="1858" t="s">
        <v>16</v>
      </c>
      <c r="B59" s="0" t="s">
        <v>3340</v>
      </c>
      <c r="C59" s="0" t="s">
        <v>3341</v>
      </c>
      <c r="D59" s="0" t="s">
        <v>3340</v>
      </c>
      <c r="E59" s="0" t="s">
        <v>3341</v>
      </c>
      <c r="F59" s="0" t="s">
        <v>3223</v>
      </c>
      <c r="G59" s="0" t="s">
        <v>1936</v>
      </c>
    </row>
    <row customHeight="1" ht="11.25">
      <c r="A60" s="1858" t="s">
        <v>16</v>
      </c>
      <c r="B60" s="0" t="s">
        <v>3342</v>
      </c>
      <c r="C60" s="0" t="s">
        <v>3343</v>
      </c>
      <c r="D60" s="0" t="s">
        <v>3342</v>
      </c>
      <c r="E60" s="0" t="s">
        <v>3343</v>
      </c>
      <c r="F60" s="0" t="s">
        <v>3223</v>
      </c>
      <c r="G60" s="0" t="s">
        <v>1939</v>
      </c>
    </row>
    <row customHeight="1" ht="11.25">
      <c r="A61" s="1858" t="s">
        <v>16</v>
      </c>
      <c r="B61" s="0" t="s">
        <v>3344</v>
      </c>
      <c r="C61" s="0" t="s">
        <v>3345</v>
      </c>
      <c r="D61" s="0" t="s">
        <v>3344</v>
      </c>
      <c r="E61" s="0" t="s">
        <v>3345</v>
      </c>
      <c r="F61" s="0" t="s">
        <v>3223</v>
      </c>
      <c r="G61" s="0" t="s">
        <v>3346</v>
      </c>
    </row>
    <row customHeight="1" ht="11.25">
      <c r="A62" s="1858" t="s">
        <v>16</v>
      </c>
      <c r="B62" s="0" t="s">
        <v>3347</v>
      </c>
      <c r="C62" s="0" t="s">
        <v>3348</v>
      </c>
      <c r="D62" s="0" t="s">
        <v>3349</v>
      </c>
      <c r="E62" s="0" t="s">
        <v>3350</v>
      </c>
      <c r="F62" s="0" t="s">
        <v>3233</v>
      </c>
      <c r="G62" s="0" t="s">
        <v>3351</v>
      </c>
    </row>
    <row customHeight="1" ht="11.25">
      <c r="A63" s="1858" t="s">
        <v>16</v>
      </c>
      <c r="B63" s="0" t="s">
        <v>3347</v>
      </c>
      <c r="C63" s="0" t="s">
        <v>3348</v>
      </c>
      <c r="D63" s="0" t="s">
        <v>3352</v>
      </c>
      <c r="E63" s="0" t="s">
        <v>3353</v>
      </c>
      <c r="F63" s="0" t="s">
        <v>3233</v>
      </c>
      <c r="G63" s="0" t="s">
        <v>3354</v>
      </c>
    </row>
    <row customHeight="1" ht="11.25">
      <c r="A64" s="1858" t="s">
        <v>16</v>
      </c>
      <c r="B64" s="0" t="s">
        <v>3347</v>
      </c>
      <c r="C64" s="0" t="s">
        <v>3348</v>
      </c>
      <c r="D64" s="0" t="s">
        <v>3355</v>
      </c>
      <c r="E64" s="0" t="s">
        <v>3356</v>
      </c>
      <c r="F64" s="0" t="s">
        <v>3233</v>
      </c>
      <c r="G64" s="0" t="s">
        <v>3357</v>
      </c>
    </row>
    <row customHeight="1" ht="11.25">
      <c r="A65" s="1858" t="s">
        <v>16</v>
      </c>
      <c r="B65" s="0" t="s">
        <v>3347</v>
      </c>
      <c r="C65" s="0" t="s">
        <v>3348</v>
      </c>
      <c r="D65" s="0" t="s">
        <v>3358</v>
      </c>
      <c r="E65" s="0" t="s">
        <v>3359</v>
      </c>
      <c r="F65" s="0" t="s">
        <v>3233</v>
      </c>
      <c r="G65" s="0" t="s">
        <v>3360</v>
      </c>
    </row>
    <row customHeight="1" ht="11.25">
      <c r="A66" s="1858" t="s">
        <v>16</v>
      </c>
      <c r="B66" s="0" t="s">
        <v>3347</v>
      </c>
      <c r="C66" s="0" t="s">
        <v>3348</v>
      </c>
      <c r="D66" s="0" t="s">
        <v>3361</v>
      </c>
      <c r="E66" s="0" t="s">
        <v>3362</v>
      </c>
      <c r="F66" s="0" t="s">
        <v>3233</v>
      </c>
      <c r="G66" s="0" t="s">
        <v>3363</v>
      </c>
    </row>
    <row customHeight="1" ht="11.25">
      <c r="A67" s="1858" t="s">
        <v>16</v>
      </c>
      <c r="B67" s="0" t="s">
        <v>3347</v>
      </c>
      <c r="C67" s="0" t="s">
        <v>3348</v>
      </c>
      <c r="D67" s="0" t="s">
        <v>3364</v>
      </c>
      <c r="E67" s="0" t="s">
        <v>3365</v>
      </c>
      <c r="F67" s="0" t="s">
        <v>3233</v>
      </c>
      <c r="G67" s="0" t="s">
        <v>2237</v>
      </c>
    </row>
    <row customHeight="1" ht="11.25">
      <c r="A68" s="1858" t="s">
        <v>16</v>
      </c>
      <c r="B68" s="0" t="s">
        <v>3347</v>
      </c>
      <c r="C68" s="0" t="s">
        <v>3348</v>
      </c>
      <c r="D68" s="0" t="s">
        <v>3366</v>
      </c>
      <c r="E68" s="0" t="s">
        <v>3367</v>
      </c>
      <c r="F68" s="0" t="s">
        <v>3233</v>
      </c>
      <c r="G68" s="0" t="s">
        <v>3368</v>
      </c>
    </row>
    <row customHeight="1" ht="11.25">
      <c r="A69" s="1858" t="s">
        <v>16</v>
      </c>
      <c r="B69" s="0" t="s">
        <v>3347</v>
      </c>
      <c r="C69" s="0" t="s">
        <v>3348</v>
      </c>
      <c r="D69" s="0" t="s">
        <v>3369</v>
      </c>
      <c r="E69" s="0" t="s">
        <v>3370</v>
      </c>
      <c r="F69" s="0" t="s">
        <v>3233</v>
      </c>
      <c r="G69" s="0" t="s">
        <v>2437</v>
      </c>
    </row>
    <row customHeight="1" ht="11.25">
      <c r="A70" s="1858" t="s">
        <v>16</v>
      </c>
      <c r="B70" s="0" t="s">
        <v>3347</v>
      </c>
      <c r="C70" s="0" t="s">
        <v>3348</v>
      </c>
      <c r="D70" s="0" t="s">
        <v>3371</v>
      </c>
      <c r="E70" s="0" t="s">
        <v>3372</v>
      </c>
      <c r="F70" s="0" t="s">
        <v>3233</v>
      </c>
      <c r="G70" s="0" t="s">
        <v>3373</v>
      </c>
    </row>
    <row customHeight="1" ht="11.25">
      <c r="A71" s="1858" t="s">
        <v>16</v>
      </c>
      <c r="B71" s="0" t="s">
        <v>3347</v>
      </c>
      <c r="C71" s="0" t="s">
        <v>3348</v>
      </c>
      <c r="D71" s="0" t="s">
        <v>3347</v>
      </c>
      <c r="E71" s="0" t="s">
        <v>3348</v>
      </c>
      <c r="F71" s="0" t="s">
        <v>3230</v>
      </c>
      <c r="G71" s="0" t="s">
        <v>3374</v>
      </c>
    </row>
    <row customHeight="1" ht="11.25">
      <c r="A72" s="1858" t="s">
        <v>16</v>
      </c>
      <c r="B72" s="0" t="s">
        <v>3347</v>
      </c>
      <c r="C72" s="0" t="s">
        <v>3348</v>
      </c>
      <c r="D72" s="0" t="s">
        <v>3375</v>
      </c>
      <c r="E72" s="0" t="s">
        <v>3376</v>
      </c>
      <c r="F72" s="0" t="s">
        <v>3233</v>
      </c>
      <c r="G72" s="0" t="s">
        <v>3377</v>
      </c>
    </row>
    <row customHeight="1" ht="11.25">
      <c r="A73" s="1858" t="s">
        <v>16</v>
      </c>
      <c r="B73" s="0" t="s">
        <v>3347</v>
      </c>
      <c r="C73" s="0" t="s">
        <v>3348</v>
      </c>
      <c r="D73" s="0" t="s">
        <v>3378</v>
      </c>
      <c r="E73" s="0" t="s">
        <v>3379</v>
      </c>
      <c r="F73" s="0" t="s">
        <v>3233</v>
      </c>
      <c r="G73" s="0" t="s">
        <v>3380</v>
      </c>
    </row>
    <row customHeight="1" ht="11.25">
      <c r="A74" s="1858" t="s">
        <v>16</v>
      </c>
      <c r="B74" s="0" t="s">
        <v>3347</v>
      </c>
      <c r="C74" s="0" t="s">
        <v>3348</v>
      </c>
      <c r="D74" s="0" t="s">
        <v>3381</v>
      </c>
      <c r="E74" s="0" t="s">
        <v>3382</v>
      </c>
      <c r="F74" s="0" t="s">
        <v>3233</v>
      </c>
      <c r="G74" s="0" t="s">
        <v>3383</v>
      </c>
    </row>
    <row customHeight="1" ht="11.25">
      <c r="A75" s="1858" t="s">
        <v>16</v>
      </c>
      <c r="B75" s="0" t="s">
        <v>3384</v>
      </c>
      <c r="C75" s="0" t="s">
        <v>3385</v>
      </c>
      <c r="D75" s="0" t="s">
        <v>3384</v>
      </c>
      <c r="E75" s="0" t="s">
        <v>3385</v>
      </c>
      <c r="F75" s="0" t="s">
        <v>3223</v>
      </c>
      <c r="G75" s="0" t="s">
        <v>3386</v>
      </c>
    </row>
    <row customHeight="1" ht="11.25">
      <c r="A76" s="1858" t="s">
        <v>16</v>
      </c>
      <c r="B76" s="0" t="s">
        <v>3387</v>
      </c>
      <c r="C76" s="0" t="s">
        <v>3388</v>
      </c>
      <c r="D76" s="0" t="s">
        <v>3387</v>
      </c>
      <c r="E76" s="0" t="s">
        <v>3388</v>
      </c>
      <c r="F76" s="0" t="s">
        <v>3223</v>
      </c>
      <c r="G76" s="0" t="s">
        <v>3389</v>
      </c>
    </row>
    <row customHeight="1" ht="11.25">
      <c r="A77" s="1858" t="s">
        <v>16</v>
      </c>
      <c r="B77" s="0" t="s">
        <v>3390</v>
      </c>
      <c r="C77" s="0" t="s">
        <v>3391</v>
      </c>
      <c r="D77" s="0" t="s">
        <v>3390</v>
      </c>
      <c r="E77" s="0" t="s">
        <v>3391</v>
      </c>
      <c r="F77" s="0" t="s">
        <v>3223</v>
      </c>
      <c r="G77" s="0" t="s">
        <v>3392</v>
      </c>
    </row>
    <row customHeight="1" ht="11.25">
      <c r="A78" s="1858" t="s">
        <v>16</v>
      </c>
      <c r="B78" s="0" t="s">
        <v>112</v>
      </c>
      <c r="C78" s="0" t="s">
        <v>113</v>
      </c>
      <c r="D78" s="0" t="s">
        <v>112</v>
      </c>
      <c r="E78" s="0" t="s">
        <v>113</v>
      </c>
      <c r="F78" s="0" t="s">
        <v>3223</v>
      </c>
      <c r="G78" s="0" t="s">
        <v>111</v>
      </c>
    </row>
    <row customHeight="1" ht="11.25">
      <c r="A79" s="1858" t="s">
        <v>16</v>
      </c>
      <c r="B79" s="0" t="s">
        <v>3393</v>
      </c>
      <c r="C79" s="0" t="s">
        <v>3394</v>
      </c>
      <c r="D79" s="0" t="s">
        <v>3393</v>
      </c>
      <c r="E79" s="0" t="s">
        <v>3394</v>
      </c>
      <c r="F79" s="0" t="s">
        <v>3223</v>
      </c>
      <c r="G79" s="0" t="s">
        <v>3395</v>
      </c>
    </row>
    <row customHeight="1" ht="11.25">
      <c r="A80" s="1858" t="s">
        <v>16</v>
      </c>
      <c r="B80" s="0" t="s">
        <v>3396</v>
      </c>
      <c r="C80" s="0" t="s">
        <v>3397</v>
      </c>
      <c r="D80" s="0" t="s">
        <v>3396</v>
      </c>
      <c r="E80" s="0" t="s">
        <v>3397</v>
      </c>
      <c r="F80" s="0" t="s">
        <v>3223</v>
      </c>
      <c r="G80" s="0" t="s">
        <v>3398</v>
      </c>
    </row>
    <row customHeight="1" ht="11.25">
      <c r="A81" s="1858" t="s">
        <v>16</v>
      </c>
      <c r="B81" s="0" t="s">
        <v>3399</v>
      </c>
      <c r="C81" s="0" t="s">
        <v>3400</v>
      </c>
      <c r="D81" s="0" t="s">
        <v>3399</v>
      </c>
      <c r="E81" s="0" t="s">
        <v>3400</v>
      </c>
      <c r="F81" s="0" t="s">
        <v>3223</v>
      </c>
      <c r="G81" s="0" t="s">
        <v>3401</v>
      </c>
    </row>
    <row customHeight="1" ht="11.25">
      <c r="A82" s="1858" t="s">
        <v>16</v>
      </c>
      <c r="B82" s="0" t="s">
        <v>3402</v>
      </c>
      <c r="C82" s="0" t="s">
        <v>3403</v>
      </c>
      <c r="D82" s="0" t="s">
        <v>3402</v>
      </c>
      <c r="E82" s="0" t="s">
        <v>3403</v>
      </c>
      <c r="F82" s="0" t="s">
        <v>3223</v>
      </c>
      <c r="G82" s="0" t="s">
        <v>3404</v>
      </c>
    </row>
    <row customHeight="1" ht="11.25">
      <c r="A83" s="1858" t="s">
        <v>16</v>
      </c>
      <c r="B83" s="0" t="s">
        <v>101</v>
      </c>
      <c r="C83" s="0" t="s">
        <v>102</v>
      </c>
      <c r="D83" s="0" t="s">
        <v>101</v>
      </c>
      <c r="E83" s="0" t="s">
        <v>102</v>
      </c>
      <c r="F83" s="0" t="s">
        <v>3405</v>
      </c>
      <c r="G83" s="0" t="s">
        <v>100</v>
      </c>
    </row>
    <row customHeight="1" ht="11.25">
      <c r="A84" s="1858" t="s">
        <v>16</v>
      </c>
      <c r="B84" s="0" t="s">
        <v>108</v>
      </c>
      <c r="C84" s="0" t="s">
        <v>109</v>
      </c>
      <c r="D84" s="0" t="s">
        <v>108</v>
      </c>
      <c r="E84" s="0" t="s">
        <v>109</v>
      </c>
      <c r="F84" s="0" t="s">
        <v>3405</v>
      </c>
      <c r="G84" s="0" t="s">
        <v>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D66CCA-8B08-0468-BFF8-1C7D77214726}"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701" width="13.8515625" customWidth="1"/>
  </cols>
  <sheetData>
    <row customHeight="1" ht="11.25">
      <c r="A1" s="846" t="s">
        <v>3406</v>
      </c>
      <c r="B1" s="73" t="s">
        <v>3407</v>
      </c>
      <c r="C1" s="73" t="s">
        <v>3408</v>
      </c>
      <c r="D1" s="73" t="s">
        <v>3409</v>
      </c>
      <c r="E1" s="73" t="s">
        <v>3410</v>
      </c>
      <c r="F1" s="73" t="s">
        <v>3411</v>
      </c>
      <c r="G1" s="73" t="s">
        <v>3412</v>
      </c>
      <c r="H1" s="73" t="s">
        <v>3413</v>
      </c>
      <c r="I1" s="73" t="s">
        <v>3414</v>
      </c>
    </row>
    <row customHeight="1" ht="11.25">
      <c r="A2" s="1701" t="s">
        <v>120</v>
      </c>
      <c r="B2" s="0" t="s">
        <v>3415</v>
      </c>
      <c r="C2" s="0" t="s">
        <v>22</v>
      </c>
      <c r="D2" s="0" t="s">
        <v>3416</v>
      </c>
      <c r="E2" s="0" t="s">
        <v>3417</v>
      </c>
      <c r="F2" s="0" t="s">
        <v>22</v>
      </c>
      <c r="G2" s="0" t="s">
        <v>22</v>
      </c>
      <c r="H2" s="0" t="s">
        <v>22</v>
      </c>
      <c r="I2" s="0" t="s">
        <v>22</v>
      </c>
    </row>
    <row customHeight="1" ht="11.25">
      <c r="A3" s="1701" t="s">
        <v>104</v>
      </c>
      <c r="B3" s="0" t="s">
        <v>1077</v>
      </c>
      <c r="C3" s="0" t="s">
        <v>3418</v>
      </c>
      <c r="D3" s="0" t="s">
        <v>1081</v>
      </c>
      <c r="E3" s="0" t="s">
        <v>1082</v>
      </c>
      <c r="F3" s="0" t="s">
        <v>3419</v>
      </c>
      <c r="G3" s="0" t="s">
        <v>3420</v>
      </c>
      <c r="H3" s="0" t="s">
        <v>1085</v>
      </c>
      <c r="I3" s="0" t="s">
        <v>3421</v>
      </c>
    </row>
    <row customHeight="1" ht="11.25">
      <c r="A4" s="1701" t="s">
        <v>91</v>
      </c>
      <c r="B4" s="0" t="s">
        <v>1077</v>
      </c>
      <c r="C4" s="0" t="s">
        <v>3418</v>
      </c>
      <c r="D4" s="0" t="s">
        <v>1081</v>
      </c>
      <c r="E4" s="0" t="s">
        <v>1082</v>
      </c>
      <c r="F4" s="0" t="s">
        <v>3422</v>
      </c>
      <c r="G4" s="0" t="s">
        <v>3420</v>
      </c>
      <c r="H4" s="0" t="s">
        <v>1085</v>
      </c>
      <c r="I4" s="0" t="s">
        <v>3421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F01F8-575B-0058-CBC9-C9DA45213028}" mc:Ignorable="x14ac xr xr2 xr3">
  <sheetPr>
    <tabColor rgb="FFFFCC99"/>
  </sheetPr>
  <dimension ref="A1:AL34"/>
  <sheetViews>
    <sheetView topLeftCell="A1" workbookViewId="0">
      <selection activeCell="A1" sqref="A1"/>
    </sheetView>
  </sheetViews>
  <sheetFormatPr customHeight="1" defaultRowHeight="11.25"/>
  <sheetData>
    <row customHeight="1" ht="11.25">
      <c r="A1" s="0" t="s">
        <v>2454</v>
      </c>
      <c r="B1" s="0" t="s">
        <v>2455</v>
      </c>
      <c r="C1" s="0" t="s">
        <v>2456</v>
      </c>
      <c r="D1" s="0" t="s">
        <v>3423</v>
      </c>
      <c r="E1" s="0" t="s">
        <v>3424</v>
      </c>
      <c r="F1" s="0" t="s">
        <v>3425</v>
      </c>
      <c r="G1" s="0" t="s">
        <v>3426</v>
      </c>
      <c r="H1" s="0" t="s">
        <v>3427</v>
      </c>
      <c r="I1" s="0" t="s">
        <v>3428</v>
      </c>
      <c r="J1" s="0" t="s">
        <v>3429</v>
      </c>
      <c r="K1" s="0" t="s">
        <v>3430</v>
      </c>
      <c r="L1" s="0" t="s">
        <v>3431</v>
      </c>
      <c r="M1" s="0" t="s">
        <v>3432</v>
      </c>
      <c r="N1" s="0" t="s">
        <v>3433</v>
      </c>
      <c r="O1" s="0" t="s">
        <v>3215</v>
      </c>
      <c r="P1" s="0" t="s">
        <v>3217</v>
      </c>
      <c r="Q1" s="0" t="s">
        <v>3218</v>
      </c>
      <c r="R1" s="0" t="s">
        <v>3434</v>
      </c>
      <c r="S1" s="0" t="s">
        <v>3435</v>
      </c>
      <c r="T1" s="0" t="s">
        <v>3436</v>
      </c>
      <c r="U1" s="0" t="s">
        <v>3437</v>
      </c>
      <c r="V1" s="0" t="s">
        <v>3438</v>
      </c>
      <c r="W1" s="0" t="s">
        <v>3439</v>
      </c>
      <c r="X1" s="0" t="s">
        <v>3440</v>
      </c>
      <c r="Y1" s="0" t="s">
        <v>3441</v>
      </c>
      <c r="Z1" s="0" t="s">
        <v>3442</v>
      </c>
      <c r="AA1" s="0" t="s">
        <v>3443</v>
      </c>
      <c r="AB1" s="0" t="s">
        <v>3444</v>
      </c>
      <c r="AC1" s="0" t="s">
        <v>3445</v>
      </c>
      <c r="AD1" s="0" t="s">
        <v>3446</v>
      </c>
      <c r="AE1" s="0" t="s">
        <v>3447</v>
      </c>
      <c r="AF1" s="0" t="s">
        <v>3448</v>
      </c>
      <c r="AG1" s="0" t="s">
        <v>3449</v>
      </c>
      <c r="AH1" s="0" t="s">
        <v>3450</v>
      </c>
      <c r="AI1" s="0" t="s">
        <v>3451</v>
      </c>
      <c r="AJ1" s="0" t="s">
        <v>3452</v>
      </c>
      <c r="AK1" s="0" t="s">
        <v>3453</v>
      </c>
      <c r="AL1" s="0" t="s">
        <v>3454</v>
      </c>
    </row>
    <row customHeight="1" ht="11.25">
      <c r="A2" s="0" t="s">
        <v>22</v>
      </c>
      <c r="B2" s="0" t="s">
        <v>49</v>
      </c>
      <c r="C2" s="0" t="s">
        <v>51</v>
      </c>
      <c r="D2" s="0" t="s">
        <v>22</v>
      </c>
      <c r="E2" s="0" t="s">
        <v>616</v>
      </c>
      <c r="F2" s="0" t="s">
        <v>1124</v>
      </c>
      <c r="G2" s="0" t="s">
        <v>101</v>
      </c>
      <c r="H2" s="0" t="s">
        <v>101</v>
      </c>
      <c r="I2" s="0" t="s">
        <v>102</v>
      </c>
      <c r="J2" s="0" t="s">
        <v>1125</v>
      </c>
      <c r="K2" s="0" t="s">
        <v>1126</v>
      </c>
      <c r="L2" s="0" t="s">
        <v>1194</v>
      </c>
      <c r="M2" s="0" t="s">
        <v>1195</v>
      </c>
      <c r="N2" s="0" t="s">
        <v>120</v>
      </c>
      <c r="O2" s="0" t="s">
        <v>3455</v>
      </c>
      <c r="P2" s="0" t="s">
        <v>3455</v>
      </c>
      <c r="Q2" s="0" t="s">
        <v>102</v>
      </c>
      <c r="R2" s="0" t="s">
        <v>1125</v>
      </c>
      <c r="S2" s="0" t="s">
        <v>1126</v>
      </c>
      <c r="T2" s="0" t="s">
        <v>3456</v>
      </c>
      <c r="U2" s="0" t="s">
        <v>3457</v>
      </c>
      <c r="V2" s="0" t="s">
        <v>3458</v>
      </c>
      <c r="W2" s="0" t="s">
        <v>3459</v>
      </c>
      <c r="X2" s="0" t="s">
        <v>3460</v>
      </c>
      <c r="Y2" s="0" t="s">
        <v>3457</v>
      </c>
      <c r="Z2" s="0" t="s">
        <v>3461</v>
      </c>
      <c r="AA2" s="0" t="s">
        <v>3462</v>
      </c>
      <c r="AB2" s="0" t="s">
        <v>3458</v>
      </c>
      <c r="AC2" s="0" t="s">
        <v>63</v>
      </c>
      <c r="AD2" s="0" t="s">
        <v>63</v>
      </c>
      <c r="AE2" s="0" t="s">
        <v>63</v>
      </c>
      <c r="AF2" s="0" t="s">
        <v>1882</v>
      </c>
      <c r="AG2" s="0" t="s">
        <v>3463</v>
      </c>
      <c r="AH2" s="0" t="s">
        <v>1882</v>
      </c>
      <c r="AI2" s="0" t="s">
        <v>3463</v>
      </c>
      <c r="AJ2" s="0" t="s">
        <v>1882</v>
      </c>
      <c r="AK2" s="0" t="s">
        <v>3463</v>
      </c>
      <c r="AL2" s="0" t="s">
        <v>3464</v>
      </c>
    </row>
    <row customHeight="1" ht="11.25">
      <c r="A3" s="0" t="s">
        <v>22</v>
      </c>
      <c r="B3" s="0" t="s">
        <v>49</v>
      </c>
      <c r="C3" s="0" t="s">
        <v>51</v>
      </c>
      <c r="D3" s="0" t="s">
        <v>22</v>
      </c>
      <c r="E3" s="0" t="s">
        <v>618</v>
      </c>
      <c r="F3" s="0" t="s">
        <v>1124</v>
      </c>
      <c r="G3" s="0" t="s">
        <v>101</v>
      </c>
      <c r="H3" s="0" t="s">
        <v>101</v>
      </c>
      <c r="I3" s="0" t="s">
        <v>102</v>
      </c>
      <c r="J3" s="0" t="s">
        <v>1125</v>
      </c>
      <c r="K3" s="0" t="s">
        <v>1126</v>
      </c>
      <c r="L3" s="0" t="s">
        <v>3465</v>
      </c>
      <c r="M3" s="0" t="s">
        <v>1379</v>
      </c>
      <c r="N3" s="0" t="s">
        <v>120</v>
      </c>
      <c r="O3" s="0" t="s">
        <v>3455</v>
      </c>
      <c r="P3" s="0" t="s">
        <v>3455</v>
      </c>
      <c r="Q3" s="0" t="s">
        <v>102</v>
      </c>
      <c r="R3" s="0" t="s">
        <v>1125</v>
      </c>
      <c r="S3" s="0" t="s">
        <v>1126</v>
      </c>
      <c r="T3" s="0" t="s">
        <v>3456</v>
      </c>
      <c r="U3" s="0" t="s">
        <v>3457</v>
      </c>
      <c r="V3" s="0" t="s">
        <v>3458</v>
      </c>
      <c r="W3" s="0" t="s">
        <v>3459</v>
      </c>
      <c r="X3" s="0" t="s">
        <v>3460</v>
      </c>
      <c r="Y3" s="0" t="s">
        <v>3457</v>
      </c>
      <c r="Z3" s="0" t="s">
        <v>3466</v>
      </c>
      <c r="AA3" s="0" t="s">
        <v>3462</v>
      </c>
      <c r="AB3" s="0" t="s">
        <v>3458</v>
      </c>
      <c r="AC3" s="0" t="s">
        <v>63</v>
      </c>
      <c r="AD3" s="0" t="s">
        <v>63</v>
      </c>
      <c r="AE3" s="0" t="s">
        <v>63</v>
      </c>
      <c r="AF3" s="0" t="s">
        <v>93</v>
      </c>
      <c r="AG3" s="0" t="s">
        <v>3467</v>
      </c>
      <c r="AH3" s="0" t="s">
        <v>93</v>
      </c>
      <c r="AI3" s="0" t="s">
        <v>3467</v>
      </c>
      <c r="AJ3" s="0" t="s">
        <v>93</v>
      </c>
      <c r="AK3" s="0" t="s">
        <v>3467</v>
      </c>
      <c r="AL3" s="0" t="s">
        <v>3464</v>
      </c>
    </row>
    <row customHeight="1" ht="11.25">
      <c r="A4" s="0" t="s">
        <v>22</v>
      </c>
      <c r="B4" s="0" t="s">
        <v>49</v>
      </c>
      <c r="C4" s="0" t="s">
        <v>51</v>
      </c>
      <c r="D4" s="0" t="s">
        <v>22</v>
      </c>
      <c r="E4" s="0" t="s">
        <v>619</v>
      </c>
      <c r="F4" s="0" t="s">
        <v>1124</v>
      </c>
      <c r="G4" s="0" t="s">
        <v>101</v>
      </c>
      <c r="H4" s="0" t="s">
        <v>101</v>
      </c>
      <c r="I4" s="0" t="s">
        <v>102</v>
      </c>
      <c r="J4" s="0" t="s">
        <v>1125</v>
      </c>
      <c r="K4" s="0" t="s">
        <v>1126</v>
      </c>
      <c r="L4" s="0" t="s">
        <v>3468</v>
      </c>
      <c r="M4" s="0" t="s">
        <v>3469</v>
      </c>
      <c r="N4" s="0" t="s">
        <v>120</v>
      </c>
      <c r="O4" s="0" t="s">
        <v>3455</v>
      </c>
      <c r="P4" s="0" t="s">
        <v>3455</v>
      </c>
      <c r="Q4" s="0" t="s">
        <v>102</v>
      </c>
      <c r="R4" s="0" t="s">
        <v>1125</v>
      </c>
      <c r="S4" s="0" t="s">
        <v>1126</v>
      </c>
      <c r="T4" s="0" t="s">
        <v>3456</v>
      </c>
      <c r="U4" s="0" t="s">
        <v>3457</v>
      </c>
      <c r="V4" s="0" t="s">
        <v>3458</v>
      </c>
      <c r="W4" s="0" t="s">
        <v>3459</v>
      </c>
      <c r="X4" s="0" t="s">
        <v>3460</v>
      </c>
      <c r="Y4" s="0" t="s">
        <v>3457</v>
      </c>
      <c r="Z4" s="0" t="s">
        <v>3470</v>
      </c>
      <c r="AA4" s="0" t="s">
        <v>3462</v>
      </c>
      <c r="AB4" s="0" t="s">
        <v>3458</v>
      </c>
      <c r="AC4" s="0" t="s">
        <v>63</v>
      </c>
      <c r="AD4" s="0" t="s">
        <v>63</v>
      </c>
      <c r="AE4" s="0" t="s">
        <v>63</v>
      </c>
      <c r="AF4" s="0" t="s">
        <v>3471</v>
      </c>
      <c r="AG4" s="0" t="s">
        <v>3472</v>
      </c>
      <c r="AH4" s="0" t="s">
        <v>3471</v>
      </c>
      <c r="AI4" s="0" t="s">
        <v>3472</v>
      </c>
      <c r="AJ4" s="0" t="s">
        <v>3471</v>
      </c>
      <c r="AK4" s="0" t="s">
        <v>3472</v>
      </c>
      <c r="AL4" s="0" t="s">
        <v>3464</v>
      </c>
    </row>
    <row customHeight="1" ht="11.25">
      <c r="A5" s="0" t="s">
        <v>22</v>
      </c>
      <c r="B5" s="0" t="s">
        <v>49</v>
      </c>
      <c r="C5" s="0" t="s">
        <v>51</v>
      </c>
      <c r="D5" s="0" t="s">
        <v>22</v>
      </c>
      <c r="E5" s="0" t="s">
        <v>621</v>
      </c>
      <c r="F5" s="0" t="s">
        <v>1124</v>
      </c>
      <c r="G5" s="0" t="s">
        <v>101</v>
      </c>
      <c r="H5" s="0" t="s">
        <v>101</v>
      </c>
      <c r="I5" s="0" t="s">
        <v>102</v>
      </c>
      <c r="J5" s="0" t="s">
        <v>1125</v>
      </c>
      <c r="K5" s="0" t="s">
        <v>1126</v>
      </c>
      <c r="L5" s="0" t="s">
        <v>1241</v>
      </c>
      <c r="M5" s="0" t="s">
        <v>1891</v>
      </c>
      <c r="N5" s="0" t="s">
        <v>120</v>
      </c>
      <c r="O5" s="0" t="s">
        <v>3455</v>
      </c>
      <c r="P5" s="0" t="s">
        <v>3455</v>
      </c>
      <c r="Q5" s="0" t="s">
        <v>102</v>
      </c>
      <c r="R5" s="0" t="s">
        <v>1125</v>
      </c>
      <c r="S5" s="0" t="s">
        <v>1126</v>
      </c>
      <c r="T5" s="0" t="s">
        <v>3456</v>
      </c>
      <c r="U5" s="0" t="s">
        <v>3457</v>
      </c>
      <c r="V5" s="0" t="s">
        <v>3458</v>
      </c>
      <c r="W5" s="0" t="s">
        <v>3459</v>
      </c>
      <c r="X5" s="0" t="s">
        <v>3460</v>
      </c>
      <c r="Y5" s="0" t="s">
        <v>3457</v>
      </c>
      <c r="Z5" s="0" t="s">
        <v>3473</v>
      </c>
      <c r="AA5" s="0" t="s">
        <v>3462</v>
      </c>
      <c r="AB5" s="0" t="s">
        <v>3458</v>
      </c>
      <c r="AC5" s="0" t="s">
        <v>63</v>
      </c>
      <c r="AD5" s="0" t="s">
        <v>63</v>
      </c>
      <c r="AE5" s="0" t="s">
        <v>63</v>
      </c>
      <c r="AF5" s="0" t="s">
        <v>3474</v>
      </c>
      <c r="AG5" s="0" t="s">
        <v>3475</v>
      </c>
      <c r="AH5" s="0" t="s">
        <v>3474</v>
      </c>
      <c r="AI5" s="0" t="s">
        <v>3475</v>
      </c>
      <c r="AJ5" s="0" t="s">
        <v>3474</v>
      </c>
      <c r="AK5" s="0" t="s">
        <v>3475</v>
      </c>
      <c r="AL5" s="0" t="s">
        <v>3464</v>
      </c>
    </row>
    <row customHeight="1" ht="11.25">
      <c r="A6" s="0" t="s">
        <v>22</v>
      </c>
      <c r="B6" s="0" t="s">
        <v>49</v>
      </c>
      <c r="C6" s="0" t="s">
        <v>51</v>
      </c>
      <c r="D6" s="0" t="s">
        <v>22</v>
      </c>
      <c r="E6" s="0" t="s">
        <v>623</v>
      </c>
      <c r="F6" s="0" t="s">
        <v>1124</v>
      </c>
      <c r="G6" s="0" t="s">
        <v>101</v>
      </c>
      <c r="H6" s="0" t="s">
        <v>101</v>
      </c>
      <c r="I6" s="0" t="s">
        <v>102</v>
      </c>
      <c r="J6" s="0" t="s">
        <v>1125</v>
      </c>
      <c r="K6" s="0" t="s">
        <v>1126</v>
      </c>
      <c r="L6" s="0" t="s">
        <v>3476</v>
      </c>
      <c r="M6" s="0" t="s">
        <v>3477</v>
      </c>
      <c r="N6" s="0" t="s">
        <v>120</v>
      </c>
      <c r="O6" s="0" t="s">
        <v>3455</v>
      </c>
      <c r="P6" s="0" t="s">
        <v>3455</v>
      </c>
      <c r="Q6" s="0" t="s">
        <v>102</v>
      </c>
      <c r="R6" s="0" t="s">
        <v>1125</v>
      </c>
      <c r="S6" s="0" t="s">
        <v>1126</v>
      </c>
      <c r="T6" s="0" t="s">
        <v>3456</v>
      </c>
      <c r="U6" s="0" t="s">
        <v>3457</v>
      </c>
      <c r="V6" s="0" t="s">
        <v>3458</v>
      </c>
      <c r="W6" s="0" t="s">
        <v>3459</v>
      </c>
      <c r="X6" s="0" t="s">
        <v>3460</v>
      </c>
      <c r="Y6" s="0" t="s">
        <v>3457</v>
      </c>
      <c r="Z6" s="0" t="s">
        <v>3478</v>
      </c>
      <c r="AA6" s="0" t="s">
        <v>3462</v>
      </c>
      <c r="AB6" s="0" t="s">
        <v>3458</v>
      </c>
      <c r="AC6" s="0" t="s">
        <v>63</v>
      </c>
      <c r="AD6" s="0" t="s">
        <v>63</v>
      </c>
      <c r="AE6" s="0" t="s">
        <v>63</v>
      </c>
      <c r="AF6" s="0" t="s">
        <v>3479</v>
      </c>
      <c r="AG6" s="0" t="s">
        <v>3480</v>
      </c>
      <c r="AH6" s="0" t="s">
        <v>3479</v>
      </c>
      <c r="AI6" s="0" t="s">
        <v>3480</v>
      </c>
      <c r="AJ6" s="0" t="s">
        <v>3479</v>
      </c>
      <c r="AK6" s="0" t="s">
        <v>3480</v>
      </c>
      <c r="AL6" s="0" t="s">
        <v>3464</v>
      </c>
    </row>
    <row customHeight="1" ht="11.25">
      <c r="A7" s="0" t="s">
        <v>22</v>
      </c>
      <c r="B7" s="0" t="s">
        <v>49</v>
      </c>
      <c r="C7" s="0" t="s">
        <v>51</v>
      </c>
      <c r="D7" s="0" t="s">
        <v>22</v>
      </c>
      <c r="E7" s="0" t="s">
        <v>624</v>
      </c>
      <c r="F7" s="0" t="s">
        <v>1124</v>
      </c>
      <c r="G7" s="0" t="s">
        <v>101</v>
      </c>
      <c r="H7" s="0" t="s">
        <v>101</v>
      </c>
      <c r="I7" s="0" t="s">
        <v>102</v>
      </c>
      <c r="J7" s="0" t="s">
        <v>1125</v>
      </c>
      <c r="K7" s="0" t="s">
        <v>1126</v>
      </c>
      <c r="L7" s="0" t="s">
        <v>3465</v>
      </c>
      <c r="M7" s="0" t="s">
        <v>3481</v>
      </c>
      <c r="N7" s="0" t="s">
        <v>120</v>
      </c>
      <c r="O7" s="0" t="s">
        <v>3455</v>
      </c>
      <c r="P7" s="0" t="s">
        <v>3455</v>
      </c>
      <c r="Q7" s="0" t="s">
        <v>102</v>
      </c>
      <c r="R7" s="0" t="s">
        <v>1125</v>
      </c>
      <c r="S7" s="0" t="s">
        <v>1126</v>
      </c>
      <c r="T7" s="0" t="s">
        <v>3456</v>
      </c>
      <c r="U7" s="0" t="s">
        <v>3457</v>
      </c>
      <c r="V7" s="0" t="s">
        <v>3458</v>
      </c>
      <c r="W7" s="0" t="s">
        <v>3459</v>
      </c>
      <c r="X7" s="0" t="s">
        <v>3460</v>
      </c>
      <c r="Y7" s="0" t="s">
        <v>3457</v>
      </c>
      <c r="Z7" s="0" t="s">
        <v>3482</v>
      </c>
      <c r="AA7" s="0" t="s">
        <v>3462</v>
      </c>
      <c r="AB7" s="0" t="s">
        <v>3458</v>
      </c>
      <c r="AC7" s="0" t="s">
        <v>63</v>
      </c>
      <c r="AD7" s="0" t="s">
        <v>63</v>
      </c>
      <c r="AE7" s="0" t="s">
        <v>63</v>
      </c>
      <c r="AF7" s="0" t="s">
        <v>3483</v>
      </c>
      <c r="AG7" s="0" t="s">
        <v>3484</v>
      </c>
      <c r="AH7" s="0" t="s">
        <v>3483</v>
      </c>
      <c r="AI7" s="0" t="s">
        <v>3484</v>
      </c>
      <c r="AJ7" s="0" t="s">
        <v>3483</v>
      </c>
      <c r="AK7" s="0" t="s">
        <v>3484</v>
      </c>
      <c r="AL7" s="0" t="s">
        <v>3464</v>
      </c>
    </row>
    <row customHeight="1" ht="11.25">
      <c r="A8" s="0" t="s">
        <v>22</v>
      </c>
      <c r="B8" s="0" t="s">
        <v>49</v>
      </c>
      <c r="C8" s="0" t="s">
        <v>51</v>
      </c>
      <c r="D8" s="0" t="s">
        <v>22</v>
      </c>
      <c r="E8" s="0" t="s">
        <v>625</v>
      </c>
      <c r="F8" s="0" t="s">
        <v>1124</v>
      </c>
      <c r="G8" s="0" t="s">
        <v>101</v>
      </c>
      <c r="H8" s="0" t="s">
        <v>101</v>
      </c>
      <c r="I8" s="0" t="s">
        <v>102</v>
      </c>
      <c r="J8" s="0" t="s">
        <v>1125</v>
      </c>
      <c r="K8" s="0" t="s">
        <v>1126</v>
      </c>
      <c r="L8" s="0" t="s">
        <v>1194</v>
      </c>
      <c r="M8" s="0" t="s">
        <v>3485</v>
      </c>
      <c r="N8" s="0" t="s">
        <v>120</v>
      </c>
      <c r="O8" s="0" t="s">
        <v>3455</v>
      </c>
      <c r="P8" s="0" t="s">
        <v>3455</v>
      </c>
      <c r="Q8" s="0" t="s">
        <v>102</v>
      </c>
      <c r="R8" s="0" t="s">
        <v>1125</v>
      </c>
      <c r="S8" s="0" t="s">
        <v>1126</v>
      </c>
      <c r="T8" s="0" t="s">
        <v>3456</v>
      </c>
      <c r="U8" s="0" t="s">
        <v>3457</v>
      </c>
      <c r="V8" s="0" t="s">
        <v>3458</v>
      </c>
      <c r="W8" s="0" t="s">
        <v>3459</v>
      </c>
      <c r="X8" s="0" t="s">
        <v>3460</v>
      </c>
      <c r="Y8" s="0" t="s">
        <v>3457</v>
      </c>
      <c r="Z8" s="0" t="s">
        <v>3486</v>
      </c>
      <c r="AA8" s="0" t="s">
        <v>3462</v>
      </c>
      <c r="AB8" s="0" t="s">
        <v>3458</v>
      </c>
      <c r="AC8" s="0" t="s">
        <v>63</v>
      </c>
      <c r="AD8" s="0" t="s">
        <v>63</v>
      </c>
      <c r="AE8" s="0" t="s">
        <v>63</v>
      </c>
      <c r="AF8" s="0" t="s">
        <v>3487</v>
      </c>
      <c r="AG8" s="0" t="s">
        <v>3488</v>
      </c>
      <c r="AH8" s="0" t="s">
        <v>3487</v>
      </c>
      <c r="AI8" s="0" t="s">
        <v>3488</v>
      </c>
      <c r="AJ8" s="0" t="s">
        <v>3487</v>
      </c>
      <c r="AK8" s="0" t="s">
        <v>3488</v>
      </c>
      <c r="AL8" s="0" t="s">
        <v>3489</v>
      </c>
    </row>
    <row customHeight="1" ht="11.25">
      <c r="A9" s="0" t="s">
        <v>22</v>
      </c>
      <c r="B9" s="0" t="s">
        <v>49</v>
      </c>
      <c r="C9" s="0" t="s">
        <v>51</v>
      </c>
      <c r="D9" s="0" t="s">
        <v>22</v>
      </c>
      <c r="E9" s="0" t="s">
        <v>626</v>
      </c>
      <c r="F9" s="0" t="s">
        <v>1124</v>
      </c>
      <c r="G9" s="0" t="s">
        <v>101</v>
      </c>
      <c r="H9" s="0" t="s">
        <v>101</v>
      </c>
      <c r="I9" s="0" t="s">
        <v>102</v>
      </c>
      <c r="J9" s="0" t="s">
        <v>1125</v>
      </c>
      <c r="K9" s="0" t="s">
        <v>1126</v>
      </c>
      <c r="L9" s="0" t="s">
        <v>3490</v>
      </c>
      <c r="M9" s="0" t="s">
        <v>3491</v>
      </c>
      <c r="N9" s="0" t="s">
        <v>120</v>
      </c>
      <c r="O9" s="0" t="s">
        <v>3455</v>
      </c>
      <c r="P9" s="0" t="s">
        <v>3455</v>
      </c>
      <c r="Q9" s="0" t="s">
        <v>102</v>
      </c>
      <c r="R9" s="0" t="s">
        <v>1125</v>
      </c>
      <c r="S9" s="0" t="s">
        <v>1126</v>
      </c>
      <c r="T9" s="0" t="s">
        <v>3456</v>
      </c>
      <c r="U9" s="0" t="s">
        <v>3457</v>
      </c>
      <c r="V9" s="0" t="s">
        <v>3458</v>
      </c>
      <c r="W9" s="0" t="s">
        <v>3459</v>
      </c>
      <c r="X9" s="0" t="s">
        <v>3460</v>
      </c>
      <c r="Y9" s="0" t="s">
        <v>3457</v>
      </c>
      <c r="Z9" s="0" t="s">
        <v>3492</v>
      </c>
      <c r="AA9" s="0" t="s">
        <v>3462</v>
      </c>
      <c r="AB9" s="0" t="s">
        <v>3458</v>
      </c>
      <c r="AC9" s="0" t="s">
        <v>63</v>
      </c>
      <c r="AD9" s="0" t="s">
        <v>63</v>
      </c>
      <c r="AE9" s="0" t="s">
        <v>63</v>
      </c>
      <c r="AF9" s="0" t="s">
        <v>1289</v>
      </c>
      <c r="AG9" s="0" t="s">
        <v>3493</v>
      </c>
      <c r="AH9" s="0" t="s">
        <v>1289</v>
      </c>
      <c r="AI9" s="0" t="s">
        <v>3493</v>
      </c>
      <c r="AJ9" s="0" t="s">
        <v>1289</v>
      </c>
      <c r="AK9" s="0" t="s">
        <v>3493</v>
      </c>
      <c r="AL9" s="0" t="s">
        <v>3494</v>
      </c>
    </row>
    <row customHeight="1" ht="11.25">
      <c r="A10" s="0" t="s">
        <v>22</v>
      </c>
      <c r="B10" s="0" t="s">
        <v>49</v>
      </c>
      <c r="C10" s="0" t="s">
        <v>51</v>
      </c>
      <c r="D10" s="0" t="s">
        <v>22</v>
      </c>
      <c r="E10" s="0" t="s">
        <v>627</v>
      </c>
      <c r="F10" s="0" t="s">
        <v>1124</v>
      </c>
      <c r="G10" s="0" t="s">
        <v>101</v>
      </c>
      <c r="H10" s="0" t="s">
        <v>101</v>
      </c>
      <c r="I10" s="0" t="s">
        <v>102</v>
      </c>
      <c r="J10" s="0" t="s">
        <v>1125</v>
      </c>
      <c r="K10" s="0" t="s">
        <v>1126</v>
      </c>
      <c r="L10" s="0" t="s">
        <v>1241</v>
      </c>
      <c r="M10" s="0" t="s">
        <v>3495</v>
      </c>
      <c r="N10" s="0" t="s">
        <v>120</v>
      </c>
      <c r="O10" s="0" t="s">
        <v>3455</v>
      </c>
      <c r="P10" s="0" t="s">
        <v>3455</v>
      </c>
      <c r="Q10" s="0" t="s">
        <v>102</v>
      </c>
      <c r="R10" s="0" t="s">
        <v>1125</v>
      </c>
      <c r="S10" s="0" t="s">
        <v>1126</v>
      </c>
      <c r="T10" s="0" t="s">
        <v>3456</v>
      </c>
      <c r="U10" s="0" t="s">
        <v>3457</v>
      </c>
      <c r="V10" s="0" t="s">
        <v>3458</v>
      </c>
      <c r="W10" s="0" t="s">
        <v>3459</v>
      </c>
      <c r="X10" s="0" t="s">
        <v>3460</v>
      </c>
      <c r="Y10" s="0" t="s">
        <v>3457</v>
      </c>
      <c r="Z10" s="0" t="s">
        <v>3496</v>
      </c>
      <c r="AA10" s="0" t="s">
        <v>3462</v>
      </c>
      <c r="AB10" s="0" t="s">
        <v>3458</v>
      </c>
      <c r="AC10" s="0" t="s">
        <v>63</v>
      </c>
      <c r="AD10" s="0" t="s">
        <v>63</v>
      </c>
      <c r="AE10" s="0" t="s">
        <v>63</v>
      </c>
      <c r="AF10" s="0" t="s">
        <v>1186</v>
      </c>
      <c r="AG10" s="0" t="s">
        <v>3497</v>
      </c>
      <c r="AH10" s="0" t="s">
        <v>1186</v>
      </c>
      <c r="AI10" s="0" t="s">
        <v>3497</v>
      </c>
      <c r="AJ10" s="0" t="s">
        <v>1186</v>
      </c>
      <c r="AK10" s="0" t="s">
        <v>3497</v>
      </c>
      <c r="AL10" s="0" t="s">
        <v>3464</v>
      </c>
    </row>
    <row customHeight="1" ht="11.25">
      <c r="A11" s="0" t="s">
        <v>22</v>
      </c>
      <c r="B11" s="0" t="s">
        <v>49</v>
      </c>
      <c r="C11" s="0" t="s">
        <v>51</v>
      </c>
      <c r="D11" s="0" t="s">
        <v>22</v>
      </c>
      <c r="E11" s="0" t="s">
        <v>628</v>
      </c>
      <c r="F11" s="0" t="s">
        <v>1124</v>
      </c>
      <c r="G11" s="0" t="s">
        <v>101</v>
      </c>
      <c r="H11" s="0" t="s">
        <v>101</v>
      </c>
      <c r="I11" s="0" t="s">
        <v>102</v>
      </c>
      <c r="J11" s="0" t="s">
        <v>1125</v>
      </c>
      <c r="K11" s="0" t="s">
        <v>1126</v>
      </c>
      <c r="L11" s="0" t="s">
        <v>3498</v>
      </c>
      <c r="M11" s="0" t="s">
        <v>3499</v>
      </c>
      <c r="N11" s="0" t="s">
        <v>120</v>
      </c>
      <c r="O11" s="0" t="s">
        <v>3455</v>
      </c>
      <c r="P11" s="0" t="s">
        <v>3455</v>
      </c>
      <c r="Q11" s="0" t="s">
        <v>102</v>
      </c>
      <c r="R11" s="0" t="s">
        <v>1125</v>
      </c>
      <c r="S11" s="0" t="s">
        <v>1126</v>
      </c>
      <c r="T11" s="0" t="s">
        <v>3456</v>
      </c>
      <c r="U11" s="0" t="s">
        <v>3457</v>
      </c>
      <c r="V11" s="0" t="s">
        <v>3458</v>
      </c>
      <c r="W11" s="0" t="s">
        <v>3459</v>
      </c>
      <c r="X11" s="0" t="s">
        <v>3460</v>
      </c>
      <c r="Y11" s="0" t="s">
        <v>3457</v>
      </c>
      <c r="Z11" s="0" t="s">
        <v>3500</v>
      </c>
      <c r="AA11" s="0" t="s">
        <v>3462</v>
      </c>
      <c r="AB11" s="0" t="s">
        <v>3458</v>
      </c>
      <c r="AC11" s="0" t="s">
        <v>63</v>
      </c>
      <c r="AD11" s="0" t="s">
        <v>63</v>
      </c>
      <c r="AE11" s="0" t="s">
        <v>63</v>
      </c>
      <c r="AF11" s="0" t="s">
        <v>3501</v>
      </c>
      <c r="AG11" s="0" t="s">
        <v>3502</v>
      </c>
      <c r="AH11" s="0" t="s">
        <v>3501</v>
      </c>
      <c r="AI11" s="0" t="s">
        <v>3502</v>
      </c>
      <c r="AJ11" s="0" t="s">
        <v>3501</v>
      </c>
      <c r="AK11" s="0" t="s">
        <v>3502</v>
      </c>
      <c r="AL11" s="0" t="s">
        <v>3503</v>
      </c>
    </row>
    <row customHeight="1" ht="11.25">
      <c r="A12" s="0" t="s">
        <v>22</v>
      </c>
      <c r="B12" s="0" t="s">
        <v>49</v>
      </c>
      <c r="C12" s="0" t="s">
        <v>51</v>
      </c>
      <c r="D12" s="0" t="s">
        <v>22</v>
      </c>
      <c r="E12" s="0" t="s">
        <v>629</v>
      </c>
      <c r="F12" s="0" t="s">
        <v>1124</v>
      </c>
      <c r="G12" s="0" t="s">
        <v>101</v>
      </c>
      <c r="H12" s="0" t="s">
        <v>101</v>
      </c>
      <c r="I12" s="0" t="s">
        <v>102</v>
      </c>
      <c r="J12" s="0" t="s">
        <v>1125</v>
      </c>
      <c r="K12" s="0" t="s">
        <v>1126</v>
      </c>
      <c r="L12" s="0" t="s">
        <v>3504</v>
      </c>
      <c r="M12" s="0" t="s">
        <v>3505</v>
      </c>
      <c r="N12" s="0" t="s">
        <v>120</v>
      </c>
      <c r="O12" s="0" t="s">
        <v>3455</v>
      </c>
      <c r="P12" s="0" t="s">
        <v>3455</v>
      </c>
      <c r="Q12" s="0" t="s">
        <v>102</v>
      </c>
      <c r="R12" s="0" t="s">
        <v>1125</v>
      </c>
      <c r="S12" s="0" t="s">
        <v>1126</v>
      </c>
      <c r="T12" s="0" t="s">
        <v>3456</v>
      </c>
      <c r="U12" s="0" t="s">
        <v>3457</v>
      </c>
      <c r="V12" s="0" t="s">
        <v>3458</v>
      </c>
      <c r="W12" s="0" t="s">
        <v>3459</v>
      </c>
      <c r="X12" s="0" t="s">
        <v>3460</v>
      </c>
      <c r="Y12" s="0" t="s">
        <v>3457</v>
      </c>
      <c r="Z12" s="0" t="s">
        <v>3506</v>
      </c>
      <c r="AA12" s="0" t="s">
        <v>3462</v>
      </c>
      <c r="AB12" s="0" t="s">
        <v>3458</v>
      </c>
      <c r="AC12" s="0" t="s">
        <v>63</v>
      </c>
      <c r="AD12" s="0" t="s">
        <v>63</v>
      </c>
      <c r="AE12" s="0" t="s">
        <v>63</v>
      </c>
      <c r="AF12" s="0" t="s">
        <v>3507</v>
      </c>
      <c r="AG12" s="0" t="s">
        <v>3508</v>
      </c>
      <c r="AH12" s="0" t="s">
        <v>3507</v>
      </c>
      <c r="AI12" s="0" t="s">
        <v>3508</v>
      </c>
      <c r="AJ12" s="0" t="s">
        <v>3507</v>
      </c>
      <c r="AK12" s="0" t="s">
        <v>3508</v>
      </c>
      <c r="AL12" s="0" t="s">
        <v>3489</v>
      </c>
    </row>
    <row customHeight="1" ht="11.25">
      <c r="A13" s="0" t="s">
        <v>22</v>
      </c>
      <c r="B13" s="0" t="s">
        <v>49</v>
      </c>
      <c r="C13" s="0" t="s">
        <v>51</v>
      </c>
      <c r="D13" s="0" t="s">
        <v>22</v>
      </c>
      <c r="E13" s="0" t="s">
        <v>630</v>
      </c>
      <c r="F13" s="0" t="s">
        <v>1124</v>
      </c>
      <c r="G13" s="0" t="s">
        <v>101</v>
      </c>
      <c r="H13" s="0" t="s">
        <v>101</v>
      </c>
      <c r="I13" s="0" t="s">
        <v>102</v>
      </c>
      <c r="J13" s="0" t="s">
        <v>1125</v>
      </c>
      <c r="K13" s="0" t="s">
        <v>1126</v>
      </c>
      <c r="L13" s="0" t="s">
        <v>3509</v>
      </c>
      <c r="M13" s="0" t="s">
        <v>3510</v>
      </c>
      <c r="N13" s="0" t="s">
        <v>120</v>
      </c>
      <c r="O13" s="0" t="s">
        <v>3455</v>
      </c>
      <c r="P13" s="0" t="s">
        <v>3455</v>
      </c>
      <c r="Q13" s="0" t="s">
        <v>102</v>
      </c>
      <c r="R13" s="0" t="s">
        <v>1125</v>
      </c>
      <c r="S13" s="0" t="s">
        <v>1126</v>
      </c>
      <c r="T13" s="0" t="s">
        <v>3456</v>
      </c>
      <c r="U13" s="0" t="s">
        <v>3457</v>
      </c>
      <c r="V13" s="0" t="s">
        <v>3458</v>
      </c>
      <c r="W13" s="0" t="s">
        <v>3459</v>
      </c>
      <c r="X13" s="0" t="s">
        <v>3460</v>
      </c>
      <c r="Y13" s="0" t="s">
        <v>3457</v>
      </c>
      <c r="Z13" s="0" t="s">
        <v>3511</v>
      </c>
      <c r="AA13" s="0" t="s">
        <v>3462</v>
      </c>
      <c r="AB13" s="0" t="s">
        <v>3458</v>
      </c>
      <c r="AC13" s="0" t="s">
        <v>63</v>
      </c>
      <c r="AD13" s="0" t="s">
        <v>63</v>
      </c>
      <c r="AE13" s="0" t="s">
        <v>63</v>
      </c>
      <c r="AF13" s="0" t="s">
        <v>94</v>
      </c>
      <c r="AG13" s="0" t="s">
        <v>3512</v>
      </c>
      <c r="AH13" s="0" t="s">
        <v>94</v>
      </c>
      <c r="AI13" s="0" t="s">
        <v>3512</v>
      </c>
      <c r="AJ13" s="0" t="s">
        <v>94</v>
      </c>
      <c r="AK13" s="0" t="s">
        <v>3512</v>
      </c>
      <c r="AL13" s="0" t="s">
        <v>3464</v>
      </c>
    </row>
    <row customHeight="1" ht="11.25">
      <c r="A14" s="0" t="s">
        <v>22</v>
      </c>
      <c r="B14" s="0" t="s">
        <v>49</v>
      </c>
      <c r="C14" s="0" t="s">
        <v>51</v>
      </c>
      <c r="D14" s="0" t="s">
        <v>22</v>
      </c>
      <c r="E14" s="0" t="s">
        <v>631</v>
      </c>
      <c r="F14" s="0" t="s">
        <v>1124</v>
      </c>
      <c r="G14" s="0" t="s">
        <v>101</v>
      </c>
      <c r="H14" s="0" t="s">
        <v>101</v>
      </c>
      <c r="I14" s="0" t="s">
        <v>102</v>
      </c>
      <c r="J14" s="0" t="s">
        <v>1125</v>
      </c>
      <c r="K14" s="0" t="s">
        <v>1126</v>
      </c>
      <c r="L14" s="0" t="s">
        <v>3513</v>
      </c>
      <c r="M14" s="0" t="s">
        <v>1177</v>
      </c>
      <c r="N14" s="0" t="s">
        <v>120</v>
      </c>
      <c r="O14" s="0" t="s">
        <v>3455</v>
      </c>
      <c r="P14" s="0" t="s">
        <v>3455</v>
      </c>
      <c r="Q14" s="0" t="s">
        <v>102</v>
      </c>
      <c r="R14" s="0" t="s">
        <v>1125</v>
      </c>
      <c r="S14" s="0" t="s">
        <v>1126</v>
      </c>
      <c r="T14" s="0" t="s">
        <v>3456</v>
      </c>
      <c r="U14" s="0" t="s">
        <v>3457</v>
      </c>
      <c r="V14" s="0" t="s">
        <v>3458</v>
      </c>
      <c r="W14" s="0" t="s">
        <v>3459</v>
      </c>
      <c r="X14" s="0" t="s">
        <v>3460</v>
      </c>
      <c r="Y14" s="0" t="s">
        <v>3457</v>
      </c>
      <c r="Z14" s="0" t="s">
        <v>3514</v>
      </c>
      <c r="AA14" s="0" t="s">
        <v>3462</v>
      </c>
      <c r="AB14" s="0" t="s">
        <v>3458</v>
      </c>
      <c r="AC14" s="0" t="s">
        <v>63</v>
      </c>
      <c r="AD14" s="0" t="s">
        <v>63</v>
      </c>
      <c r="AE14" s="0" t="s">
        <v>63</v>
      </c>
      <c r="AF14" s="0" t="s">
        <v>3515</v>
      </c>
      <c r="AG14" s="0" t="s">
        <v>3516</v>
      </c>
      <c r="AH14" s="0" t="s">
        <v>3515</v>
      </c>
      <c r="AI14" s="0" t="s">
        <v>3516</v>
      </c>
      <c r="AJ14" s="0" t="s">
        <v>3515</v>
      </c>
      <c r="AK14" s="0" t="s">
        <v>3516</v>
      </c>
      <c r="AL14" s="0" t="s">
        <v>3517</v>
      </c>
    </row>
    <row customHeight="1" ht="11.25">
      <c r="A15" s="0" t="s">
        <v>22</v>
      </c>
      <c r="B15" s="0" t="s">
        <v>49</v>
      </c>
      <c r="C15" s="0" t="s">
        <v>51</v>
      </c>
      <c r="D15" s="0" t="s">
        <v>22</v>
      </c>
      <c r="E15" s="0" t="s">
        <v>633</v>
      </c>
      <c r="F15" s="0" t="s">
        <v>1124</v>
      </c>
      <c r="G15" s="0" t="s">
        <v>101</v>
      </c>
      <c r="H15" s="0" t="s">
        <v>101</v>
      </c>
      <c r="I15" s="0" t="s">
        <v>102</v>
      </c>
      <c r="J15" s="0" t="s">
        <v>1125</v>
      </c>
      <c r="K15" s="0" t="s">
        <v>1126</v>
      </c>
      <c r="L15" s="0" t="s">
        <v>1170</v>
      </c>
      <c r="M15" s="0" t="s">
        <v>1171</v>
      </c>
      <c r="N15" s="0" t="s">
        <v>120</v>
      </c>
      <c r="O15" s="0" t="s">
        <v>3455</v>
      </c>
      <c r="P15" s="0" t="s">
        <v>3455</v>
      </c>
      <c r="Q15" s="0" t="s">
        <v>102</v>
      </c>
      <c r="R15" s="0" t="s">
        <v>1125</v>
      </c>
      <c r="S15" s="0" t="s">
        <v>1126</v>
      </c>
      <c r="T15" s="0" t="s">
        <v>3456</v>
      </c>
      <c r="U15" s="0" t="s">
        <v>3457</v>
      </c>
      <c r="V15" s="0" t="s">
        <v>3458</v>
      </c>
      <c r="W15" s="0" t="s">
        <v>3459</v>
      </c>
      <c r="X15" s="0" t="s">
        <v>3460</v>
      </c>
      <c r="Y15" s="0" t="s">
        <v>3457</v>
      </c>
      <c r="Z15" s="0" t="s">
        <v>3518</v>
      </c>
      <c r="AA15" s="0" t="s">
        <v>3462</v>
      </c>
      <c r="AB15" s="0" t="s">
        <v>3458</v>
      </c>
      <c r="AC15" s="0" t="s">
        <v>63</v>
      </c>
      <c r="AD15" s="0" t="s">
        <v>63</v>
      </c>
      <c r="AE15" s="0" t="s">
        <v>63</v>
      </c>
      <c r="AF15" s="0" t="s">
        <v>3519</v>
      </c>
      <c r="AG15" s="0" t="s">
        <v>3520</v>
      </c>
      <c r="AH15" s="0" t="s">
        <v>3519</v>
      </c>
      <c r="AI15" s="0" t="s">
        <v>3520</v>
      </c>
      <c r="AJ15" s="0" t="s">
        <v>3519</v>
      </c>
      <c r="AK15" s="0" t="s">
        <v>3520</v>
      </c>
      <c r="AL15" s="0" t="s">
        <v>3464</v>
      </c>
    </row>
    <row customHeight="1" ht="11.25">
      <c r="A16" s="0" t="s">
        <v>22</v>
      </c>
      <c r="B16" s="0" t="s">
        <v>49</v>
      </c>
      <c r="C16" s="0" t="s">
        <v>51</v>
      </c>
      <c r="D16" s="0" t="s">
        <v>22</v>
      </c>
      <c r="E16" s="0" t="s">
        <v>614</v>
      </c>
      <c r="F16" s="0" t="s">
        <v>1124</v>
      </c>
      <c r="G16" s="0" t="s">
        <v>101</v>
      </c>
      <c r="H16" s="0" t="s">
        <v>101</v>
      </c>
      <c r="I16" s="0" t="s">
        <v>102</v>
      </c>
      <c r="J16" s="0" t="s">
        <v>1125</v>
      </c>
      <c r="K16" s="0" t="s">
        <v>1126</v>
      </c>
      <c r="L16" s="0" t="s">
        <v>1127</v>
      </c>
      <c r="M16" s="0" t="s">
        <v>1128</v>
      </c>
      <c r="N16" s="0" t="s">
        <v>120</v>
      </c>
      <c r="O16" s="0" t="s">
        <v>3455</v>
      </c>
      <c r="P16" s="0" t="s">
        <v>3455</v>
      </c>
      <c r="Q16" s="0" t="s">
        <v>102</v>
      </c>
      <c r="R16" s="0" t="s">
        <v>1125</v>
      </c>
      <c r="S16" s="0" t="s">
        <v>1126</v>
      </c>
      <c r="T16" s="0" t="s">
        <v>3456</v>
      </c>
      <c r="U16" s="0" t="s">
        <v>3521</v>
      </c>
      <c r="V16" s="0" t="s">
        <v>3522</v>
      </c>
      <c r="W16" s="0" t="s">
        <v>3459</v>
      </c>
      <c r="X16" s="0" t="s">
        <v>3523</v>
      </c>
      <c r="Y16" s="0" t="s">
        <v>3524</v>
      </c>
      <c r="Z16" s="0" t="s">
        <v>3525</v>
      </c>
      <c r="AA16" s="0" t="s">
        <v>3526</v>
      </c>
      <c r="AB16" s="0" t="s">
        <v>3522</v>
      </c>
      <c r="AC16" s="0" t="s">
        <v>63</v>
      </c>
      <c r="AD16" s="0" t="s">
        <v>63</v>
      </c>
      <c r="AE16" s="0" t="s">
        <v>63</v>
      </c>
      <c r="AF16" s="0" t="s">
        <v>3527</v>
      </c>
      <c r="AG16" s="0" t="s">
        <v>3528</v>
      </c>
      <c r="AH16" s="0" t="s">
        <v>3527</v>
      </c>
      <c r="AI16" s="0" t="s">
        <v>3528</v>
      </c>
      <c r="AJ16" s="0" t="s">
        <v>3527</v>
      </c>
      <c r="AK16" s="0" t="s">
        <v>3528</v>
      </c>
      <c r="AL16" s="0" t="s">
        <v>3529</v>
      </c>
    </row>
    <row customHeight="1" ht="11.25">
      <c r="A17" s="0" t="s">
        <v>22</v>
      </c>
      <c r="B17" s="0" t="s">
        <v>49</v>
      </c>
      <c r="C17" s="0" t="s">
        <v>51</v>
      </c>
      <c r="D17" s="0" t="s">
        <v>22</v>
      </c>
      <c r="E17" s="0" t="s">
        <v>3530</v>
      </c>
      <c r="F17" s="0" t="s">
        <v>3531</v>
      </c>
      <c r="G17" s="0" t="s">
        <v>101</v>
      </c>
      <c r="H17" s="0" t="s">
        <v>101</v>
      </c>
      <c r="I17" s="0" t="s">
        <v>102</v>
      </c>
      <c r="J17" s="0" t="s">
        <v>1125</v>
      </c>
      <c r="K17" s="0" t="s">
        <v>1126</v>
      </c>
      <c r="L17" s="0" t="s">
        <v>3532</v>
      </c>
      <c r="M17" s="0" t="s">
        <v>91</v>
      </c>
      <c r="N17" s="0" t="s">
        <v>120</v>
      </c>
      <c r="O17" s="0" t="s">
        <v>3455</v>
      </c>
      <c r="P17" s="0" t="s">
        <v>3455</v>
      </c>
      <c r="Q17" s="0" t="s">
        <v>102</v>
      </c>
      <c r="R17" s="0" t="s">
        <v>1125</v>
      </c>
      <c r="S17" s="0" t="s">
        <v>1126</v>
      </c>
      <c r="T17" s="0" t="s">
        <v>3456</v>
      </c>
      <c r="U17" s="0" t="s">
        <v>3521</v>
      </c>
      <c r="V17" s="0" t="s">
        <v>3533</v>
      </c>
      <c r="W17" s="0" t="s">
        <v>3459</v>
      </c>
      <c r="X17" s="0" t="s">
        <v>3523</v>
      </c>
      <c r="Y17" s="0" t="s">
        <v>3524</v>
      </c>
      <c r="Z17" s="0" t="s">
        <v>3534</v>
      </c>
      <c r="AA17" s="0" t="s">
        <v>3535</v>
      </c>
      <c r="AB17" s="0" t="s">
        <v>3533</v>
      </c>
      <c r="AC17" s="0" t="s">
        <v>63</v>
      </c>
      <c r="AD17" s="0" t="s">
        <v>19</v>
      </c>
      <c r="AE17" s="0" t="s">
        <v>19</v>
      </c>
      <c r="AF17" s="0" t="s">
        <v>3536</v>
      </c>
      <c r="AG17" s="0" t="s">
        <v>3537</v>
      </c>
      <c r="AH17" s="0" t="s">
        <v>22</v>
      </c>
      <c r="AI17" s="0" t="s">
        <v>22</v>
      </c>
      <c r="AJ17" s="0" t="s">
        <v>22</v>
      </c>
      <c r="AK17" s="0" t="s">
        <v>22</v>
      </c>
      <c r="AL17" s="0" t="s">
        <v>3529</v>
      </c>
    </row>
    <row customHeight="1" ht="11.25">
      <c r="A18" s="0" t="s">
        <v>22</v>
      </c>
      <c r="B18" s="0" t="s">
        <v>49</v>
      </c>
      <c r="C18" s="0" t="s">
        <v>51</v>
      </c>
      <c r="D18" s="0" t="s">
        <v>22</v>
      </c>
      <c r="E18" s="0" t="s">
        <v>1238</v>
      </c>
      <c r="F18" s="0" t="s">
        <v>1124</v>
      </c>
      <c r="G18" s="0" t="s">
        <v>101</v>
      </c>
      <c r="H18" s="0" t="s">
        <v>101</v>
      </c>
      <c r="I18" s="0" t="s">
        <v>102</v>
      </c>
      <c r="J18" s="0" t="s">
        <v>1125</v>
      </c>
      <c r="K18" s="0" t="s">
        <v>1126</v>
      </c>
      <c r="L18" s="0" t="s">
        <v>1239</v>
      </c>
      <c r="M18" s="0" t="s">
        <v>93</v>
      </c>
      <c r="N18" s="0" t="s">
        <v>120</v>
      </c>
      <c r="O18" s="0" t="s">
        <v>3455</v>
      </c>
      <c r="P18" s="0" t="s">
        <v>3455</v>
      </c>
      <c r="Q18" s="0" t="s">
        <v>102</v>
      </c>
      <c r="R18" s="0" t="s">
        <v>1125</v>
      </c>
      <c r="S18" s="0" t="s">
        <v>1126</v>
      </c>
      <c r="T18" s="0" t="s">
        <v>3456</v>
      </c>
      <c r="U18" s="0" t="s">
        <v>3457</v>
      </c>
      <c r="V18" s="0" t="s">
        <v>3458</v>
      </c>
      <c r="W18" s="0" t="s">
        <v>3459</v>
      </c>
      <c r="X18" s="0" t="s">
        <v>3460</v>
      </c>
      <c r="Y18" s="0" t="s">
        <v>3457</v>
      </c>
      <c r="Z18" s="0" t="s">
        <v>3538</v>
      </c>
      <c r="AA18" s="0" t="s">
        <v>3462</v>
      </c>
      <c r="AB18" s="0" t="s">
        <v>3458</v>
      </c>
      <c r="AC18" s="0" t="s">
        <v>63</v>
      </c>
      <c r="AD18" s="0" t="s">
        <v>63</v>
      </c>
      <c r="AE18" s="0" t="s">
        <v>63</v>
      </c>
      <c r="AF18" s="0" t="s">
        <v>3539</v>
      </c>
      <c r="AG18" s="0" t="s">
        <v>3540</v>
      </c>
      <c r="AH18" s="0" t="s">
        <v>3539</v>
      </c>
      <c r="AI18" s="0" t="s">
        <v>3540</v>
      </c>
      <c r="AJ18" s="0" t="s">
        <v>3539</v>
      </c>
      <c r="AK18" s="0" t="s">
        <v>3540</v>
      </c>
      <c r="AL18" s="0" t="s">
        <v>3541</v>
      </c>
    </row>
    <row customHeight="1" ht="11.25">
      <c r="A19" s="0" t="s">
        <v>22</v>
      </c>
      <c r="B19" s="0" t="s">
        <v>49</v>
      </c>
      <c r="C19" s="0" t="s">
        <v>51</v>
      </c>
      <c r="D19" s="0" t="s">
        <v>22</v>
      </c>
      <c r="E19" s="0" t="s">
        <v>3542</v>
      </c>
      <c r="F19" s="0" t="s">
        <v>1124</v>
      </c>
      <c r="G19" s="0" t="s">
        <v>101</v>
      </c>
      <c r="H19" s="0" t="s">
        <v>101</v>
      </c>
      <c r="I19" s="0" t="s">
        <v>102</v>
      </c>
      <c r="J19" s="0" t="s">
        <v>1125</v>
      </c>
      <c r="K19" s="0" t="s">
        <v>1126</v>
      </c>
      <c r="L19" s="0" t="s">
        <v>3543</v>
      </c>
      <c r="M19" s="0" t="s">
        <v>3544</v>
      </c>
      <c r="N19" s="0" t="s">
        <v>120</v>
      </c>
      <c r="O19" s="0" t="s">
        <v>3455</v>
      </c>
      <c r="P19" s="0" t="s">
        <v>3455</v>
      </c>
      <c r="Q19" s="0" t="s">
        <v>102</v>
      </c>
      <c r="R19" s="0" t="s">
        <v>1125</v>
      </c>
      <c r="S19" s="0" t="s">
        <v>1126</v>
      </c>
      <c r="T19" s="0" t="s">
        <v>3456</v>
      </c>
      <c r="U19" s="0" t="s">
        <v>3457</v>
      </c>
      <c r="V19" s="0" t="s">
        <v>3458</v>
      </c>
      <c r="W19" s="0" t="s">
        <v>3459</v>
      </c>
      <c r="X19" s="0" t="s">
        <v>3460</v>
      </c>
      <c r="Y19" s="0" t="s">
        <v>3457</v>
      </c>
      <c r="Z19" s="0" t="s">
        <v>3545</v>
      </c>
      <c r="AA19" s="0" t="s">
        <v>3462</v>
      </c>
      <c r="AB19" s="0" t="s">
        <v>3458</v>
      </c>
      <c r="AC19" s="0" t="s">
        <v>63</v>
      </c>
      <c r="AD19" s="0" t="s">
        <v>63</v>
      </c>
      <c r="AE19" s="0" t="s">
        <v>63</v>
      </c>
      <c r="AF19" s="0" t="s">
        <v>3546</v>
      </c>
      <c r="AG19" s="0" t="s">
        <v>3547</v>
      </c>
      <c r="AH19" s="0" t="s">
        <v>3546</v>
      </c>
      <c r="AI19" s="0" t="s">
        <v>3547</v>
      </c>
      <c r="AJ19" s="0" t="s">
        <v>3546</v>
      </c>
      <c r="AK19" s="0" t="s">
        <v>3547</v>
      </c>
      <c r="AL19" s="0" t="s">
        <v>3464</v>
      </c>
    </row>
    <row customHeight="1" ht="11.25">
      <c r="A20" s="0" t="s">
        <v>22</v>
      </c>
      <c r="B20" s="0" t="s">
        <v>49</v>
      </c>
      <c r="C20" s="0" t="s">
        <v>51</v>
      </c>
      <c r="D20" s="0" t="s">
        <v>22</v>
      </c>
      <c r="E20" s="0" t="s">
        <v>3548</v>
      </c>
      <c r="F20" s="0" t="s">
        <v>1124</v>
      </c>
      <c r="G20" s="0" t="s">
        <v>101</v>
      </c>
      <c r="H20" s="0" t="s">
        <v>101</v>
      </c>
      <c r="I20" s="0" t="s">
        <v>102</v>
      </c>
      <c r="J20" s="0" t="s">
        <v>1125</v>
      </c>
      <c r="K20" s="0" t="s">
        <v>1126</v>
      </c>
      <c r="L20" s="0" t="s">
        <v>3549</v>
      </c>
      <c r="M20" s="0" t="s">
        <v>3550</v>
      </c>
      <c r="N20" s="0" t="s">
        <v>120</v>
      </c>
      <c r="O20" s="0" t="s">
        <v>3455</v>
      </c>
      <c r="P20" s="0" t="s">
        <v>3455</v>
      </c>
      <c r="Q20" s="0" t="s">
        <v>102</v>
      </c>
      <c r="R20" s="0" t="s">
        <v>1125</v>
      </c>
      <c r="S20" s="0" t="s">
        <v>1126</v>
      </c>
      <c r="T20" s="0" t="s">
        <v>3456</v>
      </c>
      <c r="U20" s="0" t="s">
        <v>3457</v>
      </c>
      <c r="V20" s="0" t="s">
        <v>3458</v>
      </c>
      <c r="W20" s="0" t="s">
        <v>3459</v>
      </c>
      <c r="X20" s="0" t="s">
        <v>3460</v>
      </c>
      <c r="Y20" s="0" t="s">
        <v>3457</v>
      </c>
      <c r="Z20" s="0" t="s">
        <v>3551</v>
      </c>
      <c r="AA20" s="0" t="s">
        <v>3462</v>
      </c>
      <c r="AB20" s="0" t="s">
        <v>3458</v>
      </c>
      <c r="AC20" s="0" t="s">
        <v>63</v>
      </c>
      <c r="AD20" s="0" t="s">
        <v>63</v>
      </c>
      <c r="AE20" s="0" t="s">
        <v>63</v>
      </c>
      <c r="AF20" s="0" t="s">
        <v>3552</v>
      </c>
      <c r="AG20" s="0" t="s">
        <v>3553</v>
      </c>
      <c r="AH20" s="0" t="s">
        <v>3552</v>
      </c>
      <c r="AI20" s="0" t="s">
        <v>3553</v>
      </c>
      <c r="AJ20" s="0" t="s">
        <v>3552</v>
      </c>
      <c r="AK20" s="0" t="s">
        <v>3553</v>
      </c>
      <c r="AL20" s="0" t="s">
        <v>3503</v>
      </c>
    </row>
    <row customHeight="1" ht="11.25">
      <c r="A21" s="0" t="s">
        <v>22</v>
      </c>
      <c r="B21" s="0" t="s">
        <v>49</v>
      </c>
      <c r="C21" s="0" t="s">
        <v>51</v>
      </c>
      <c r="D21" s="0" t="s">
        <v>22</v>
      </c>
      <c r="E21" s="0" t="s">
        <v>3554</v>
      </c>
      <c r="F21" s="0" t="s">
        <v>1124</v>
      </c>
      <c r="G21" s="0" t="s">
        <v>101</v>
      </c>
      <c r="H21" s="0" t="s">
        <v>101</v>
      </c>
      <c r="I21" s="0" t="s">
        <v>102</v>
      </c>
      <c r="J21" s="0" t="s">
        <v>1125</v>
      </c>
      <c r="K21" s="0" t="s">
        <v>1126</v>
      </c>
      <c r="L21" s="0" t="s">
        <v>3555</v>
      </c>
      <c r="M21" s="0" t="s">
        <v>3556</v>
      </c>
      <c r="N21" s="0" t="s">
        <v>120</v>
      </c>
      <c r="O21" s="0" t="s">
        <v>3455</v>
      </c>
      <c r="P21" s="0" t="s">
        <v>3455</v>
      </c>
      <c r="Q21" s="0" t="s">
        <v>102</v>
      </c>
      <c r="R21" s="0" t="s">
        <v>1125</v>
      </c>
      <c r="S21" s="0" t="s">
        <v>1126</v>
      </c>
      <c r="T21" s="0" t="s">
        <v>3456</v>
      </c>
      <c r="U21" s="0" t="s">
        <v>3457</v>
      </c>
      <c r="V21" s="0" t="s">
        <v>3458</v>
      </c>
      <c r="W21" s="0" t="s">
        <v>3459</v>
      </c>
      <c r="X21" s="0" t="s">
        <v>3460</v>
      </c>
      <c r="Y21" s="0" t="s">
        <v>3457</v>
      </c>
      <c r="Z21" s="0" t="s">
        <v>3557</v>
      </c>
      <c r="AA21" s="0" t="s">
        <v>3462</v>
      </c>
      <c r="AB21" s="0" t="s">
        <v>3458</v>
      </c>
      <c r="AC21" s="0" t="s">
        <v>63</v>
      </c>
      <c r="AD21" s="0" t="s">
        <v>63</v>
      </c>
      <c r="AE21" s="0" t="s">
        <v>63</v>
      </c>
      <c r="AF21" s="0" t="s">
        <v>3558</v>
      </c>
      <c r="AG21" s="0" t="s">
        <v>3559</v>
      </c>
      <c r="AH21" s="0" t="s">
        <v>3558</v>
      </c>
      <c r="AI21" s="0" t="s">
        <v>3559</v>
      </c>
      <c r="AJ21" s="0" t="s">
        <v>3558</v>
      </c>
      <c r="AK21" s="0" t="s">
        <v>3559</v>
      </c>
      <c r="AL21" s="0" t="s">
        <v>3489</v>
      </c>
    </row>
    <row customHeight="1" ht="11.25">
      <c r="A22" s="0" t="s">
        <v>22</v>
      </c>
      <c r="B22" s="0" t="s">
        <v>49</v>
      </c>
      <c r="C22" s="0" t="s">
        <v>51</v>
      </c>
      <c r="D22" s="0" t="s">
        <v>22</v>
      </c>
      <c r="E22" s="0" t="s">
        <v>1181</v>
      </c>
      <c r="F22" s="0" t="s">
        <v>1124</v>
      </c>
      <c r="G22" s="0" t="s">
        <v>112</v>
      </c>
      <c r="H22" s="0" t="s">
        <v>112</v>
      </c>
      <c r="I22" s="0" t="s">
        <v>113</v>
      </c>
      <c r="J22" s="0" t="s">
        <v>1182</v>
      </c>
      <c r="K22" s="0" t="s">
        <v>1183</v>
      </c>
      <c r="L22" s="0" t="s">
        <v>1184</v>
      </c>
      <c r="M22" s="0" t="s">
        <v>1185</v>
      </c>
      <c r="N22" s="0" t="s">
        <v>120</v>
      </c>
      <c r="O22" s="0" t="s">
        <v>112</v>
      </c>
      <c r="P22" s="0" t="s">
        <v>112</v>
      </c>
      <c r="Q22" s="0" t="s">
        <v>113</v>
      </c>
      <c r="R22" s="0" t="s">
        <v>1182</v>
      </c>
      <c r="S22" s="0" t="s">
        <v>1183</v>
      </c>
      <c r="T22" s="0" t="s">
        <v>3456</v>
      </c>
      <c r="U22" s="0" t="s">
        <v>3457</v>
      </c>
      <c r="V22" s="0" t="s">
        <v>3560</v>
      </c>
      <c r="W22" s="0" t="s">
        <v>3459</v>
      </c>
      <c r="X22" s="0" t="s">
        <v>3460</v>
      </c>
      <c r="Y22" s="0" t="s">
        <v>3457</v>
      </c>
      <c r="Z22" s="0" t="s">
        <v>3561</v>
      </c>
      <c r="AA22" s="0" t="s">
        <v>3462</v>
      </c>
      <c r="AB22" s="0" t="s">
        <v>3560</v>
      </c>
      <c r="AC22" s="0" t="s">
        <v>63</v>
      </c>
      <c r="AD22" s="0" t="s">
        <v>63</v>
      </c>
      <c r="AE22" s="0" t="s">
        <v>63</v>
      </c>
      <c r="AF22" s="0" t="s">
        <v>3562</v>
      </c>
      <c r="AG22" s="0" t="s">
        <v>3563</v>
      </c>
      <c r="AH22" s="0" t="s">
        <v>3562</v>
      </c>
      <c r="AI22" s="0" t="s">
        <v>3563</v>
      </c>
      <c r="AJ22" s="0" t="s">
        <v>3562</v>
      </c>
      <c r="AK22" s="0" t="s">
        <v>3563</v>
      </c>
      <c r="AL22" s="0" t="s">
        <v>3529</v>
      </c>
    </row>
    <row customHeight="1" ht="11.25">
      <c r="A23" s="0" t="s">
        <v>22</v>
      </c>
      <c r="B23" s="0" t="s">
        <v>49</v>
      </c>
      <c r="C23" s="0" t="s">
        <v>51</v>
      </c>
      <c r="D23" s="0" t="s">
        <v>22</v>
      </c>
      <c r="E23" s="0" t="s">
        <v>3564</v>
      </c>
      <c r="F23" s="0" t="s">
        <v>3531</v>
      </c>
      <c r="G23" s="0" t="s">
        <v>112</v>
      </c>
      <c r="H23" s="0" t="s">
        <v>112</v>
      </c>
      <c r="I23" s="0" t="s">
        <v>113</v>
      </c>
      <c r="J23" s="0" t="s">
        <v>1182</v>
      </c>
      <c r="K23" s="0" t="s">
        <v>1183</v>
      </c>
      <c r="L23" s="0" t="s">
        <v>3565</v>
      </c>
      <c r="M23" s="0" t="s">
        <v>3566</v>
      </c>
      <c r="N23" s="0" t="s">
        <v>120</v>
      </c>
      <c r="O23" s="0" t="s">
        <v>112</v>
      </c>
      <c r="P23" s="0" t="s">
        <v>112</v>
      </c>
      <c r="Q23" s="0" t="s">
        <v>113</v>
      </c>
      <c r="R23" s="0" t="s">
        <v>1182</v>
      </c>
      <c r="S23" s="0" t="s">
        <v>1183</v>
      </c>
      <c r="T23" s="0" t="s">
        <v>3456</v>
      </c>
      <c r="U23" s="0" t="s">
        <v>3457</v>
      </c>
      <c r="V23" s="0" t="s">
        <v>3560</v>
      </c>
      <c r="W23" s="0" t="s">
        <v>3459</v>
      </c>
      <c r="X23" s="0" t="s">
        <v>3460</v>
      </c>
      <c r="Y23" s="0" t="s">
        <v>3457</v>
      </c>
      <c r="Z23" s="0" t="s">
        <v>3561</v>
      </c>
      <c r="AA23" s="0" t="s">
        <v>3462</v>
      </c>
      <c r="AB23" s="0" t="s">
        <v>3560</v>
      </c>
      <c r="AC23" s="0" t="s">
        <v>63</v>
      </c>
      <c r="AD23" s="0" t="s">
        <v>19</v>
      </c>
      <c r="AE23" s="0" t="s">
        <v>19</v>
      </c>
      <c r="AF23" s="0" t="s">
        <v>3567</v>
      </c>
      <c r="AG23" s="0" t="s">
        <v>3563</v>
      </c>
      <c r="AH23" s="0" t="s">
        <v>22</v>
      </c>
      <c r="AI23" s="0" t="s">
        <v>22</v>
      </c>
      <c r="AJ23" s="0" t="s">
        <v>22</v>
      </c>
      <c r="AK23" s="0" t="s">
        <v>22</v>
      </c>
      <c r="AL23" s="0" t="s">
        <v>3529</v>
      </c>
    </row>
    <row customHeight="1" ht="11.25">
      <c r="A24" s="0" t="s">
        <v>22</v>
      </c>
      <c r="B24" s="0" t="s">
        <v>49</v>
      </c>
      <c r="C24" s="0" t="s">
        <v>51</v>
      </c>
      <c r="D24" s="0" t="s">
        <v>22</v>
      </c>
      <c r="E24" s="0" t="s">
        <v>1188</v>
      </c>
      <c r="F24" s="0" t="s">
        <v>1124</v>
      </c>
      <c r="G24" s="0" t="s">
        <v>112</v>
      </c>
      <c r="H24" s="0" t="s">
        <v>112</v>
      </c>
      <c r="I24" s="0" t="s">
        <v>113</v>
      </c>
      <c r="J24" s="0" t="s">
        <v>1189</v>
      </c>
      <c r="K24" s="0" t="s">
        <v>1190</v>
      </c>
      <c r="L24" s="0" t="s">
        <v>1191</v>
      </c>
      <c r="M24" s="0" t="s">
        <v>167</v>
      </c>
      <c r="N24" s="0" t="s">
        <v>120</v>
      </c>
      <c r="O24" s="0" t="s">
        <v>112</v>
      </c>
      <c r="P24" s="0" t="s">
        <v>112</v>
      </c>
      <c r="Q24" s="0" t="s">
        <v>113</v>
      </c>
      <c r="R24" s="0" t="s">
        <v>1189</v>
      </c>
      <c r="S24" s="0" t="s">
        <v>1190</v>
      </c>
      <c r="T24" s="0" t="s">
        <v>3456</v>
      </c>
      <c r="U24" s="0" t="s">
        <v>3457</v>
      </c>
      <c r="V24" s="0" t="s">
        <v>3560</v>
      </c>
      <c r="W24" s="0" t="s">
        <v>3459</v>
      </c>
      <c r="X24" s="0" t="s">
        <v>3460</v>
      </c>
      <c r="Y24" s="0" t="s">
        <v>3457</v>
      </c>
      <c r="Z24" s="0" t="s">
        <v>3561</v>
      </c>
      <c r="AA24" s="0" t="s">
        <v>3462</v>
      </c>
      <c r="AB24" s="0" t="s">
        <v>3560</v>
      </c>
      <c r="AC24" s="0" t="s">
        <v>63</v>
      </c>
      <c r="AD24" s="0" t="s">
        <v>63</v>
      </c>
      <c r="AE24" s="0" t="s">
        <v>63</v>
      </c>
      <c r="AF24" s="0" t="s">
        <v>3568</v>
      </c>
      <c r="AG24" s="0" t="s">
        <v>3569</v>
      </c>
      <c r="AH24" s="0" t="s">
        <v>3568</v>
      </c>
      <c r="AI24" s="0" t="s">
        <v>3569</v>
      </c>
      <c r="AJ24" s="0" t="s">
        <v>3568</v>
      </c>
      <c r="AK24" s="0" t="s">
        <v>3569</v>
      </c>
      <c r="AL24" s="0" t="s">
        <v>3529</v>
      </c>
    </row>
    <row customHeight="1" ht="11.25">
      <c r="A25" s="0" t="s">
        <v>22</v>
      </c>
      <c r="B25" s="0" t="s">
        <v>49</v>
      </c>
      <c r="C25" s="0" t="s">
        <v>51</v>
      </c>
      <c r="D25" s="0" t="s">
        <v>22</v>
      </c>
      <c r="E25" s="0" t="s">
        <v>1262</v>
      </c>
      <c r="F25" s="0" t="s">
        <v>1124</v>
      </c>
      <c r="G25" s="0" t="s">
        <v>112</v>
      </c>
      <c r="H25" s="0" t="s">
        <v>112</v>
      </c>
      <c r="I25" s="0" t="s">
        <v>113</v>
      </c>
      <c r="J25" s="0" t="s">
        <v>1263</v>
      </c>
      <c r="K25" s="0" t="s">
        <v>1264</v>
      </c>
      <c r="L25" s="0" t="s">
        <v>1265</v>
      </c>
      <c r="M25" s="0" t="s">
        <v>168</v>
      </c>
      <c r="N25" s="0" t="s">
        <v>120</v>
      </c>
      <c r="O25" s="0" t="s">
        <v>112</v>
      </c>
      <c r="P25" s="0" t="s">
        <v>112</v>
      </c>
      <c r="Q25" s="0" t="s">
        <v>113</v>
      </c>
      <c r="R25" s="0" t="s">
        <v>1263</v>
      </c>
      <c r="S25" s="0" t="s">
        <v>1264</v>
      </c>
      <c r="T25" s="0" t="s">
        <v>3456</v>
      </c>
      <c r="U25" s="0" t="s">
        <v>3457</v>
      </c>
      <c r="V25" s="0" t="s">
        <v>3560</v>
      </c>
      <c r="W25" s="0" t="s">
        <v>3459</v>
      </c>
      <c r="X25" s="0" t="s">
        <v>3460</v>
      </c>
      <c r="Y25" s="0" t="s">
        <v>3457</v>
      </c>
      <c r="Z25" s="0" t="s">
        <v>3561</v>
      </c>
      <c r="AA25" s="0" t="s">
        <v>3462</v>
      </c>
      <c r="AB25" s="0" t="s">
        <v>3560</v>
      </c>
      <c r="AC25" s="0" t="s">
        <v>63</v>
      </c>
      <c r="AD25" s="0" t="s">
        <v>63</v>
      </c>
      <c r="AE25" s="0" t="s">
        <v>63</v>
      </c>
      <c r="AF25" s="0" t="s">
        <v>122</v>
      </c>
      <c r="AG25" s="0" t="s">
        <v>3570</v>
      </c>
      <c r="AH25" s="0" t="s">
        <v>122</v>
      </c>
      <c r="AI25" s="0" t="s">
        <v>3570</v>
      </c>
      <c r="AJ25" s="0" t="s">
        <v>122</v>
      </c>
      <c r="AK25" s="0" t="s">
        <v>3570</v>
      </c>
      <c r="AL25" s="0" t="s">
        <v>3529</v>
      </c>
    </row>
    <row customHeight="1" ht="11.25">
      <c r="A26" s="0" t="s">
        <v>22</v>
      </c>
      <c r="B26" s="0" t="s">
        <v>49</v>
      </c>
      <c r="C26" s="0" t="s">
        <v>51</v>
      </c>
      <c r="D26" s="0" t="s">
        <v>22</v>
      </c>
      <c r="E26" s="0" t="s">
        <v>3571</v>
      </c>
      <c r="F26" s="0" t="s">
        <v>1124</v>
      </c>
      <c r="G26" s="0" t="s">
        <v>112</v>
      </c>
      <c r="H26" s="0" t="s">
        <v>112</v>
      </c>
      <c r="I26" s="0" t="s">
        <v>113</v>
      </c>
      <c r="J26" s="0" t="s">
        <v>3572</v>
      </c>
      <c r="K26" s="0" t="s">
        <v>3573</v>
      </c>
      <c r="L26" s="0" t="s">
        <v>3574</v>
      </c>
      <c r="M26" s="0" t="s">
        <v>91</v>
      </c>
      <c r="N26" s="0" t="s">
        <v>120</v>
      </c>
      <c r="O26" s="0" t="s">
        <v>112</v>
      </c>
      <c r="P26" s="0" t="s">
        <v>112</v>
      </c>
      <c r="Q26" s="0" t="s">
        <v>113</v>
      </c>
      <c r="R26" s="0" t="s">
        <v>3572</v>
      </c>
      <c r="S26" s="0" t="s">
        <v>3573</v>
      </c>
      <c r="T26" s="0" t="s">
        <v>3456</v>
      </c>
      <c r="U26" s="0" t="s">
        <v>3457</v>
      </c>
      <c r="V26" s="0" t="s">
        <v>3560</v>
      </c>
      <c r="W26" s="0" t="s">
        <v>3459</v>
      </c>
      <c r="X26" s="0" t="s">
        <v>3460</v>
      </c>
      <c r="Y26" s="0" t="s">
        <v>3457</v>
      </c>
      <c r="Z26" s="0" t="s">
        <v>3561</v>
      </c>
      <c r="AA26" s="0" t="s">
        <v>3462</v>
      </c>
      <c r="AB26" s="0" t="s">
        <v>3560</v>
      </c>
      <c r="AC26" s="0" t="s">
        <v>63</v>
      </c>
      <c r="AD26" s="0" t="s">
        <v>63</v>
      </c>
      <c r="AE26" s="0" t="s">
        <v>63</v>
      </c>
      <c r="AF26" s="0" t="s">
        <v>3575</v>
      </c>
      <c r="AG26" s="0" t="s">
        <v>3576</v>
      </c>
      <c r="AH26" s="0" t="s">
        <v>3575</v>
      </c>
      <c r="AI26" s="0" t="s">
        <v>3576</v>
      </c>
      <c r="AJ26" s="0" t="s">
        <v>3575</v>
      </c>
      <c r="AK26" s="0" t="s">
        <v>3576</v>
      </c>
      <c r="AL26" s="0" t="s">
        <v>3529</v>
      </c>
    </row>
    <row customHeight="1" ht="11.25">
      <c r="A27" s="0" t="s">
        <v>22</v>
      </c>
      <c r="B27" s="0" t="s">
        <v>49</v>
      </c>
      <c r="C27" s="0" t="s">
        <v>51</v>
      </c>
      <c r="D27" s="0" t="s">
        <v>22</v>
      </c>
      <c r="E27" s="0" t="s">
        <v>635</v>
      </c>
      <c r="F27" s="0" t="s">
        <v>1124</v>
      </c>
      <c r="G27" s="0" t="s">
        <v>108</v>
      </c>
      <c r="H27" s="0" t="s">
        <v>108</v>
      </c>
      <c r="I27" s="0" t="s">
        <v>109</v>
      </c>
      <c r="J27" s="0" t="s">
        <v>1174</v>
      </c>
      <c r="K27" s="0" t="s">
        <v>1175</v>
      </c>
      <c r="L27" s="0" t="s">
        <v>1241</v>
      </c>
      <c r="M27" s="0" t="s">
        <v>104</v>
      </c>
      <c r="N27" s="0" t="s">
        <v>120</v>
      </c>
      <c r="O27" s="0" t="s">
        <v>108</v>
      </c>
      <c r="P27" s="0" t="s">
        <v>3577</v>
      </c>
      <c r="Q27" s="0" t="s">
        <v>109</v>
      </c>
      <c r="R27" s="0" t="s">
        <v>1174</v>
      </c>
      <c r="S27" s="0" t="s">
        <v>1175</v>
      </c>
      <c r="T27" s="0" t="s">
        <v>3456</v>
      </c>
      <c r="U27" s="0" t="s">
        <v>3457</v>
      </c>
      <c r="V27" s="0" t="s">
        <v>3560</v>
      </c>
      <c r="W27" s="0" t="s">
        <v>3459</v>
      </c>
      <c r="X27" s="0" t="s">
        <v>3460</v>
      </c>
      <c r="Y27" s="0" t="s">
        <v>3457</v>
      </c>
      <c r="Z27" s="0" t="s">
        <v>3561</v>
      </c>
      <c r="AA27" s="0" t="s">
        <v>3462</v>
      </c>
      <c r="AB27" s="0" t="s">
        <v>3560</v>
      </c>
      <c r="AC27" s="0" t="s">
        <v>63</v>
      </c>
      <c r="AD27" s="0" t="s">
        <v>63</v>
      </c>
      <c r="AE27" s="0" t="s">
        <v>63</v>
      </c>
      <c r="AF27" s="0" t="s">
        <v>3578</v>
      </c>
      <c r="AG27" s="0" t="s">
        <v>3579</v>
      </c>
      <c r="AH27" s="0" t="s">
        <v>3578</v>
      </c>
      <c r="AI27" s="0" t="s">
        <v>3579</v>
      </c>
      <c r="AJ27" s="0" t="s">
        <v>3578</v>
      </c>
      <c r="AK27" s="0" t="s">
        <v>3579</v>
      </c>
      <c r="AL27" s="0" t="s">
        <v>3529</v>
      </c>
    </row>
    <row customHeight="1" ht="11.25">
      <c r="A28" s="0" t="s">
        <v>22</v>
      </c>
      <c r="B28" s="0" t="s">
        <v>49</v>
      </c>
      <c r="C28" s="0" t="s">
        <v>51</v>
      </c>
      <c r="D28" s="0" t="s">
        <v>22</v>
      </c>
      <c r="E28" s="0" t="s">
        <v>636</v>
      </c>
      <c r="F28" s="0" t="s">
        <v>1124</v>
      </c>
      <c r="G28" s="0" t="s">
        <v>108</v>
      </c>
      <c r="H28" s="0" t="s">
        <v>108</v>
      </c>
      <c r="I28" s="0" t="s">
        <v>109</v>
      </c>
      <c r="J28" s="0" t="s">
        <v>1174</v>
      </c>
      <c r="K28" s="0" t="s">
        <v>1175</v>
      </c>
      <c r="L28" s="0" t="s">
        <v>3580</v>
      </c>
      <c r="M28" s="0" t="s">
        <v>120</v>
      </c>
      <c r="N28" s="0" t="s">
        <v>120</v>
      </c>
      <c r="O28" s="0" t="s">
        <v>108</v>
      </c>
      <c r="P28" s="0" t="s">
        <v>3577</v>
      </c>
      <c r="Q28" s="0" t="s">
        <v>109</v>
      </c>
      <c r="R28" s="0" t="s">
        <v>1174</v>
      </c>
      <c r="S28" s="0" t="s">
        <v>1175</v>
      </c>
      <c r="T28" s="0" t="s">
        <v>3456</v>
      </c>
      <c r="U28" s="0" t="s">
        <v>3457</v>
      </c>
      <c r="V28" s="0" t="s">
        <v>3560</v>
      </c>
      <c r="W28" s="0" t="s">
        <v>3459</v>
      </c>
      <c r="X28" s="0" t="s">
        <v>3460</v>
      </c>
      <c r="Y28" s="0" t="s">
        <v>3457</v>
      </c>
      <c r="Z28" s="0" t="s">
        <v>3561</v>
      </c>
      <c r="AA28" s="0" t="s">
        <v>3462</v>
      </c>
      <c r="AB28" s="0" t="s">
        <v>3560</v>
      </c>
      <c r="AC28" s="0" t="s">
        <v>63</v>
      </c>
      <c r="AD28" s="0" t="s">
        <v>63</v>
      </c>
      <c r="AE28" s="0" t="s">
        <v>63</v>
      </c>
      <c r="AF28" s="0" t="s">
        <v>3581</v>
      </c>
      <c r="AG28" s="0" t="s">
        <v>3582</v>
      </c>
      <c r="AH28" s="0" t="s">
        <v>3581</v>
      </c>
      <c r="AI28" s="0" t="s">
        <v>3582</v>
      </c>
      <c r="AJ28" s="0" t="s">
        <v>3581</v>
      </c>
      <c r="AK28" s="0" t="s">
        <v>3582</v>
      </c>
      <c r="AL28" s="0" t="s">
        <v>3529</v>
      </c>
    </row>
    <row customHeight="1" ht="11.25">
      <c r="A29" s="0" t="s">
        <v>22</v>
      </c>
      <c r="B29" s="0" t="s">
        <v>49</v>
      </c>
      <c r="C29" s="0" t="s">
        <v>51</v>
      </c>
      <c r="D29" s="0" t="s">
        <v>22</v>
      </c>
      <c r="E29" s="0" t="s">
        <v>637</v>
      </c>
      <c r="F29" s="0" t="s">
        <v>1124</v>
      </c>
      <c r="G29" s="0" t="s">
        <v>108</v>
      </c>
      <c r="H29" s="0" t="s">
        <v>108</v>
      </c>
      <c r="I29" s="0" t="s">
        <v>109</v>
      </c>
      <c r="J29" s="0" t="s">
        <v>1174</v>
      </c>
      <c r="K29" s="0" t="s">
        <v>1175</v>
      </c>
      <c r="L29" s="0" t="s">
        <v>1214</v>
      </c>
      <c r="M29" s="0" t="s">
        <v>1204</v>
      </c>
      <c r="N29" s="0" t="s">
        <v>120</v>
      </c>
      <c r="O29" s="0" t="s">
        <v>108</v>
      </c>
      <c r="P29" s="0" t="s">
        <v>3577</v>
      </c>
      <c r="Q29" s="0" t="s">
        <v>109</v>
      </c>
      <c r="R29" s="0" t="s">
        <v>1174</v>
      </c>
      <c r="S29" s="0" t="s">
        <v>1175</v>
      </c>
      <c r="T29" s="0" t="s">
        <v>3456</v>
      </c>
      <c r="U29" s="0" t="s">
        <v>3457</v>
      </c>
      <c r="V29" s="0" t="s">
        <v>3560</v>
      </c>
      <c r="W29" s="0" t="s">
        <v>3459</v>
      </c>
      <c r="X29" s="0" t="s">
        <v>3460</v>
      </c>
      <c r="Y29" s="0" t="s">
        <v>3457</v>
      </c>
      <c r="Z29" s="0" t="s">
        <v>3561</v>
      </c>
      <c r="AA29" s="0" t="s">
        <v>3462</v>
      </c>
      <c r="AB29" s="0" t="s">
        <v>3560</v>
      </c>
      <c r="AC29" s="0" t="s">
        <v>63</v>
      </c>
      <c r="AD29" s="0" t="s">
        <v>63</v>
      </c>
      <c r="AE29" s="0" t="s">
        <v>63</v>
      </c>
      <c r="AF29" s="0" t="s">
        <v>121</v>
      </c>
      <c r="AG29" s="0" t="s">
        <v>3583</v>
      </c>
      <c r="AH29" s="0" t="s">
        <v>121</v>
      </c>
      <c r="AI29" s="0" t="s">
        <v>3583</v>
      </c>
      <c r="AJ29" s="0" t="s">
        <v>121</v>
      </c>
      <c r="AK29" s="0" t="s">
        <v>3583</v>
      </c>
      <c r="AL29" s="0" t="s">
        <v>3529</v>
      </c>
    </row>
    <row customHeight="1" ht="11.25">
      <c r="A30" s="0" t="s">
        <v>22</v>
      </c>
      <c r="B30" s="0" t="s">
        <v>49</v>
      </c>
      <c r="C30" s="0" t="s">
        <v>51</v>
      </c>
      <c r="D30" s="0" t="s">
        <v>22</v>
      </c>
      <c r="E30" s="0" t="s">
        <v>638</v>
      </c>
      <c r="F30" s="0" t="s">
        <v>1124</v>
      </c>
      <c r="G30" s="0" t="s">
        <v>108</v>
      </c>
      <c r="H30" s="0" t="s">
        <v>108</v>
      </c>
      <c r="I30" s="0" t="s">
        <v>109</v>
      </c>
      <c r="J30" s="0" t="s">
        <v>1174</v>
      </c>
      <c r="K30" s="0" t="s">
        <v>1175</v>
      </c>
      <c r="L30" s="0" t="s">
        <v>3584</v>
      </c>
      <c r="M30" s="0" t="s">
        <v>3368</v>
      </c>
      <c r="N30" s="0" t="s">
        <v>120</v>
      </c>
      <c r="O30" s="0" t="s">
        <v>108</v>
      </c>
      <c r="P30" s="0" t="s">
        <v>3577</v>
      </c>
      <c r="Q30" s="0" t="s">
        <v>109</v>
      </c>
      <c r="R30" s="0" t="s">
        <v>1174</v>
      </c>
      <c r="S30" s="0" t="s">
        <v>1175</v>
      </c>
      <c r="T30" s="0" t="s">
        <v>3456</v>
      </c>
      <c r="U30" s="0" t="s">
        <v>3457</v>
      </c>
      <c r="V30" s="0" t="s">
        <v>3560</v>
      </c>
      <c r="W30" s="0" t="s">
        <v>3459</v>
      </c>
      <c r="X30" s="0" t="s">
        <v>3460</v>
      </c>
      <c r="Y30" s="0" t="s">
        <v>3457</v>
      </c>
      <c r="Z30" s="0" t="s">
        <v>3561</v>
      </c>
      <c r="AA30" s="0" t="s">
        <v>3462</v>
      </c>
      <c r="AB30" s="0" t="s">
        <v>3560</v>
      </c>
      <c r="AC30" s="0" t="s">
        <v>63</v>
      </c>
      <c r="AD30" s="0" t="s">
        <v>63</v>
      </c>
      <c r="AE30" s="0" t="s">
        <v>63</v>
      </c>
      <c r="AF30" s="0" t="s">
        <v>1212</v>
      </c>
      <c r="AG30" s="0" t="s">
        <v>3585</v>
      </c>
      <c r="AH30" s="0" t="s">
        <v>1212</v>
      </c>
      <c r="AI30" s="0" t="s">
        <v>3585</v>
      </c>
      <c r="AJ30" s="0" t="s">
        <v>1212</v>
      </c>
      <c r="AK30" s="0" t="s">
        <v>3585</v>
      </c>
      <c r="AL30" s="0" t="s">
        <v>3529</v>
      </c>
    </row>
    <row customHeight="1" ht="11.25">
      <c r="A31" s="0" t="s">
        <v>22</v>
      </c>
      <c r="B31" s="0" t="s">
        <v>49</v>
      </c>
      <c r="C31" s="0" t="s">
        <v>51</v>
      </c>
      <c r="D31" s="0" t="s">
        <v>22</v>
      </c>
      <c r="E31" s="0" t="s">
        <v>639</v>
      </c>
      <c r="F31" s="0" t="s">
        <v>1124</v>
      </c>
      <c r="G31" s="0" t="s">
        <v>108</v>
      </c>
      <c r="H31" s="0" t="s">
        <v>108</v>
      </c>
      <c r="I31" s="0" t="s">
        <v>109</v>
      </c>
      <c r="J31" s="0" t="s">
        <v>1174</v>
      </c>
      <c r="K31" s="0" t="s">
        <v>1175</v>
      </c>
      <c r="L31" s="0" t="s">
        <v>1176</v>
      </c>
      <c r="M31" s="0" t="s">
        <v>1244</v>
      </c>
      <c r="N31" s="0" t="s">
        <v>120</v>
      </c>
      <c r="O31" s="0" t="s">
        <v>108</v>
      </c>
      <c r="P31" s="0" t="s">
        <v>3577</v>
      </c>
      <c r="Q31" s="0" t="s">
        <v>109</v>
      </c>
      <c r="R31" s="0" t="s">
        <v>1174</v>
      </c>
      <c r="S31" s="0" t="s">
        <v>1175</v>
      </c>
      <c r="T31" s="0" t="s">
        <v>3456</v>
      </c>
      <c r="U31" s="0" t="s">
        <v>3457</v>
      </c>
      <c r="V31" s="0" t="s">
        <v>3560</v>
      </c>
      <c r="W31" s="0" t="s">
        <v>3459</v>
      </c>
      <c r="X31" s="0" t="s">
        <v>3460</v>
      </c>
      <c r="Y31" s="0" t="s">
        <v>3457</v>
      </c>
      <c r="Z31" s="0" t="s">
        <v>3561</v>
      </c>
      <c r="AA31" s="0" t="s">
        <v>3462</v>
      </c>
      <c r="AB31" s="0" t="s">
        <v>3560</v>
      </c>
      <c r="AC31" s="0" t="s">
        <v>63</v>
      </c>
      <c r="AD31" s="0" t="s">
        <v>63</v>
      </c>
      <c r="AE31" s="0" t="s">
        <v>63</v>
      </c>
      <c r="AF31" s="0" t="s">
        <v>3586</v>
      </c>
      <c r="AG31" s="0" t="s">
        <v>3587</v>
      </c>
      <c r="AH31" s="0" t="s">
        <v>3586</v>
      </c>
      <c r="AI31" s="0" t="s">
        <v>3587</v>
      </c>
      <c r="AJ31" s="0" t="s">
        <v>3586</v>
      </c>
      <c r="AK31" s="0" t="s">
        <v>3587</v>
      </c>
      <c r="AL31" s="0" t="s">
        <v>3529</v>
      </c>
    </row>
    <row customHeight="1" ht="11.25">
      <c r="A32" s="0" t="s">
        <v>22</v>
      </c>
      <c r="B32" s="0" t="s">
        <v>49</v>
      </c>
      <c r="C32" s="0" t="s">
        <v>51</v>
      </c>
      <c r="D32" s="0" t="s">
        <v>22</v>
      </c>
      <c r="E32" s="0" t="s">
        <v>640</v>
      </c>
      <c r="F32" s="0" t="s">
        <v>1124</v>
      </c>
      <c r="G32" s="0" t="s">
        <v>108</v>
      </c>
      <c r="H32" s="0" t="s">
        <v>108</v>
      </c>
      <c r="I32" s="0" t="s">
        <v>109</v>
      </c>
      <c r="J32" s="0" t="s">
        <v>1174</v>
      </c>
      <c r="K32" s="0" t="s">
        <v>1175</v>
      </c>
      <c r="L32" s="0" t="s">
        <v>1176</v>
      </c>
      <c r="M32" s="0" t="s">
        <v>104</v>
      </c>
      <c r="N32" s="0" t="s">
        <v>120</v>
      </c>
      <c r="O32" s="0" t="s">
        <v>108</v>
      </c>
      <c r="P32" s="0" t="s">
        <v>3577</v>
      </c>
      <c r="Q32" s="0" t="s">
        <v>109</v>
      </c>
      <c r="R32" s="0" t="s">
        <v>1174</v>
      </c>
      <c r="S32" s="0" t="s">
        <v>1175</v>
      </c>
      <c r="T32" s="0" t="s">
        <v>3456</v>
      </c>
      <c r="U32" s="0" t="s">
        <v>3457</v>
      </c>
      <c r="V32" s="0" t="s">
        <v>3560</v>
      </c>
      <c r="W32" s="0" t="s">
        <v>3459</v>
      </c>
      <c r="X32" s="0" t="s">
        <v>3460</v>
      </c>
      <c r="Y32" s="0" t="s">
        <v>3457</v>
      </c>
      <c r="Z32" s="0" t="s">
        <v>3561</v>
      </c>
      <c r="AA32" s="0" t="s">
        <v>3462</v>
      </c>
      <c r="AB32" s="0" t="s">
        <v>3560</v>
      </c>
      <c r="AC32" s="0" t="s">
        <v>63</v>
      </c>
      <c r="AD32" s="0" t="s">
        <v>63</v>
      </c>
      <c r="AE32" s="0" t="s">
        <v>63</v>
      </c>
      <c r="AF32" s="0" t="s">
        <v>346</v>
      </c>
      <c r="AG32" s="0" t="s">
        <v>3588</v>
      </c>
      <c r="AH32" s="0" t="s">
        <v>346</v>
      </c>
      <c r="AI32" s="0" t="s">
        <v>3588</v>
      </c>
      <c r="AJ32" s="0" t="s">
        <v>346</v>
      </c>
      <c r="AK32" s="0" t="s">
        <v>3588</v>
      </c>
      <c r="AL32" s="0" t="s">
        <v>3529</v>
      </c>
    </row>
    <row customHeight="1" ht="11.25">
      <c r="A33" s="0" t="s">
        <v>22</v>
      </c>
      <c r="B33" s="0" t="s">
        <v>49</v>
      </c>
      <c r="C33" s="0" t="s">
        <v>51</v>
      </c>
      <c r="D33" s="0" t="s">
        <v>22</v>
      </c>
      <c r="E33" s="0" t="s">
        <v>641</v>
      </c>
      <c r="F33" s="0" t="s">
        <v>1124</v>
      </c>
      <c r="G33" s="0" t="s">
        <v>108</v>
      </c>
      <c r="H33" s="0" t="s">
        <v>108</v>
      </c>
      <c r="I33" s="0" t="s">
        <v>109</v>
      </c>
      <c r="J33" s="0" t="s">
        <v>1174</v>
      </c>
      <c r="K33" s="0" t="s">
        <v>1175</v>
      </c>
      <c r="L33" s="0" t="s">
        <v>3589</v>
      </c>
      <c r="M33" s="0" t="s">
        <v>1206</v>
      </c>
      <c r="N33" s="0" t="s">
        <v>120</v>
      </c>
      <c r="O33" s="0" t="s">
        <v>108</v>
      </c>
      <c r="P33" s="0" t="s">
        <v>3577</v>
      </c>
      <c r="Q33" s="0" t="s">
        <v>109</v>
      </c>
      <c r="R33" s="0" t="s">
        <v>1174</v>
      </c>
      <c r="S33" s="0" t="s">
        <v>1175</v>
      </c>
      <c r="T33" s="0" t="s">
        <v>3456</v>
      </c>
      <c r="U33" s="0" t="s">
        <v>3457</v>
      </c>
      <c r="V33" s="0" t="s">
        <v>3560</v>
      </c>
      <c r="W33" s="0" t="s">
        <v>3459</v>
      </c>
      <c r="X33" s="0" t="s">
        <v>3460</v>
      </c>
      <c r="Y33" s="0" t="s">
        <v>3457</v>
      </c>
      <c r="Z33" s="0" t="s">
        <v>3561</v>
      </c>
      <c r="AA33" s="0" t="s">
        <v>3462</v>
      </c>
      <c r="AB33" s="0" t="s">
        <v>3560</v>
      </c>
      <c r="AC33" s="0" t="s">
        <v>63</v>
      </c>
      <c r="AD33" s="0" t="s">
        <v>63</v>
      </c>
      <c r="AE33" s="0" t="s">
        <v>63</v>
      </c>
      <c r="AF33" s="0" t="s">
        <v>3590</v>
      </c>
      <c r="AG33" s="0" t="s">
        <v>3591</v>
      </c>
      <c r="AH33" s="0" t="s">
        <v>3590</v>
      </c>
      <c r="AI33" s="0" t="s">
        <v>3591</v>
      </c>
      <c r="AJ33" s="0" t="s">
        <v>3590</v>
      </c>
      <c r="AK33" s="0" t="s">
        <v>3591</v>
      </c>
      <c r="AL33" s="0" t="s">
        <v>3503</v>
      </c>
    </row>
    <row customHeight="1" ht="11.25">
      <c r="A34" s="0" t="s">
        <v>22</v>
      </c>
      <c r="B34" s="0" t="s">
        <v>49</v>
      </c>
      <c r="C34" s="0" t="s">
        <v>51</v>
      </c>
      <c r="D34" s="0" t="s">
        <v>22</v>
      </c>
      <c r="E34" s="0" t="s">
        <v>634</v>
      </c>
      <c r="F34" s="0" t="s">
        <v>1124</v>
      </c>
      <c r="G34" s="0" t="s">
        <v>108</v>
      </c>
      <c r="H34" s="0" t="s">
        <v>108</v>
      </c>
      <c r="I34" s="0" t="s">
        <v>109</v>
      </c>
      <c r="J34" s="0" t="s">
        <v>1174</v>
      </c>
      <c r="K34" s="0" t="s">
        <v>1175</v>
      </c>
      <c r="L34" s="0" t="s">
        <v>1211</v>
      </c>
      <c r="M34" s="0" t="s">
        <v>92</v>
      </c>
      <c r="N34" s="0" t="s">
        <v>120</v>
      </c>
      <c r="O34" s="0" t="s">
        <v>108</v>
      </c>
      <c r="P34" s="0" t="s">
        <v>3577</v>
      </c>
      <c r="Q34" s="0" t="s">
        <v>109</v>
      </c>
      <c r="R34" s="0" t="s">
        <v>1174</v>
      </c>
      <c r="S34" s="0" t="s">
        <v>1175</v>
      </c>
      <c r="T34" s="0" t="s">
        <v>3456</v>
      </c>
      <c r="U34" s="0" t="s">
        <v>3457</v>
      </c>
      <c r="V34" s="0" t="s">
        <v>3458</v>
      </c>
      <c r="W34" s="0" t="s">
        <v>3459</v>
      </c>
      <c r="X34" s="0" t="s">
        <v>3460</v>
      </c>
      <c r="Y34" s="0" t="s">
        <v>3457</v>
      </c>
      <c r="Z34" s="0" t="s">
        <v>3561</v>
      </c>
      <c r="AA34" s="0" t="s">
        <v>3462</v>
      </c>
      <c r="AB34" s="0" t="s">
        <v>3458</v>
      </c>
      <c r="AC34" s="0" t="s">
        <v>63</v>
      </c>
      <c r="AD34" s="0" t="s">
        <v>63</v>
      </c>
      <c r="AE34" s="0" t="s">
        <v>63</v>
      </c>
      <c r="AF34" s="0" t="s">
        <v>3592</v>
      </c>
      <c r="AG34" s="0" t="s">
        <v>3593</v>
      </c>
      <c r="AH34" s="0" t="s">
        <v>3592</v>
      </c>
      <c r="AI34" s="0" t="s">
        <v>3593</v>
      </c>
      <c r="AJ34" s="0" t="s">
        <v>3592</v>
      </c>
      <c r="AK34" s="0" t="s">
        <v>3593</v>
      </c>
      <c r="AL34" s="0" t="s">
        <v>3464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127DE-571E-8631-8BEA-D6D2B74C121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3" width="9.140625" hidden="1" customWidth="1"/>
    <col min="2" max="2" style="1646" width="9.140625" hidden="1" customWidth="1"/>
    <col min="3" max="3" style="1850" width="3.00390625" customWidth="1"/>
    <col min="4" max="4" style="1646" width="5.00390625" customWidth="1"/>
    <col min="5" max="5" style="1646" width="48.00390625" customWidth="1"/>
    <col min="6" max="6" style="1646" width="38.00390625" customWidth="1"/>
    <col min="7" max="7" style="1646" width="1.7109375" hidden="1" customWidth="1"/>
    <col min="8" max="11" style="1646" width="19.8515625" customWidth="1"/>
    <col min="12" max="12" style="1646" width="9.7109375" customWidth="1"/>
    <col min="13" max="18" style="1646" width="19.8515625" customWidth="1"/>
    <col min="19" max="19" style="1646" width="1.7109375" hidden="1" customWidth="1"/>
    <col min="20" max="22" style="1646" width="19.8515625" hidden="1" customWidth="1"/>
    <col min="23" max="23" style="1646" width="1.7109375" hidden="1" customWidth="1"/>
    <col min="24" max="26" style="1646" width="19.8515625" hidden="1" customWidth="1"/>
    <col min="27" max="27" style="1646" width="1.7109375" hidden="1" customWidth="1"/>
    <col min="28" max="29" style="1646" width="19.8515625" hidden="1" customWidth="1"/>
    <col min="30" max="30" style="1646" width="1.7109375" hidden="1" customWidth="1"/>
    <col min="31" max="31" style="1646" width="103.7109375" customWidth="1"/>
    <col min="32" max="34" style="1646" width="103.7109375" hidden="1" customWidth="1"/>
    <col min="35" max="35" style="1829" width="3.00390625" customWidth="1"/>
    <col min="36" max="38" style="1653" width="10.00390625" customWidth="1"/>
    <col min="39" max="39" style="1653" width="13.7109375" hidden="1" customWidth="1"/>
    <col min="40" max="40" style="1653" width="15.00390625" customWidth="1"/>
    <col min="41" max="41" style="1653" width="16.00390625" customWidth="1"/>
    <col min="42" max="45" style="1653" width="10.00390625" customWidth="1"/>
    <col min="46" max="46" style="1646" width="10.57421875" hidden="1"/>
  </cols>
  <sheetData>
    <row customHeight="1" ht="22.5" hidden="1">
      <c r="E1" s="423"/>
      <c r="F1" s="423"/>
      <c r="G1" s="423"/>
      <c r="H1" s="2247" t="s">
        <v>366</v>
      </c>
      <c r="I1" s="2247"/>
      <c r="J1" s="2247"/>
      <c r="K1" s="2247"/>
      <c r="L1" s="2247"/>
      <c r="M1" s="2247"/>
      <c r="N1" s="2247"/>
      <c r="O1" s="2247"/>
      <c r="P1" s="2247"/>
      <c r="Q1" s="2247"/>
      <c r="R1" s="2247"/>
      <c r="T1" s="2247" t="s">
        <v>367</v>
      </c>
      <c r="U1" s="2247"/>
      <c r="V1" s="2247"/>
      <c r="X1" s="2247" t="s">
        <v>368</v>
      </c>
      <c r="Y1" s="2247"/>
      <c r="Z1" s="2247"/>
      <c r="AB1" s="2247" t="s">
        <v>369</v>
      </c>
      <c r="AC1" s="2247"/>
      <c r="AT1" s="458" t="s">
        <v>14</v>
      </c>
    </row>
    <row customHeight="1" ht="14.25" hidden="1">
      <c r="AT2" s="458">
        <v>0</v>
      </c>
    </row>
    <row s="1624" customFormat="1" customHeight="1" ht="5.25">
      <c r="C3" s="712"/>
      <c r="D3" s="713"/>
      <c r="E3" s="713"/>
      <c r="F3" s="713"/>
      <c r="G3" s="713"/>
      <c r="H3" s="713" t="s">
        <v>370</v>
      </c>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J3" s="522"/>
      <c r="AK3" s="522"/>
      <c r="AL3" s="522"/>
      <c r="AM3" s="522"/>
      <c r="AN3" s="522"/>
      <c r="AO3" s="522"/>
      <c r="AP3" s="522"/>
      <c r="AQ3" s="522"/>
      <c r="AR3" s="522"/>
      <c r="AS3" s="522"/>
      <c r="AT3" s="711">
        <v>5</v>
      </c>
    </row>
    <row customHeight="1" ht="39.75">
      <c r="C4" s="461"/>
      <c r="D4" s="218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88"/>
      <c r="F4" s="2188"/>
      <c r="G4" s="2188"/>
      <c r="H4" s="2188"/>
      <c r="I4" s="2188"/>
      <c r="J4" s="2188"/>
      <c r="K4" s="2188"/>
      <c r="L4" s="2188"/>
      <c r="M4" s="2188"/>
      <c r="N4" s="2188"/>
      <c r="O4" s="2188"/>
      <c r="P4" s="2188"/>
      <c r="Q4" s="2188"/>
      <c r="R4" s="2189"/>
      <c r="S4" s="864"/>
      <c r="T4" s="710"/>
      <c r="U4" s="710"/>
      <c r="V4" s="710"/>
      <c r="W4" s="710"/>
      <c r="X4" s="710"/>
      <c r="Y4" s="710"/>
      <c r="Z4" s="710"/>
      <c r="AA4" s="710"/>
      <c r="AB4" s="710"/>
      <c r="AC4" s="710"/>
      <c r="AD4" s="710"/>
      <c r="AE4" s="502"/>
      <c r="AF4" s="502"/>
      <c r="AG4" s="502"/>
      <c r="AH4" s="502"/>
      <c r="AI4" s="499"/>
      <c r="AT4" s="458">
        <v>38</v>
      </c>
    </row>
    <row s="1646" customFormat="1" customHeight="1" ht="18">
      <c r="A5" s="770"/>
      <c r="C5" s="833"/>
      <c r="D5" s="2244" t="str">
        <f>IF(org=0,"Не определено",org)</f>
        <v>ПАО "КГК"</v>
      </c>
      <c r="E5" s="2245"/>
      <c r="F5" s="2245"/>
      <c r="G5" s="2245"/>
      <c r="H5" s="2245"/>
      <c r="I5" s="2245"/>
      <c r="J5" s="2245"/>
      <c r="K5" s="2245"/>
      <c r="L5" s="2245"/>
      <c r="M5" s="2245"/>
      <c r="N5" s="2245"/>
      <c r="O5" s="2245"/>
      <c r="P5" s="2245"/>
      <c r="Q5" s="2245"/>
      <c r="R5" s="2246"/>
      <c r="S5" s="864"/>
      <c r="T5" s="710"/>
      <c r="U5" s="710"/>
      <c r="V5" s="710"/>
      <c r="W5" s="710"/>
      <c r="X5" s="710"/>
      <c r="Y5" s="710"/>
      <c r="Z5" s="710"/>
      <c r="AA5" s="710"/>
      <c r="AB5" s="710"/>
      <c r="AC5" s="710"/>
      <c r="AD5" s="710"/>
      <c r="AE5" s="502"/>
      <c r="AF5" s="502"/>
      <c r="AG5" s="502"/>
      <c r="AH5" s="502"/>
      <c r="AI5" s="499"/>
      <c r="AJ5" s="522"/>
      <c r="AK5" s="522"/>
      <c r="AL5" s="522"/>
      <c r="AM5" s="522"/>
      <c r="AN5" s="522"/>
      <c r="AO5" s="522"/>
      <c r="AP5" s="522"/>
      <c r="AQ5" s="522"/>
      <c r="AR5" s="522"/>
      <c r="AS5" s="522"/>
      <c r="AT5" s="769">
        <v>17</v>
      </c>
    </row>
    <row s="1623" customFormat="1" customHeight="1" ht="11.549999999999999">
      <c r="A6" s="490"/>
      <c r="C6" s="497"/>
      <c r="D6" s="496"/>
      <c r="E6" s="496"/>
      <c r="F6" s="496"/>
      <c r="G6" s="496"/>
      <c r="H6" s="496"/>
      <c r="I6" s="496"/>
      <c r="J6" s="496"/>
      <c r="K6" s="496"/>
      <c r="L6" s="496"/>
      <c r="M6" s="496"/>
      <c r="N6" s="496"/>
      <c r="O6" s="496"/>
      <c r="P6" s="496"/>
      <c r="Q6" s="496"/>
      <c r="R6" s="763"/>
      <c r="S6" s="763"/>
      <c r="T6" s="496"/>
      <c r="U6" s="496"/>
      <c r="V6" s="723"/>
      <c r="W6" s="723"/>
      <c r="X6" s="496"/>
      <c r="Y6" s="496"/>
      <c r="Z6" s="723"/>
      <c r="AA6" s="723"/>
      <c r="AB6" s="496"/>
      <c r="AC6" s="723"/>
      <c r="AD6" s="723"/>
      <c r="AE6" s="496"/>
      <c r="AF6" s="496"/>
      <c r="AG6" s="496"/>
      <c r="AH6" s="496"/>
      <c r="AJ6" s="500"/>
      <c r="AK6" s="500"/>
      <c r="AL6" s="500"/>
      <c r="AM6" s="500"/>
      <c r="AN6" s="500"/>
      <c r="AO6" s="500"/>
      <c r="AP6" s="500"/>
      <c r="AQ6" s="500"/>
      <c r="AR6" s="500"/>
      <c r="AS6" s="500"/>
      <c r="AT6" s="491">
        <v>11</v>
      </c>
    </row>
    <row customHeight="1" ht="14.699999999999998">
      <c r="C7" s="461"/>
      <c r="D7" s="2248" t="s">
        <v>314</v>
      </c>
      <c r="E7" s="2249"/>
      <c r="F7" s="2249"/>
      <c r="G7" s="2249"/>
      <c r="H7" s="2249"/>
      <c r="I7" s="2249"/>
      <c r="J7" s="2249"/>
      <c r="K7" s="2249"/>
      <c r="L7" s="2249"/>
      <c r="M7" s="2249"/>
      <c r="N7" s="2249"/>
      <c r="O7" s="2249"/>
      <c r="P7" s="2249"/>
      <c r="Q7" s="2249"/>
      <c r="R7" s="2249"/>
      <c r="S7" s="2249"/>
      <c r="T7" s="2249"/>
      <c r="U7" s="2249"/>
      <c r="V7" s="2249"/>
      <c r="W7" s="2249"/>
      <c r="X7" s="2249"/>
      <c r="Y7" s="2249"/>
      <c r="Z7" s="2249"/>
      <c r="AA7" s="2249"/>
      <c r="AB7" s="2249"/>
      <c r="AC7" s="2249"/>
      <c r="AD7" s="2250"/>
      <c r="AE7" s="2253" t="s">
        <v>315</v>
      </c>
      <c r="AF7" s="2253" t="s">
        <v>315</v>
      </c>
      <c r="AG7" s="2253" t="s">
        <v>315</v>
      </c>
      <c r="AH7" s="2253" t="s">
        <v>315</v>
      </c>
      <c r="AT7" s="458">
        <v>14</v>
      </c>
    </row>
    <row customHeight="1" ht="27.299999999999997">
      <c r="C8" s="461"/>
      <c r="D8" s="2157" t="s">
        <v>89</v>
      </c>
      <c r="E8" s="2253" t="str">
        <f>"Наименование "&amp;IF(TEMPLATE_SPHERE&lt;&gt;"HEAT","централизованной ","")&amp;"системы "&amp;TEMPLATE_SPHERE_RUS</f>
        <v>Наименование системы теплоснабжения</v>
      </c>
      <c r="F8" s="2253" t="str">
        <f>IF(TEMPLATE_SPHERE&lt;&gt;"HEAT","Регулируемый вид деятельности","Вид регулируемой деятельности")</f>
        <v>Вид регулируемой деятельности</v>
      </c>
      <c r="G8" s="839"/>
      <c r="H8" s="2254" t="s">
        <v>371</v>
      </c>
      <c r="I8" s="2256" t="s">
        <v>372</v>
      </c>
      <c r="J8" s="2253" t="s">
        <v>373</v>
      </c>
      <c r="K8" s="2253"/>
      <c r="L8" s="2253"/>
      <c r="M8" s="2248"/>
      <c r="N8" s="2253" t="s">
        <v>374</v>
      </c>
      <c r="O8" s="2253"/>
      <c r="P8" s="2253" t="s">
        <v>375</v>
      </c>
      <c r="Q8" s="2253"/>
      <c r="R8" s="2260" t="s">
        <v>376</v>
      </c>
      <c r="S8" s="835"/>
      <c r="T8" s="2258" t="s">
        <v>377</v>
      </c>
      <c r="U8" s="2258" t="s">
        <v>378</v>
      </c>
      <c r="V8" s="2258" t="s">
        <v>379</v>
      </c>
      <c r="W8" s="837"/>
      <c r="X8" s="2258" t="s">
        <v>380</v>
      </c>
      <c r="Y8" s="2258" t="s">
        <v>381</v>
      </c>
      <c r="Z8" s="2258" t="s">
        <v>382</v>
      </c>
      <c r="AA8" s="837"/>
      <c r="AB8" s="2258" t="s">
        <v>383</v>
      </c>
      <c r="AC8" s="2258" t="s">
        <v>376</v>
      </c>
      <c r="AD8" s="837"/>
      <c r="AE8" s="2253"/>
      <c r="AF8" s="2253"/>
      <c r="AG8" s="2253"/>
      <c r="AH8" s="2253"/>
      <c r="AT8" s="458">
        <v>26</v>
      </c>
    </row>
    <row customHeight="1" ht="46.199999999999996">
      <c r="C9" s="461"/>
      <c r="D9" s="2157"/>
      <c r="E9" s="2253"/>
      <c r="F9" s="2253"/>
      <c r="G9" s="840"/>
      <c r="H9" s="2255"/>
      <c r="I9" s="2257"/>
      <c r="J9" s="436" t="s">
        <v>384</v>
      </c>
      <c r="K9" s="436" t="s">
        <v>385</v>
      </c>
      <c r="L9" s="436" t="s">
        <v>386</v>
      </c>
      <c r="M9" s="442" t="s">
        <v>387</v>
      </c>
      <c r="N9" s="436" t="s">
        <v>388</v>
      </c>
      <c r="O9" s="436" t="s">
        <v>387</v>
      </c>
      <c r="P9" s="436" t="s">
        <v>389</v>
      </c>
      <c r="Q9" s="436" t="s">
        <v>387</v>
      </c>
      <c r="R9" s="2261"/>
      <c r="S9" s="836"/>
      <c r="T9" s="2259"/>
      <c r="U9" s="2259"/>
      <c r="V9" s="2259"/>
      <c r="W9" s="838"/>
      <c r="X9" s="2259"/>
      <c r="Y9" s="2259"/>
      <c r="Z9" s="2259"/>
      <c r="AA9" s="838"/>
      <c r="AB9" s="2259"/>
      <c r="AC9" s="2259"/>
      <c r="AD9" s="838"/>
      <c r="AE9" s="2253"/>
      <c r="AF9" s="2253"/>
      <c r="AG9" s="2253"/>
      <c r="AH9" s="2253"/>
      <c r="AT9" s="458">
        <v>44</v>
      </c>
    </row>
    <row customHeight="1" ht="12" hidden="1">
      <c r="C10" s="498"/>
      <c r="D10" s="459"/>
      <c r="E10" s="459"/>
      <c r="F10" s="459"/>
      <c r="G10" s="459"/>
      <c r="H10" s="459"/>
      <c r="I10" s="459"/>
      <c r="J10" s="459"/>
      <c r="K10" s="459"/>
      <c r="L10" s="459"/>
      <c r="M10" s="459"/>
      <c r="N10" s="459"/>
      <c r="O10" s="459"/>
      <c r="P10" s="459"/>
      <c r="Q10" s="459"/>
      <c r="R10" s="459"/>
      <c r="S10" s="459"/>
      <c r="T10" s="459"/>
      <c r="U10" s="459"/>
      <c r="V10" s="459"/>
      <c r="W10" s="459"/>
      <c r="X10" s="459"/>
      <c r="Y10" s="459"/>
      <c r="Z10" s="459"/>
      <c r="AA10" s="459"/>
      <c r="AB10" s="459"/>
      <c r="AC10" s="459"/>
      <c r="AD10" s="459"/>
      <c r="AE10" s="459"/>
      <c r="AF10" s="459"/>
      <c r="AG10" s="459"/>
      <c r="AH10" s="459"/>
      <c r="AI10" s="458"/>
      <c r="AP10" s="511"/>
      <c r="AQ10" s="511"/>
      <c r="AT10" s="458">
        <v>0</v>
      </c>
    </row>
    <row s="1652" customFormat="1" customHeight="1" ht="11.25" hidden="1">
      <c r="C11" s="509"/>
      <c r="D11" s="510" t="s">
        <v>390</v>
      </c>
      <c r="E11" s="510"/>
      <c r="F11" s="510"/>
      <c r="G11" s="510"/>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446"/>
      <c r="AF11" s="446"/>
      <c r="AG11" s="446"/>
      <c r="AH11" s="446"/>
      <c r="AJ11" s="500"/>
      <c r="AK11" s="500"/>
      <c r="AL11" s="500"/>
      <c r="AM11" s="500"/>
      <c r="AN11" s="500"/>
      <c r="AO11" s="500"/>
      <c r="AP11" s="500"/>
      <c r="AQ11" s="500"/>
      <c r="AR11" s="500"/>
      <c r="AS11" s="500"/>
      <c r="AT11" s="507">
        <v>0</v>
      </c>
    </row>
    <row customHeight="1" ht="14.699999999999998">
      <c r="A12" s="458"/>
      <c r="C12" s="461"/>
      <c r="D12" s="445" t="s">
        <v>120</v>
      </c>
      <c r="E12" s="1787" t="s">
        <v>22</v>
      </c>
      <c r="F12" s="866"/>
      <c r="G12" s="867"/>
      <c r="H12" s="1788"/>
      <c r="I12" s="1788"/>
      <c r="J12" s="444"/>
      <c r="K12" s="1871"/>
      <c r="L12" s="443"/>
      <c r="M12" s="1871"/>
      <c r="N12" s="444"/>
      <c r="O12" s="1871"/>
      <c r="P12" s="444"/>
      <c r="Q12" s="1871"/>
      <c r="R12" s="444"/>
      <c r="S12" s="865"/>
      <c r="T12" s="1788"/>
      <c r="U12" s="444"/>
      <c r="V12" s="444"/>
      <c r="W12" s="838"/>
      <c r="X12" s="1788"/>
      <c r="Y12" s="444"/>
      <c r="Z12" s="444"/>
      <c r="AA12" s="838"/>
      <c r="AB12" s="1788"/>
      <c r="AC12" s="444"/>
      <c r="AD12" s="838"/>
      <c r="AE12" s="2251" t="s">
        <v>391</v>
      </c>
      <c r="AF12" s="2251" t="s">
        <v>392</v>
      </c>
      <c r="AG12" s="2251" t="s">
        <v>393</v>
      </c>
      <c r="AH12" s="2251" t="s">
        <v>394</v>
      </c>
      <c r="AI12" s="458"/>
      <c r="AM12" s="522"/>
      <c r="AP12" s="511" t="s">
        <v>395</v>
      </c>
      <c r="AQ12" s="511" t="s">
        <v>395</v>
      </c>
      <c r="AT12" s="458">
        <v>14</v>
      </c>
    </row>
    <row customHeight="1" ht="18">
      <c r="A13" s="458"/>
      <c r="C13" s="461"/>
      <c r="D13" s="416"/>
      <c r="E13" s="880" t="str">
        <f>IF(TITLE_DIFFERENTIATION_TYPE="нет","","Добавить систему")</f>
        <v/>
      </c>
      <c r="F13" s="880" t="str">
        <f>IF(TITLE_DIFFERENTIATION_TYPE="нет","Добавить вид деятельности","")</f>
        <v>Добавить вид деятельности</v>
      </c>
      <c r="G13" s="324"/>
      <c r="H13" s="417"/>
      <c r="I13" s="417"/>
      <c r="J13" s="417"/>
      <c r="K13" s="417"/>
      <c r="L13" s="417"/>
      <c r="M13" s="417"/>
      <c r="N13" s="417"/>
      <c r="O13" s="417"/>
      <c r="P13" s="417"/>
      <c r="Q13" s="417"/>
      <c r="R13" s="417"/>
      <c r="S13" s="417"/>
      <c r="T13" s="417"/>
      <c r="U13" s="417"/>
      <c r="V13" s="417"/>
      <c r="W13" s="417"/>
      <c r="X13" s="417"/>
      <c r="Y13" s="417"/>
      <c r="Z13" s="417"/>
      <c r="AA13" s="417"/>
      <c r="AB13" s="417"/>
      <c r="AC13" s="417"/>
      <c r="AD13" s="868"/>
      <c r="AE13" s="2252"/>
      <c r="AF13" s="2252"/>
      <c r="AG13" s="2252"/>
      <c r="AH13" s="2252"/>
      <c r="AI13" s="458"/>
      <c r="AT13" s="458">
        <v>17</v>
      </c>
    </row>
    <row customHeight="1" ht="14.699999999999998">
      <c r="AI14" s="458"/>
      <c r="AT14" s="458">
        <v>14</v>
      </c>
    </row>
    <row customHeight="1" ht="14.699999999999998">
      <c r="E15" s="769"/>
      <c r="L15" s="769"/>
      <c r="AT15" s="458">
        <v>14</v>
      </c>
    </row>
    <row customHeight="1" ht="14.699999999999998">
      <c r="L16" s="769"/>
      <c r="AT16" s="458">
        <v>14</v>
      </c>
    </row>
    <row customHeight="1" ht="14.699999999999998">
      <c r="L17" s="769"/>
      <c r="AT17" s="458">
        <v>14</v>
      </c>
    </row>
    <row customHeight="1" ht="22.5" hidden="1">
      <c r="A18" s="460" t="s">
        <v>83</v>
      </c>
      <c r="B18" s="458">
        <v>0</v>
      </c>
      <c r="C18" s="462">
        <v>3</v>
      </c>
      <c r="D18" s="458">
        <v>5</v>
      </c>
      <c r="E18" s="458">
        <v>48</v>
      </c>
      <c r="F18" s="458">
        <v>38</v>
      </c>
      <c r="G18" s="769">
        <v>0</v>
      </c>
      <c r="H18" s="458">
        <v>0</v>
      </c>
      <c r="I18" s="458">
        <v>0</v>
      </c>
      <c r="J18" s="458">
        <v>0</v>
      </c>
      <c r="K18" s="458">
        <v>0</v>
      </c>
      <c r="L18" s="458">
        <v>0</v>
      </c>
      <c r="M18" s="458">
        <v>0</v>
      </c>
      <c r="N18" s="458">
        <v>0</v>
      </c>
      <c r="O18" s="458">
        <v>0</v>
      </c>
      <c r="P18" s="458">
        <v>0</v>
      </c>
      <c r="Q18" s="458">
        <v>0</v>
      </c>
      <c r="R18" s="458">
        <v>0</v>
      </c>
      <c r="S18" s="769">
        <v>0</v>
      </c>
      <c r="T18" s="516">
        <v>0</v>
      </c>
      <c r="U18" s="516">
        <v>0</v>
      </c>
      <c r="V18" s="516">
        <v>0</v>
      </c>
      <c r="W18" s="769">
        <v>0</v>
      </c>
      <c r="X18" s="516">
        <v>0</v>
      </c>
      <c r="Y18" s="516">
        <v>0</v>
      </c>
      <c r="Z18" s="516">
        <v>0</v>
      </c>
      <c r="AA18" s="769">
        <v>0</v>
      </c>
      <c r="AB18" s="516">
        <v>0</v>
      </c>
      <c r="AC18" s="516">
        <v>0</v>
      </c>
      <c r="AD18" s="769">
        <v>0</v>
      </c>
      <c r="AE18" s="458">
        <v>0</v>
      </c>
      <c r="AF18" s="516">
        <v>0</v>
      </c>
      <c r="AG18" s="516">
        <v>0</v>
      </c>
      <c r="AH18" s="516">
        <v>0</v>
      </c>
      <c r="AI18" s="463">
        <v>3</v>
      </c>
      <c r="AJ18" s="500">
        <v>10</v>
      </c>
      <c r="AK18" s="500">
        <v>10</v>
      </c>
      <c r="AL18" s="500">
        <v>10</v>
      </c>
      <c r="AM18" s="500">
        <v>0</v>
      </c>
      <c r="AN18" s="500">
        <v>15</v>
      </c>
      <c r="AO18" s="500">
        <v>16</v>
      </c>
      <c r="AP18" s="500">
        <v>10</v>
      </c>
      <c r="AQ18" s="500">
        <v>10</v>
      </c>
      <c r="AR18" s="500">
        <v>10</v>
      </c>
      <c r="AS18" s="500">
        <v>10</v>
      </c>
      <c r="AT18" s="45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C4F28-9076-04B8-0FB4-C18E87BAD50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4" width="9.140625"/>
  </cols>
  <sheetData>
    <row customHeight="1" ht="11.25">
      <c r="A1" s="194" t="s">
        <v>146</v>
      </c>
      <c r="B1" s="194" t="s">
        <v>3594</v>
      </c>
    </row>
    <row customHeight="1" ht="11.25">
      <c r="A2" s="194" t="s">
        <v>99</v>
      </c>
      <c r="B2" s="194" t="s">
        <v>3595</v>
      </c>
    </row>
    <row customHeight="1" ht="11.25">
      <c r="A3" s="194" t="s">
        <v>106</v>
      </c>
      <c r="B3" s="194" t="s">
        <v>3596</v>
      </c>
    </row>
    <row customHeight="1" ht="11.25">
      <c r="A4" s="194" t="s">
        <v>110</v>
      </c>
      <c r="B4" s="194" t="s">
        <v>3597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C40B58-107A-1B98-C638-50046F068D6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6" t="s">
        <v>3598</v>
      </c>
      <c r="B1" s="846" t="s">
        <v>3599</v>
      </c>
    </row>
    <row customHeight="1" ht="11.25">
      <c r="A2" s="846">
        <v>4213775</v>
      </c>
      <c r="B2" s="846" t="s">
        <v>1495</v>
      </c>
    </row>
    <row customHeight="1" ht="11.25">
      <c r="A3" s="846">
        <v>4213784</v>
      </c>
      <c r="B3" s="846" t="s">
        <v>1526</v>
      </c>
    </row>
    <row customHeight="1" ht="11.25">
      <c r="A4" s="846">
        <v>4213781</v>
      </c>
      <c r="B4" s="846" t="s">
        <v>1519</v>
      </c>
    </row>
    <row customHeight="1" ht="11.25">
      <c r="A5" s="846">
        <v>4213776</v>
      </c>
      <c r="B5" s="846" t="s">
        <v>182</v>
      </c>
    </row>
    <row customHeight="1" ht="11.25">
      <c r="A6" s="846">
        <v>4213777</v>
      </c>
      <c r="B6" s="846" t="s">
        <v>188</v>
      </c>
    </row>
    <row customHeight="1" ht="11.25">
      <c r="A7" s="846">
        <v>4213778</v>
      </c>
      <c r="B7" s="846" t="s">
        <v>194</v>
      </c>
    </row>
    <row customHeight="1" ht="11.25">
      <c r="A8" s="846">
        <v>4213780</v>
      </c>
      <c r="B8" s="846" t="s">
        <v>200</v>
      </c>
    </row>
    <row customHeight="1" ht="11.25">
      <c r="A9" s="846">
        <v>4213779</v>
      </c>
      <c r="B9" s="846" t="s">
        <v>1653</v>
      </c>
    </row>
    <row customHeight="1" ht="11.25">
      <c r="A10" s="846">
        <v>4213783</v>
      </c>
      <c r="B10" s="846" t="s">
        <v>1669</v>
      </c>
    </row>
    <row customHeight="1" ht="11.25">
      <c r="A11" s="846">
        <v>4213782</v>
      </c>
      <c r="B11" s="846" t="s">
        <v>206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5697E-7CE6-49D8-6F98-2C38C9DA07D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s>
  <sheetData>
    <row customHeight="1" ht="11.25">
      <c r="A1" s="846" t="s">
        <v>3598</v>
      </c>
      <c r="B1" s="73" t="s">
        <v>3600</v>
      </c>
    </row>
    <row customHeight="1" ht="11.25">
      <c r="A2" s="846" t="s">
        <v>3601</v>
      </c>
      <c r="B2" s="0" t="s">
        <v>1758</v>
      </c>
    </row>
    <row customHeight="1" ht="11.25">
      <c r="A3" s="1701" t="s">
        <v>3602</v>
      </c>
      <c r="B3" s="0" t="s">
        <v>1767</v>
      </c>
    </row>
    <row customHeight="1" ht="11.25">
      <c r="A4" s="1701" t="s">
        <v>3603</v>
      </c>
      <c r="B4" s="0" t="s">
        <v>1775</v>
      </c>
    </row>
    <row customHeight="1" ht="11.25">
      <c r="A5" s="1701" t="s">
        <v>3604</v>
      </c>
      <c r="B5" s="0" t="s">
        <v>1784</v>
      </c>
    </row>
    <row customHeight="1" ht="11.25">
      <c r="A6" s="1701" t="s">
        <v>3605</v>
      </c>
      <c r="B6" s="0" t="s">
        <v>1789</v>
      </c>
    </row>
    <row customHeight="1" ht="11.25">
      <c r="A7" s="1701" t="s">
        <v>3606</v>
      </c>
      <c r="B7" s="0" t="s">
        <v>1795</v>
      </c>
    </row>
    <row customHeight="1" ht="11.25">
      <c r="A8" s="1701" t="s">
        <v>3607</v>
      </c>
      <c r="B8" s="0" t="s">
        <v>1800</v>
      </c>
    </row>
    <row customHeight="1" ht="11.25">
      <c r="A9" s="1701" t="s">
        <v>3608</v>
      </c>
      <c r="B9" s="0" t="s">
        <v>1805</v>
      </c>
    </row>
    <row customHeight="1" ht="11.25">
      <c r="A10" s="1701" t="s">
        <v>3609</v>
      </c>
      <c r="B10" s="0" t="s">
        <v>1807</v>
      </c>
    </row>
    <row customHeight="1" ht="11.25">
      <c r="A11" s="1701" t="s">
        <v>3610</v>
      </c>
      <c r="B11" s="0" t="s">
        <v>1813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C1D1CC-2748-1FF6-317C-32AA8383D079}"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84" t="s">
        <v>3214</v>
      </c>
      <c r="B1" s="384" t="s">
        <v>3215</v>
      </c>
      <c r="C1" s="384" t="s">
        <v>3216</v>
      </c>
      <c r="D1" s="384" t="s">
        <v>3217</v>
      </c>
      <c r="E1" s="0" t="s">
        <v>3218</v>
      </c>
      <c r="F1" s="0" t="s">
        <v>3219</v>
      </c>
      <c r="G1" s="0" t="s">
        <v>3220</v>
      </c>
    </row>
    <row customHeight="1" ht="11.25">
      <c r="A2" s="0" t="s">
        <v>16</v>
      </c>
      <c r="B2" s="0" t="s">
        <v>3221</v>
      </c>
      <c r="C2" s="0" t="s">
        <v>3222</v>
      </c>
      <c r="D2" s="0" t="s">
        <v>3221</v>
      </c>
      <c r="E2" s="0" t="s">
        <v>3222</v>
      </c>
      <c r="F2" s="0" t="s">
        <v>3223</v>
      </c>
      <c r="G2" s="0" t="s">
        <v>120</v>
      </c>
    </row>
    <row customHeight="1" ht="11.25">
      <c r="A3" s="0" t="s">
        <v>16</v>
      </c>
      <c r="B3" s="0" t="s">
        <v>3224</v>
      </c>
      <c r="C3" s="0" t="s">
        <v>3225</v>
      </c>
      <c r="D3" s="0" t="s">
        <v>3224</v>
      </c>
      <c r="E3" s="0" t="s">
        <v>3225</v>
      </c>
      <c r="F3" s="0" t="s">
        <v>3223</v>
      </c>
      <c r="G3" s="0" t="s">
        <v>104</v>
      </c>
    </row>
    <row customHeight="1" ht="11.25">
      <c r="A4" s="0" t="s">
        <v>16</v>
      </c>
      <c r="B4" s="0" t="s">
        <v>3226</v>
      </c>
      <c r="C4" s="0" t="s">
        <v>3227</v>
      </c>
      <c r="D4" s="0" t="s">
        <v>3226</v>
      </c>
      <c r="E4" s="0" t="s">
        <v>3227</v>
      </c>
      <c r="F4" s="0" t="s">
        <v>3223</v>
      </c>
      <c r="G4" s="0" t="s">
        <v>91</v>
      </c>
    </row>
    <row customHeight="1" ht="11.25">
      <c r="A5" s="0" t="s">
        <v>16</v>
      </c>
      <c r="B5" s="0" t="s">
        <v>3228</v>
      </c>
      <c r="C5" s="0" t="s">
        <v>3229</v>
      </c>
      <c r="D5" s="0" t="s">
        <v>3228</v>
      </c>
      <c r="E5" s="0" t="s">
        <v>3229</v>
      </c>
      <c r="F5" s="0" t="s">
        <v>3230</v>
      </c>
      <c r="G5" s="0" t="s">
        <v>92</v>
      </c>
    </row>
    <row customHeight="1" ht="11.25">
      <c r="A6" s="0" t="s">
        <v>16</v>
      </c>
      <c r="B6" s="0" t="s">
        <v>3228</v>
      </c>
      <c r="C6" s="0" t="s">
        <v>3229</v>
      </c>
      <c r="D6" s="0" t="s">
        <v>3231</v>
      </c>
      <c r="E6" s="0" t="s">
        <v>3232</v>
      </c>
      <c r="F6" s="0" t="s">
        <v>3233</v>
      </c>
      <c r="G6" s="0" t="s">
        <v>121</v>
      </c>
    </row>
    <row customHeight="1" ht="11.25">
      <c r="A7" s="0" t="s">
        <v>16</v>
      </c>
      <c r="B7" s="0" t="s">
        <v>3228</v>
      </c>
      <c r="C7" s="0" t="s">
        <v>3229</v>
      </c>
      <c r="D7" s="0" t="s">
        <v>3234</v>
      </c>
      <c r="E7" s="0" t="s">
        <v>3235</v>
      </c>
      <c r="F7" s="0" t="s">
        <v>3233</v>
      </c>
      <c r="G7" s="0" t="s">
        <v>93</v>
      </c>
    </row>
    <row customHeight="1" ht="11.25">
      <c r="A8" s="0" t="s">
        <v>16</v>
      </c>
      <c r="B8" s="0" t="s">
        <v>3228</v>
      </c>
      <c r="C8" s="0" t="s">
        <v>3229</v>
      </c>
      <c r="D8" s="0" t="s">
        <v>3236</v>
      </c>
      <c r="E8" s="0" t="s">
        <v>3237</v>
      </c>
      <c r="F8" s="0" t="s">
        <v>3238</v>
      </c>
      <c r="G8" s="0" t="s">
        <v>94</v>
      </c>
    </row>
    <row customHeight="1" ht="11.25">
      <c r="A9" s="0" t="s">
        <v>16</v>
      </c>
      <c r="B9" s="0" t="s">
        <v>3228</v>
      </c>
      <c r="C9" s="0" t="s">
        <v>3229</v>
      </c>
      <c r="D9" s="0" t="s">
        <v>3239</v>
      </c>
      <c r="E9" s="0" t="s">
        <v>3240</v>
      </c>
      <c r="F9" s="0" t="s">
        <v>3233</v>
      </c>
      <c r="G9" s="0" t="s">
        <v>122</v>
      </c>
    </row>
    <row customHeight="1" ht="11.25">
      <c r="A10" s="0" t="s">
        <v>16</v>
      </c>
      <c r="B10" s="0" t="s">
        <v>3228</v>
      </c>
      <c r="C10" s="0" t="s">
        <v>3229</v>
      </c>
      <c r="D10" s="0" t="s">
        <v>3241</v>
      </c>
      <c r="E10" s="0" t="s">
        <v>3242</v>
      </c>
      <c r="F10" s="0" t="s">
        <v>3233</v>
      </c>
      <c r="G10" s="0" t="s">
        <v>164</v>
      </c>
    </row>
    <row customHeight="1" ht="11.25">
      <c r="A11" s="0" t="s">
        <v>16</v>
      </c>
      <c r="B11" s="0" t="s">
        <v>3243</v>
      </c>
      <c r="C11" s="0" t="s">
        <v>3244</v>
      </c>
      <c r="D11" s="0" t="s">
        <v>3243</v>
      </c>
      <c r="E11" s="0" t="s">
        <v>3244</v>
      </c>
      <c r="F11" s="0" t="s">
        <v>3223</v>
      </c>
      <c r="G11" s="0" t="s">
        <v>165</v>
      </c>
    </row>
    <row customHeight="1" ht="11.25">
      <c r="A12" s="0" t="s">
        <v>16</v>
      </c>
      <c r="B12" s="0" t="s">
        <v>3245</v>
      </c>
      <c r="C12" s="0" t="s">
        <v>3246</v>
      </c>
      <c r="D12" s="0" t="s">
        <v>3247</v>
      </c>
      <c r="E12" s="0" t="s">
        <v>3248</v>
      </c>
      <c r="F12" s="0" t="s">
        <v>3233</v>
      </c>
      <c r="G12" s="0" t="s">
        <v>166</v>
      </c>
    </row>
    <row customHeight="1" ht="11.25">
      <c r="A13" s="0" t="s">
        <v>16</v>
      </c>
      <c r="B13" s="0" t="s">
        <v>3245</v>
      </c>
      <c r="C13" s="0" t="s">
        <v>3246</v>
      </c>
      <c r="D13" s="0" t="s">
        <v>3249</v>
      </c>
      <c r="E13" s="0" t="s">
        <v>3250</v>
      </c>
      <c r="F13" s="0" t="s">
        <v>3233</v>
      </c>
      <c r="G13" s="0" t="s">
        <v>167</v>
      </c>
    </row>
    <row customHeight="1" ht="11.25">
      <c r="A14" s="0" t="s">
        <v>16</v>
      </c>
      <c r="B14" s="0" t="s">
        <v>3245</v>
      </c>
      <c r="C14" s="0" t="s">
        <v>3246</v>
      </c>
      <c r="D14" s="0" t="s">
        <v>3251</v>
      </c>
      <c r="E14" s="0" t="s">
        <v>3252</v>
      </c>
      <c r="F14" s="0" t="s">
        <v>3233</v>
      </c>
      <c r="G14" s="0" t="s">
        <v>168</v>
      </c>
    </row>
    <row customHeight="1" ht="11.25">
      <c r="A15" s="0" t="s">
        <v>16</v>
      </c>
      <c r="B15" s="0" t="s">
        <v>3245</v>
      </c>
      <c r="C15" s="0" t="s">
        <v>3246</v>
      </c>
      <c r="D15" s="0" t="s">
        <v>3253</v>
      </c>
      <c r="E15" s="0" t="s">
        <v>3254</v>
      </c>
      <c r="F15" s="0" t="s">
        <v>3255</v>
      </c>
      <c r="G15" s="0" t="s">
        <v>169</v>
      </c>
    </row>
    <row customHeight="1" ht="11.25">
      <c r="A16" s="0" t="s">
        <v>16</v>
      </c>
      <c r="B16" s="0" t="s">
        <v>3245</v>
      </c>
      <c r="C16" s="0" t="s">
        <v>3246</v>
      </c>
      <c r="D16" s="0" t="s">
        <v>3245</v>
      </c>
      <c r="E16" s="0" t="s">
        <v>3246</v>
      </c>
      <c r="F16" s="0" t="s">
        <v>3230</v>
      </c>
      <c r="G16" s="0" t="s">
        <v>1165</v>
      </c>
    </row>
    <row customHeight="1" ht="11.25">
      <c r="A17" s="0" t="s">
        <v>16</v>
      </c>
      <c r="B17" s="0" t="s">
        <v>3245</v>
      </c>
      <c r="C17" s="0" t="s">
        <v>3246</v>
      </c>
      <c r="D17" s="0" t="s">
        <v>3256</v>
      </c>
      <c r="E17" s="0" t="s">
        <v>3257</v>
      </c>
      <c r="F17" s="0" t="s">
        <v>3233</v>
      </c>
      <c r="G17" s="0" t="s">
        <v>1167</v>
      </c>
    </row>
    <row customHeight="1" ht="11.25">
      <c r="A18" s="0" t="s">
        <v>16</v>
      </c>
      <c r="B18" s="0" t="s">
        <v>3245</v>
      </c>
      <c r="C18" s="0" t="s">
        <v>3246</v>
      </c>
      <c r="D18" s="0" t="s">
        <v>3258</v>
      </c>
      <c r="E18" s="0" t="s">
        <v>3259</v>
      </c>
      <c r="F18" s="0" t="s">
        <v>3233</v>
      </c>
      <c r="G18" s="0" t="s">
        <v>1172</v>
      </c>
    </row>
    <row customHeight="1" ht="11.25">
      <c r="A19" s="0" t="s">
        <v>16</v>
      </c>
      <c r="B19" s="0" t="s">
        <v>3245</v>
      </c>
      <c r="C19" s="0" t="s">
        <v>3246</v>
      </c>
      <c r="D19" s="0" t="s">
        <v>3260</v>
      </c>
      <c r="E19" s="0" t="s">
        <v>3261</v>
      </c>
      <c r="F19" s="0" t="s">
        <v>3233</v>
      </c>
      <c r="G19" s="0" t="s">
        <v>1177</v>
      </c>
    </row>
    <row customHeight="1" ht="11.25">
      <c r="A20" s="0" t="s">
        <v>16</v>
      </c>
      <c r="B20" s="0" t="s">
        <v>3245</v>
      </c>
      <c r="C20" s="0" t="s">
        <v>3246</v>
      </c>
      <c r="D20" s="0" t="s">
        <v>3262</v>
      </c>
      <c r="E20" s="0" t="s">
        <v>3263</v>
      </c>
      <c r="F20" s="0" t="s">
        <v>3233</v>
      </c>
      <c r="G20" s="0" t="s">
        <v>1179</v>
      </c>
    </row>
    <row customHeight="1" ht="11.25">
      <c r="A21" s="0" t="s">
        <v>16</v>
      </c>
      <c r="B21" s="0" t="s">
        <v>3245</v>
      </c>
      <c r="C21" s="0" t="s">
        <v>3246</v>
      </c>
      <c r="D21" s="0" t="s">
        <v>3264</v>
      </c>
      <c r="E21" s="0" t="s">
        <v>3265</v>
      </c>
      <c r="F21" s="0" t="s">
        <v>3233</v>
      </c>
      <c r="G21" s="0" t="s">
        <v>1186</v>
      </c>
    </row>
    <row customHeight="1" ht="11.25">
      <c r="A22" s="0" t="s">
        <v>16</v>
      </c>
      <c r="B22" s="0" t="s">
        <v>3245</v>
      </c>
      <c r="C22" s="0" t="s">
        <v>3246</v>
      </c>
      <c r="D22" s="0" t="s">
        <v>3266</v>
      </c>
      <c r="E22" s="0" t="s">
        <v>3267</v>
      </c>
      <c r="F22" s="0" t="s">
        <v>3233</v>
      </c>
      <c r="G22" s="0" t="s">
        <v>1192</v>
      </c>
    </row>
    <row customHeight="1" ht="11.25">
      <c r="A23" s="0" t="s">
        <v>16</v>
      </c>
      <c r="B23" s="0" t="s">
        <v>3245</v>
      </c>
      <c r="C23" s="0" t="s">
        <v>3246</v>
      </c>
      <c r="D23" s="0" t="s">
        <v>3268</v>
      </c>
      <c r="E23" s="0" t="s">
        <v>3269</v>
      </c>
      <c r="F23" s="0" t="s">
        <v>3233</v>
      </c>
      <c r="G23" s="0" t="s">
        <v>1196</v>
      </c>
    </row>
    <row customHeight="1" ht="11.25">
      <c r="A24" s="0" t="s">
        <v>16</v>
      </c>
      <c r="B24" s="0" t="s">
        <v>3245</v>
      </c>
      <c r="C24" s="0" t="s">
        <v>3246</v>
      </c>
      <c r="D24" s="0" t="s">
        <v>3270</v>
      </c>
      <c r="E24" s="0" t="s">
        <v>3271</v>
      </c>
      <c r="F24" s="0" t="s">
        <v>3233</v>
      </c>
      <c r="G24" s="0" t="s">
        <v>1197</v>
      </c>
    </row>
    <row customHeight="1" ht="11.25">
      <c r="A25" s="0" t="s">
        <v>16</v>
      </c>
      <c r="B25" s="0" t="s">
        <v>3245</v>
      </c>
      <c r="C25" s="0" t="s">
        <v>3246</v>
      </c>
      <c r="D25" s="0" t="s">
        <v>3272</v>
      </c>
      <c r="E25" s="0" t="s">
        <v>3273</v>
      </c>
      <c r="F25" s="0" t="s">
        <v>3233</v>
      </c>
      <c r="G25" s="0" t="s">
        <v>1199</v>
      </c>
    </row>
    <row customHeight="1" ht="11.25">
      <c r="A26" s="0" t="s">
        <v>16</v>
      </c>
      <c r="B26" s="0" t="s">
        <v>3245</v>
      </c>
      <c r="C26" s="0" t="s">
        <v>3246</v>
      </c>
      <c r="D26" s="0" t="s">
        <v>3274</v>
      </c>
      <c r="E26" s="0" t="s">
        <v>3275</v>
      </c>
      <c r="F26" s="0" t="s">
        <v>3233</v>
      </c>
      <c r="G26" s="0" t="s">
        <v>1201</v>
      </c>
    </row>
    <row customHeight="1" ht="11.25">
      <c r="A27" s="0" t="s">
        <v>16</v>
      </c>
      <c r="B27" s="0" t="s">
        <v>3245</v>
      </c>
      <c r="C27" s="0" t="s">
        <v>3246</v>
      </c>
      <c r="D27" s="0" t="s">
        <v>3276</v>
      </c>
      <c r="E27" s="0" t="s">
        <v>3277</v>
      </c>
      <c r="F27" s="0" t="s">
        <v>3233</v>
      </c>
      <c r="G27" s="0" t="s">
        <v>1204</v>
      </c>
    </row>
    <row customHeight="1" ht="11.25">
      <c r="A28" s="0" t="s">
        <v>16</v>
      </c>
      <c r="B28" s="0" t="s">
        <v>3245</v>
      </c>
      <c r="C28" s="0" t="s">
        <v>3246</v>
      </c>
      <c r="D28" s="0" t="s">
        <v>3278</v>
      </c>
      <c r="E28" s="0" t="s">
        <v>3279</v>
      </c>
      <c r="F28" s="0" t="s">
        <v>3233</v>
      </c>
      <c r="G28" s="0" t="s">
        <v>1206</v>
      </c>
    </row>
    <row customHeight="1" ht="11.25">
      <c r="A29" s="0" t="s">
        <v>16</v>
      </c>
      <c r="B29" s="0" t="s">
        <v>3245</v>
      </c>
      <c r="C29" s="0" t="s">
        <v>3246</v>
      </c>
      <c r="D29" s="0" t="s">
        <v>3280</v>
      </c>
      <c r="E29" s="0" t="s">
        <v>3281</v>
      </c>
      <c r="F29" s="0" t="s">
        <v>3233</v>
      </c>
      <c r="G29" s="0" t="s">
        <v>1208</v>
      </c>
    </row>
    <row customHeight="1" ht="11.25">
      <c r="A30" s="0" t="s">
        <v>16</v>
      </c>
      <c r="B30" s="0" t="s">
        <v>3245</v>
      </c>
      <c r="C30" s="0" t="s">
        <v>3246</v>
      </c>
      <c r="D30" s="0" t="s">
        <v>3282</v>
      </c>
      <c r="E30" s="0" t="s">
        <v>3283</v>
      </c>
      <c r="F30" s="0" t="s">
        <v>3233</v>
      </c>
      <c r="G30" s="0" t="s">
        <v>1212</v>
      </c>
    </row>
    <row customHeight="1" ht="11.25">
      <c r="A31" s="0" t="s">
        <v>16</v>
      </c>
      <c r="B31" s="0" t="s">
        <v>3245</v>
      </c>
      <c r="C31" s="0" t="s">
        <v>3246</v>
      </c>
      <c r="D31" s="0" t="s">
        <v>3284</v>
      </c>
      <c r="E31" s="0" t="s">
        <v>3285</v>
      </c>
      <c r="F31" s="0" t="s">
        <v>3233</v>
      </c>
      <c r="G31" s="0" t="s">
        <v>1215</v>
      </c>
    </row>
    <row customHeight="1" ht="11.25">
      <c r="A32" s="0" t="s">
        <v>16</v>
      </c>
      <c r="B32" s="0" t="s">
        <v>3245</v>
      </c>
      <c r="C32" s="0" t="s">
        <v>3246</v>
      </c>
      <c r="D32" s="0" t="s">
        <v>3286</v>
      </c>
      <c r="E32" s="0" t="s">
        <v>3287</v>
      </c>
      <c r="F32" s="0" t="s">
        <v>3233</v>
      </c>
      <c r="G32" s="0" t="s">
        <v>1217</v>
      </c>
    </row>
    <row customHeight="1" ht="11.25">
      <c r="A33" s="0" t="s">
        <v>16</v>
      </c>
      <c r="B33" s="0" t="s">
        <v>3245</v>
      </c>
      <c r="C33" s="0" t="s">
        <v>3246</v>
      </c>
      <c r="D33" s="0" t="s">
        <v>3288</v>
      </c>
      <c r="E33" s="0" t="s">
        <v>3289</v>
      </c>
      <c r="F33" s="0" t="s">
        <v>3233</v>
      </c>
      <c r="G33" s="0" t="s">
        <v>1219</v>
      </c>
    </row>
    <row customHeight="1" ht="11.25">
      <c r="A34" s="0" t="s">
        <v>16</v>
      </c>
      <c r="B34" s="0" t="s">
        <v>3245</v>
      </c>
      <c r="C34" s="0" t="s">
        <v>3246</v>
      </c>
      <c r="D34" s="0" t="s">
        <v>3290</v>
      </c>
      <c r="E34" s="0" t="s">
        <v>3291</v>
      </c>
      <c r="F34" s="0" t="s">
        <v>3233</v>
      </c>
      <c r="G34" s="0" t="s">
        <v>1379</v>
      </c>
    </row>
    <row customHeight="1" ht="11.25">
      <c r="A35" s="0" t="s">
        <v>16</v>
      </c>
      <c r="B35" s="0" t="s">
        <v>3245</v>
      </c>
      <c r="C35" s="0" t="s">
        <v>3246</v>
      </c>
      <c r="D35" s="0" t="s">
        <v>3292</v>
      </c>
      <c r="E35" s="0" t="s">
        <v>3293</v>
      </c>
      <c r="F35" s="0" t="s">
        <v>3233</v>
      </c>
      <c r="G35" s="0" t="s">
        <v>1381</v>
      </c>
    </row>
    <row customHeight="1" ht="11.25">
      <c r="A36" s="0" t="s">
        <v>16</v>
      </c>
      <c r="B36" s="0" t="s">
        <v>3294</v>
      </c>
      <c r="C36" s="0" t="s">
        <v>3295</v>
      </c>
      <c r="D36" s="0" t="s">
        <v>3294</v>
      </c>
      <c r="E36" s="0" t="s">
        <v>3295</v>
      </c>
      <c r="F36" s="0" t="s">
        <v>3223</v>
      </c>
      <c r="G36" s="0" t="s">
        <v>1383</v>
      </c>
    </row>
    <row customHeight="1" ht="11.25">
      <c r="A37" s="0" t="s">
        <v>16</v>
      </c>
      <c r="B37" s="0" t="s">
        <v>3296</v>
      </c>
      <c r="C37" s="0" t="s">
        <v>3297</v>
      </c>
      <c r="D37" s="0" t="s">
        <v>3296</v>
      </c>
      <c r="E37" s="0" t="s">
        <v>3297</v>
      </c>
      <c r="F37" s="0" t="s">
        <v>3223</v>
      </c>
      <c r="G37" s="0" t="s">
        <v>1384</v>
      </c>
    </row>
    <row customHeight="1" ht="11.25">
      <c r="A38" s="0" t="s">
        <v>16</v>
      </c>
      <c r="B38" s="0" t="s">
        <v>3298</v>
      </c>
      <c r="C38" s="0" t="s">
        <v>3299</v>
      </c>
      <c r="D38" s="0" t="s">
        <v>3298</v>
      </c>
      <c r="E38" s="0" t="s">
        <v>3299</v>
      </c>
      <c r="F38" s="0" t="s">
        <v>3223</v>
      </c>
      <c r="G38" s="0" t="s">
        <v>1385</v>
      </c>
    </row>
    <row customHeight="1" ht="11.25">
      <c r="A39" s="0" t="s">
        <v>16</v>
      </c>
      <c r="B39" s="0" t="s">
        <v>3300</v>
      </c>
      <c r="C39" s="0" t="s">
        <v>3301</v>
      </c>
      <c r="D39" s="0" t="s">
        <v>3302</v>
      </c>
      <c r="E39" s="0" t="s">
        <v>3303</v>
      </c>
      <c r="F39" s="0" t="s">
        <v>3233</v>
      </c>
      <c r="G39" s="0" t="s">
        <v>1386</v>
      </c>
    </row>
    <row customHeight="1" ht="11.25">
      <c r="A40" s="0" t="s">
        <v>16</v>
      </c>
      <c r="B40" s="0" t="s">
        <v>3300</v>
      </c>
      <c r="C40" s="0" t="s">
        <v>3301</v>
      </c>
      <c r="D40" s="0" t="s">
        <v>3304</v>
      </c>
      <c r="E40" s="0" t="s">
        <v>3305</v>
      </c>
      <c r="F40" s="0" t="s">
        <v>3233</v>
      </c>
      <c r="G40" s="0" t="s">
        <v>1854</v>
      </c>
    </row>
    <row customHeight="1" ht="11.25">
      <c r="A41" s="0" t="s">
        <v>16</v>
      </c>
      <c r="B41" s="0" t="s">
        <v>3300</v>
      </c>
      <c r="C41" s="0" t="s">
        <v>3301</v>
      </c>
      <c r="D41" s="0" t="s">
        <v>3306</v>
      </c>
      <c r="E41" s="0" t="s">
        <v>3307</v>
      </c>
      <c r="F41" s="0" t="s">
        <v>3233</v>
      </c>
      <c r="G41" s="0" t="s">
        <v>1858</v>
      </c>
    </row>
    <row customHeight="1" ht="11.25">
      <c r="A42" s="0" t="s">
        <v>16</v>
      </c>
      <c r="B42" s="0" t="s">
        <v>3300</v>
      </c>
      <c r="C42" s="0" t="s">
        <v>3301</v>
      </c>
      <c r="D42" s="0" t="s">
        <v>3308</v>
      </c>
      <c r="E42" s="0" t="s">
        <v>3309</v>
      </c>
      <c r="F42" s="0" t="s">
        <v>3233</v>
      </c>
      <c r="G42" s="0" t="s">
        <v>1861</v>
      </c>
    </row>
    <row customHeight="1" ht="11.25">
      <c r="A43" s="0" t="s">
        <v>16</v>
      </c>
      <c r="B43" s="0" t="s">
        <v>3300</v>
      </c>
      <c r="C43" s="0" t="s">
        <v>3301</v>
      </c>
      <c r="D43" s="0" t="s">
        <v>3310</v>
      </c>
      <c r="E43" s="0" t="s">
        <v>3311</v>
      </c>
      <c r="F43" s="0" t="s">
        <v>3233</v>
      </c>
      <c r="G43" s="0" t="s">
        <v>1868</v>
      </c>
    </row>
    <row customHeight="1" ht="11.25">
      <c r="A44" s="0" t="s">
        <v>16</v>
      </c>
      <c r="B44" s="0" t="s">
        <v>3300</v>
      </c>
      <c r="C44" s="0" t="s">
        <v>3301</v>
      </c>
      <c r="D44" s="0" t="s">
        <v>3312</v>
      </c>
      <c r="E44" s="0" t="s">
        <v>3313</v>
      </c>
      <c r="F44" s="0" t="s">
        <v>3255</v>
      </c>
      <c r="G44" s="0" t="s">
        <v>1877</v>
      </c>
    </row>
    <row customHeight="1" ht="11.25">
      <c r="A45" s="0" t="s">
        <v>16</v>
      </c>
      <c r="B45" s="0" t="s">
        <v>3300</v>
      </c>
      <c r="C45" s="0" t="s">
        <v>3301</v>
      </c>
      <c r="D45" s="0" t="s">
        <v>3314</v>
      </c>
      <c r="E45" s="0" t="s">
        <v>3315</v>
      </c>
      <c r="F45" s="0" t="s">
        <v>3233</v>
      </c>
      <c r="G45" s="0" t="s">
        <v>1882</v>
      </c>
    </row>
    <row customHeight="1" ht="11.25">
      <c r="A46" s="0" t="s">
        <v>16</v>
      </c>
      <c r="B46" s="0" t="s">
        <v>3300</v>
      </c>
      <c r="C46" s="0" t="s">
        <v>3301</v>
      </c>
      <c r="D46" s="0" t="s">
        <v>3300</v>
      </c>
      <c r="E46" s="0" t="s">
        <v>3301</v>
      </c>
      <c r="F46" s="0" t="s">
        <v>3230</v>
      </c>
      <c r="G46" s="0" t="s">
        <v>1886</v>
      </c>
    </row>
    <row customHeight="1" ht="11.25">
      <c r="A47" s="0" t="s">
        <v>16</v>
      </c>
      <c r="B47" s="0" t="s">
        <v>3300</v>
      </c>
      <c r="C47" s="0" t="s">
        <v>3301</v>
      </c>
      <c r="D47" s="0" t="s">
        <v>3316</v>
      </c>
      <c r="E47" s="0" t="s">
        <v>3317</v>
      </c>
      <c r="F47" s="0" t="s">
        <v>3233</v>
      </c>
      <c r="G47" s="0" t="s">
        <v>1891</v>
      </c>
    </row>
    <row customHeight="1" ht="11.25">
      <c r="A48" s="0" t="s">
        <v>16</v>
      </c>
      <c r="B48" s="0" t="s">
        <v>3300</v>
      </c>
      <c r="C48" s="0" t="s">
        <v>3301</v>
      </c>
      <c r="D48" s="0" t="s">
        <v>3318</v>
      </c>
      <c r="E48" s="0" t="s">
        <v>3319</v>
      </c>
      <c r="F48" s="0" t="s">
        <v>3233</v>
      </c>
      <c r="G48" s="0" t="s">
        <v>1896</v>
      </c>
    </row>
    <row customHeight="1" ht="11.25">
      <c r="A49" s="0" t="s">
        <v>16</v>
      </c>
      <c r="B49" s="0" t="s">
        <v>3300</v>
      </c>
      <c r="C49" s="0" t="s">
        <v>3301</v>
      </c>
      <c r="D49" s="0" t="s">
        <v>3320</v>
      </c>
      <c r="E49" s="0" t="s">
        <v>3321</v>
      </c>
      <c r="F49" s="0" t="s">
        <v>3233</v>
      </c>
      <c r="G49" s="0" t="s">
        <v>1899</v>
      </c>
    </row>
    <row customHeight="1" ht="11.25">
      <c r="A50" s="0" t="s">
        <v>16</v>
      </c>
      <c r="B50" s="0" t="s">
        <v>3300</v>
      </c>
      <c r="C50" s="0" t="s">
        <v>3301</v>
      </c>
      <c r="D50" s="0" t="s">
        <v>3322</v>
      </c>
      <c r="E50" s="0" t="s">
        <v>3323</v>
      </c>
      <c r="F50" s="0" t="s">
        <v>3233</v>
      </c>
      <c r="G50" s="0" t="s">
        <v>1903</v>
      </c>
    </row>
    <row customHeight="1" ht="11.25">
      <c r="A51" s="0" t="s">
        <v>16</v>
      </c>
      <c r="B51" s="0" t="s">
        <v>3300</v>
      </c>
      <c r="C51" s="0" t="s">
        <v>3301</v>
      </c>
      <c r="D51" s="0" t="s">
        <v>3324</v>
      </c>
      <c r="E51" s="0" t="s">
        <v>3325</v>
      </c>
      <c r="F51" s="0" t="s">
        <v>3233</v>
      </c>
      <c r="G51" s="0" t="s">
        <v>1908</v>
      </c>
    </row>
    <row customHeight="1" ht="11.25">
      <c r="A52" s="0" t="s">
        <v>16</v>
      </c>
      <c r="B52" s="0" t="s">
        <v>3300</v>
      </c>
      <c r="C52" s="0" t="s">
        <v>3301</v>
      </c>
      <c r="D52" s="0" t="s">
        <v>3326</v>
      </c>
      <c r="E52" s="0" t="s">
        <v>3327</v>
      </c>
      <c r="F52" s="0" t="s">
        <v>3233</v>
      </c>
      <c r="G52" s="0" t="s">
        <v>1912</v>
      </c>
    </row>
    <row customHeight="1" ht="11.25">
      <c r="A53" s="0" t="s">
        <v>16</v>
      </c>
      <c r="B53" s="0" t="s">
        <v>3328</v>
      </c>
      <c r="C53" s="0" t="s">
        <v>3329</v>
      </c>
      <c r="D53" s="0" t="s">
        <v>3328</v>
      </c>
      <c r="E53" s="0" t="s">
        <v>3329</v>
      </c>
      <c r="F53" s="0" t="s">
        <v>3223</v>
      </c>
      <c r="G53" s="0" t="s">
        <v>1914</v>
      </c>
    </row>
    <row customHeight="1" ht="11.25">
      <c r="A54" s="0" t="s">
        <v>16</v>
      </c>
      <c r="B54" s="0" t="s">
        <v>3330</v>
      </c>
      <c r="C54" s="0" t="s">
        <v>3331</v>
      </c>
      <c r="D54" s="0" t="s">
        <v>3330</v>
      </c>
      <c r="E54" s="0" t="s">
        <v>3331</v>
      </c>
      <c r="F54" s="0" t="s">
        <v>3223</v>
      </c>
      <c r="G54" s="0" t="s">
        <v>1917</v>
      </c>
    </row>
    <row customHeight="1" ht="11.25">
      <c r="A55" s="0" t="s">
        <v>16</v>
      </c>
      <c r="B55" s="0" t="s">
        <v>3332</v>
      </c>
      <c r="C55" s="0" t="s">
        <v>3333</v>
      </c>
      <c r="D55" s="0" t="s">
        <v>3332</v>
      </c>
      <c r="E55" s="0" t="s">
        <v>3333</v>
      </c>
      <c r="F55" s="0" t="s">
        <v>3223</v>
      </c>
      <c r="G55" s="0" t="s">
        <v>1922</v>
      </c>
    </row>
    <row customHeight="1" ht="11.25">
      <c r="A56" s="0" t="s">
        <v>16</v>
      </c>
      <c r="B56" s="0" t="s">
        <v>3334</v>
      </c>
      <c r="C56" s="0" t="s">
        <v>3335</v>
      </c>
      <c r="D56" s="0" t="s">
        <v>3334</v>
      </c>
      <c r="E56" s="0" t="s">
        <v>3335</v>
      </c>
      <c r="F56" s="0" t="s">
        <v>3223</v>
      </c>
      <c r="G56" s="0" t="s">
        <v>1926</v>
      </c>
    </row>
    <row customHeight="1" ht="11.25">
      <c r="A57" s="0" t="s">
        <v>16</v>
      </c>
      <c r="B57" s="0" t="s">
        <v>3336</v>
      </c>
      <c r="C57" s="0" t="s">
        <v>3337</v>
      </c>
      <c r="D57" s="0" t="s">
        <v>3336</v>
      </c>
      <c r="E57" s="0" t="s">
        <v>3337</v>
      </c>
      <c r="F57" s="0" t="s">
        <v>3223</v>
      </c>
      <c r="G57" s="0" t="s">
        <v>1929</v>
      </c>
    </row>
    <row customHeight="1" ht="11.25">
      <c r="A58" s="0" t="s">
        <v>16</v>
      </c>
      <c r="B58" s="0" t="s">
        <v>3338</v>
      </c>
      <c r="C58" s="0" t="s">
        <v>3339</v>
      </c>
      <c r="D58" s="0" t="s">
        <v>3338</v>
      </c>
      <c r="E58" s="0" t="s">
        <v>3339</v>
      </c>
      <c r="F58" s="0" t="s">
        <v>3223</v>
      </c>
      <c r="G58" s="0" t="s">
        <v>1932</v>
      </c>
    </row>
    <row customHeight="1" ht="11.25">
      <c r="A59" s="0" t="s">
        <v>16</v>
      </c>
      <c r="B59" s="0" t="s">
        <v>3340</v>
      </c>
      <c r="C59" s="0" t="s">
        <v>3341</v>
      </c>
      <c r="D59" s="0" t="s">
        <v>3340</v>
      </c>
      <c r="E59" s="0" t="s">
        <v>3341</v>
      </c>
      <c r="F59" s="0" t="s">
        <v>3223</v>
      </c>
      <c r="G59" s="0" t="s">
        <v>1936</v>
      </c>
    </row>
    <row customHeight="1" ht="11.25">
      <c r="A60" s="0" t="s">
        <v>16</v>
      </c>
      <c r="B60" s="0" t="s">
        <v>3342</v>
      </c>
      <c r="C60" s="0" t="s">
        <v>3343</v>
      </c>
      <c r="D60" s="0" t="s">
        <v>3342</v>
      </c>
      <c r="E60" s="0" t="s">
        <v>3343</v>
      </c>
      <c r="F60" s="0" t="s">
        <v>3223</v>
      </c>
      <c r="G60" s="0" t="s">
        <v>1939</v>
      </c>
    </row>
    <row customHeight="1" ht="11.25">
      <c r="A61" s="0" t="s">
        <v>16</v>
      </c>
      <c r="B61" s="0" t="s">
        <v>3344</v>
      </c>
      <c r="C61" s="0" t="s">
        <v>3345</v>
      </c>
      <c r="D61" s="0" t="s">
        <v>3344</v>
      </c>
      <c r="E61" s="0" t="s">
        <v>3345</v>
      </c>
      <c r="F61" s="0" t="s">
        <v>3223</v>
      </c>
      <c r="G61" s="0" t="s">
        <v>3346</v>
      </c>
    </row>
    <row customHeight="1" ht="11.25">
      <c r="A62" s="0" t="s">
        <v>16</v>
      </c>
      <c r="B62" s="0" t="s">
        <v>3347</v>
      </c>
      <c r="C62" s="0" t="s">
        <v>3348</v>
      </c>
      <c r="D62" s="0" t="s">
        <v>3349</v>
      </c>
      <c r="E62" s="0" t="s">
        <v>3350</v>
      </c>
      <c r="F62" s="0" t="s">
        <v>3233</v>
      </c>
      <c r="G62" s="0" t="s">
        <v>3351</v>
      </c>
    </row>
    <row customHeight="1" ht="11.25">
      <c r="A63" s="0" t="s">
        <v>16</v>
      </c>
      <c r="B63" s="0" t="s">
        <v>3347</v>
      </c>
      <c r="C63" s="0" t="s">
        <v>3348</v>
      </c>
      <c r="D63" s="0" t="s">
        <v>3352</v>
      </c>
      <c r="E63" s="0" t="s">
        <v>3353</v>
      </c>
      <c r="F63" s="0" t="s">
        <v>3233</v>
      </c>
      <c r="G63" s="0" t="s">
        <v>3354</v>
      </c>
    </row>
    <row customHeight="1" ht="11.25">
      <c r="A64" s="0" t="s">
        <v>16</v>
      </c>
      <c r="B64" s="0" t="s">
        <v>3347</v>
      </c>
      <c r="C64" s="0" t="s">
        <v>3348</v>
      </c>
      <c r="D64" s="0" t="s">
        <v>3355</v>
      </c>
      <c r="E64" s="0" t="s">
        <v>3356</v>
      </c>
      <c r="F64" s="0" t="s">
        <v>3233</v>
      </c>
      <c r="G64" s="0" t="s">
        <v>3357</v>
      </c>
    </row>
    <row customHeight="1" ht="11.25">
      <c r="A65" s="0" t="s">
        <v>16</v>
      </c>
      <c r="B65" s="0" t="s">
        <v>3347</v>
      </c>
      <c r="C65" s="0" t="s">
        <v>3348</v>
      </c>
      <c r="D65" s="0" t="s">
        <v>3358</v>
      </c>
      <c r="E65" s="0" t="s">
        <v>3359</v>
      </c>
      <c r="F65" s="0" t="s">
        <v>3233</v>
      </c>
      <c r="G65" s="0" t="s">
        <v>3360</v>
      </c>
    </row>
    <row customHeight="1" ht="11.25">
      <c r="A66" s="0" t="s">
        <v>16</v>
      </c>
      <c r="B66" s="0" t="s">
        <v>3347</v>
      </c>
      <c r="C66" s="0" t="s">
        <v>3348</v>
      </c>
      <c r="D66" s="0" t="s">
        <v>3361</v>
      </c>
      <c r="E66" s="0" t="s">
        <v>3362</v>
      </c>
      <c r="F66" s="0" t="s">
        <v>3233</v>
      </c>
      <c r="G66" s="0" t="s">
        <v>3363</v>
      </c>
    </row>
    <row customHeight="1" ht="11.25">
      <c r="A67" s="0" t="s">
        <v>16</v>
      </c>
      <c r="B67" s="0" t="s">
        <v>3347</v>
      </c>
      <c r="C67" s="0" t="s">
        <v>3348</v>
      </c>
      <c r="D67" s="0" t="s">
        <v>3364</v>
      </c>
      <c r="E67" s="0" t="s">
        <v>3365</v>
      </c>
      <c r="F67" s="0" t="s">
        <v>3233</v>
      </c>
      <c r="G67" s="0" t="s">
        <v>2237</v>
      </c>
    </row>
    <row customHeight="1" ht="11.25">
      <c r="A68" s="0" t="s">
        <v>16</v>
      </c>
      <c r="B68" s="0" t="s">
        <v>3347</v>
      </c>
      <c r="C68" s="0" t="s">
        <v>3348</v>
      </c>
      <c r="D68" s="0" t="s">
        <v>3366</v>
      </c>
      <c r="E68" s="0" t="s">
        <v>3367</v>
      </c>
      <c r="F68" s="0" t="s">
        <v>3233</v>
      </c>
      <c r="G68" s="0" t="s">
        <v>3368</v>
      </c>
    </row>
    <row customHeight="1" ht="11.25">
      <c r="A69" s="0" t="s">
        <v>16</v>
      </c>
      <c r="B69" s="0" t="s">
        <v>3347</v>
      </c>
      <c r="C69" s="0" t="s">
        <v>3348</v>
      </c>
      <c r="D69" s="0" t="s">
        <v>3369</v>
      </c>
      <c r="E69" s="0" t="s">
        <v>3370</v>
      </c>
      <c r="F69" s="0" t="s">
        <v>3233</v>
      </c>
      <c r="G69" s="0" t="s">
        <v>2437</v>
      </c>
    </row>
    <row customHeight="1" ht="11.25">
      <c r="A70" s="0" t="s">
        <v>16</v>
      </c>
      <c r="B70" s="0" t="s">
        <v>3347</v>
      </c>
      <c r="C70" s="0" t="s">
        <v>3348</v>
      </c>
      <c r="D70" s="0" t="s">
        <v>3371</v>
      </c>
      <c r="E70" s="0" t="s">
        <v>3372</v>
      </c>
      <c r="F70" s="0" t="s">
        <v>3233</v>
      </c>
      <c r="G70" s="0" t="s">
        <v>3373</v>
      </c>
    </row>
    <row customHeight="1" ht="11.25">
      <c r="A71" s="0" t="s">
        <v>16</v>
      </c>
      <c r="B71" s="0" t="s">
        <v>3347</v>
      </c>
      <c r="C71" s="0" t="s">
        <v>3348</v>
      </c>
      <c r="D71" s="0" t="s">
        <v>3347</v>
      </c>
      <c r="E71" s="0" t="s">
        <v>3348</v>
      </c>
      <c r="F71" s="0" t="s">
        <v>3230</v>
      </c>
      <c r="G71" s="0" t="s">
        <v>3374</v>
      </c>
    </row>
    <row customHeight="1" ht="11.25">
      <c r="A72" s="0" t="s">
        <v>16</v>
      </c>
      <c r="B72" s="0" t="s">
        <v>3347</v>
      </c>
      <c r="C72" s="0" t="s">
        <v>3348</v>
      </c>
      <c r="D72" s="0" t="s">
        <v>3375</v>
      </c>
      <c r="E72" s="0" t="s">
        <v>3376</v>
      </c>
      <c r="F72" s="0" t="s">
        <v>3233</v>
      </c>
      <c r="G72" s="0" t="s">
        <v>3377</v>
      </c>
    </row>
    <row customHeight="1" ht="11.25">
      <c r="A73" s="0" t="s">
        <v>16</v>
      </c>
      <c r="B73" s="0" t="s">
        <v>3347</v>
      </c>
      <c r="C73" s="0" t="s">
        <v>3348</v>
      </c>
      <c r="D73" s="0" t="s">
        <v>3378</v>
      </c>
      <c r="E73" s="0" t="s">
        <v>3379</v>
      </c>
      <c r="F73" s="0" t="s">
        <v>3233</v>
      </c>
      <c r="G73" s="0" t="s">
        <v>3380</v>
      </c>
    </row>
    <row customHeight="1" ht="11.25">
      <c r="A74" s="0" t="s">
        <v>16</v>
      </c>
      <c r="B74" s="0" t="s">
        <v>3347</v>
      </c>
      <c r="C74" s="0" t="s">
        <v>3348</v>
      </c>
      <c r="D74" s="0" t="s">
        <v>3381</v>
      </c>
      <c r="E74" s="0" t="s">
        <v>3382</v>
      </c>
      <c r="F74" s="0" t="s">
        <v>3233</v>
      </c>
      <c r="G74" s="0" t="s">
        <v>3383</v>
      </c>
    </row>
    <row customHeight="1" ht="11.25">
      <c r="A75" s="0" t="s">
        <v>16</v>
      </c>
      <c r="B75" s="0" t="s">
        <v>3384</v>
      </c>
      <c r="C75" s="0" t="s">
        <v>3385</v>
      </c>
      <c r="D75" s="0" t="s">
        <v>3384</v>
      </c>
      <c r="E75" s="0" t="s">
        <v>3385</v>
      </c>
      <c r="F75" s="0" t="s">
        <v>3223</v>
      </c>
      <c r="G75" s="0" t="s">
        <v>3386</v>
      </c>
    </row>
    <row customHeight="1" ht="11.25">
      <c r="A76" s="0" t="s">
        <v>16</v>
      </c>
      <c r="B76" s="0" t="s">
        <v>3387</v>
      </c>
      <c r="C76" s="0" t="s">
        <v>3388</v>
      </c>
      <c r="D76" s="0" t="s">
        <v>3387</v>
      </c>
      <c r="E76" s="0" t="s">
        <v>3388</v>
      </c>
      <c r="F76" s="0" t="s">
        <v>3223</v>
      </c>
      <c r="G76" s="0" t="s">
        <v>3389</v>
      </c>
    </row>
    <row customHeight="1" ht="11.25">
      <c r="A77" s="0" t="s">
        <v>16</v>
      </c>
      <c r="B77" s="0" t="s">
        <v>3390</v>
      </c>
      <c r="C77" s="0" t="s">
        <v>3391</v>
      </c>
      <c r="D77" s="0" t="s">
        <v>3390</v>
      </c>
      <c r="E77" s="0" t="s">
        <v>3391</v>
      </c>
      <c r="F77" s="0" t="s">
        <v>3223</v>
      </c>
      <c r="G77" s="0" t="s">
        <v>3392</v>
      </c>
    </row>
    <row customHeight="1" ht="11.25">
      <c r="A78" s="0" t="s">
        <v>16</v>
      </c>
      <c r="B78" s="0" t="s">
        <v>112</v>
      </c>
      <c r="C78" s="0" t="s">
        <v>113</v>
      </c>
      <c r="D78" s="0" t="s">
        <v>112</v>
      </c>
      <c r="E78" s="0" t="s">
        <v>113</v>
      </c>
      <c r="F78" s="0" t="s">
        <v>3223</v>
      </c>
      <c r="G78" s="0" t="s">
        <v>111</v>
      </c>
    </row>
    <row customHeight="1" ht="11.25">
      <c r="A79" s="0" t="s">
        <v>16</v>
      </c>
      <c r="B79" s="0" t="s">
        <v>3393</v>
      </c>
      <c r="C79" s="0" t="s">
        <v>3394</v>
      </c>
      <c r="D79" s="0" t="s">
        <v>3393</v>
      </c>
      <c r="E79" s="0" t="s">
        <v>3394</v>
      </c>
      <c r="F79" s="0" t="s">
        <v>3223</v>
      </c>
      <c r="G79" s="0" t="s">
        <v>3395</v>
      </c>
    </row>
    <row customHeight="1" ht="11.25">
      <c r="A80" s="0" t="s">
        <v>16</v>
      </c>
      <c r="B80" s="0" t="s">
        <v>3396</v>
      </c>
      <c r="C80" s="0" t="s">
        <v>3397</v>
      </c>
      <c r="D80" s="0" t="s">
        <v>3396</v>
      </c>
      <c r="E80" s="0" t="s">
        <v>3397</v>
      </c>
      <c r="F80" s="0" t="s">
        <v>3223</v>
      </c>
      <c r="G80" s="0" t="s">
        <v>3398</v>
      </c>
    </row>
    <row customHeight="1" ht="11.25">
      <c r="A81" s="0" t="s">
        <v>16</v>
      </c>
      <c r="B81" s="0" t="s">
        <v>3399</v>
      </c>
      <c r="C81" s="0" t="s">
        <v>3400</v>
      </c>
      <c r="D81" s="0" t="s">
        <v>3399</v>
      </c>
      <c r="E81" s="0" t="s">
        <v>3400</v>
      </c>
      <c r="F81" s="0" t="s">
        <v>3223</v>
      </c>
      <c r="G81" s="0" t="s">
        <v>3401</v>
      </c>
    </row>
    <row customHeight="1" ht="11.25">
      <c r="A82" s="0" t="s">
        <v>16</v>
      </c>
      <c r="B82" s="0" t="s">
        <v>3402</v>
      </c>
      <c r="C82" s="0" t="s">
        <v>3403</v>
      </c>
      <c r="D82" s="0" t="s">
        <v>3402</v>
      </c>
      <c r="E82" s="0" t="s">
        <v>3403</v>
      </c>
      <c r="F82" s="0" t="s">
        <v>3223</v>
      </c>
      <c r="G82" s="0" t="s">
        <v>3404</v>
      </c>
    </row>
    <row customHeight="1" ht="11.25">
      <c r="A83" s="0" t="s">
        <v>16</v>
      </c>
      <c r="B83" s="0" t="s">
        <v>101</v>
      </c>
      <c r="C83" s="0" t="s">
        <v>102</v>
      </c>
      <c r="D83" s="0" t="s">
        <v>101</v>
      </c>
      <c r="E83" s="0" t="s">
        <v>102</v>
      </c>
      <c r="F83" s="0" t="s">
        <v>3405</v>
      </c>
      <c r="G83" s="0" t="s">
        <v>100</v>
      </c>
    </row>
    <row customHeight="1" ht="11.25">
      <c r="A84" s="0" t="s">
        <v>16</v>
      </c>
      <c r="B84" s="0" t="s">
        <v>108</v>
      </c>
      <c r="C84" s="0" t="s">
        <v>109</v>
      </c>
      <c r="D84" s="0" t="s">
        <v>108</v>
      </c>
      <c r="E84" s="0" t="s">
        <v>109</v>
      </c>
      <c r="F84" s="0" t="s">
        <v>3405</v>
      </c>
      <c r="G84" s="0"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DED78-F4A5-56B7-958E-F3B1F5176B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6" t="s">
        <v>3611</v>
      </c>
      <c r="B1" s="846" t="s">
        <v>3612</v>
      </c>
      <c r="C1" s="846" t="s">
        <v>1440</v>
      </c>
    </row>
    <row customHeight="1" ht="11.25">
      <c r="A2" s="846">
        <v>4189678</v>
      </c>
      <c r="B2" s="846" t="s">
        <v>3613</v>
      </c>
      <c r="C2" s="846" t="s">
        <v>3614</v>
      </c>
    </row>
    <row customHeight="1" ht="11.25">
      <c r="A3" s="846">
        <v>4190415</v>
      </c>
      <c r="B3" s="846" t="s">
        <v>3615</v>
      </c>
      <c r="C3" s="846" t="s">
        <v>3614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D85DC-609A-640D-698A-186F0E42CA1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3" width="38.421875" customWidth="1"/>
    <col min="2" max="5" style="173" width="9.140625"/>
  </cols>
  <sheetData>
    <row customHeight="1" ht="15">
      <c r="A1" s="174" t="s">
        <v>3616</v>
      </c>
      <c r="B1" s="174" t="s">
        <v>3617</v>
      </c>
      <c r="C1" s="174"/>
      <c r="D1" s="174"/>
      <c r="E1" s="174"/>
    </row>
    <row customHeight="1" ht="15">
      <c r="A2" s="174"/>
      <c r="B2" s="174"/>
      <c r="C2" s="174"/>
      <c r="D2" s="174"/>
      <c r="E2" s="174"/>
    </row>
    <row customHeight="1" ht="15">
      <c r="A3" s="174"/>
      <c r="B3" s="174"/>
      <c r="C3" s="174"/>
      <c r="D3" s="174"/>
      <c r="E3" s="174"/>
    </row>
    <row customHeight="1" ht="15">
      <c r="A4" s="174"/>
      <c r="B4" s="174"/>
      <c r="C4" s="174"/>
      <c r="D4" s="174"/>
      <c r="E4" s="174"/>
    </row>
    <row customHeight="1" ht="15">
      <c r="A5" s="174"/>
      <c r="B5" s="174"/>
      <c r="C5" s="174"/>
      <c r="D5" s="174"/>
      <c r="E5" s="174"/>
    </row>
    <row customHeight="1" ht="15">
      <c r="A6" s="174"/>
      <c r="B6" s="174"/>
      <c r="C6" s="174"/>
      <c r="D6" s="174"/>
      <c r="E6" s="174"/>
    </row>
    <row customHeight="1" ht="15">
      <c r="A7" s="174"/>
      <c r="B7" s="174"/>
      <c r="C7" s="174"/>
      <c r="D7" s="174"/>
      <c r="E7" s="174"/>
    </row>
    <row customHeight="1" ht="15">
      <c r="A8" s="174"/>
      <c r="B8" s="174"/>
      <c r="C8" s="174"/>
      <c r="D8" s="174"/>
      <c r="E8" s="17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F41F8-FF17-7ADC-77D8-4DFAAC8862E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3618</v>
      </c>
      <c r="B1" s="0" t="b">
        <v>1</v>
      </c>
    </row>
    <row customHeight="1" ht="11.25">
      <c r="A2" s="0" t="s">
        <v>3619</v>
      </c>
      <c r="B2" s="0" t="b">
        <v>0</v>
      </c>
    </row>
    <row customHeight="1" ht="11.25">
      <c r="A3" s="0" t="s">
        <v>3620</v>
      </c>
      <c r="B3" s="0" t="b">
        <v>1</v>
      </c>
    </row>
    <row customHeight="1" ht="11.25">
      <c r="A4" s="0" t="s">
        <v>3621</v>
      </c>
      <c r="B4" s="0" t="b">
        <v>0</v>
      </c>
    </row>
    <row customHeight="1" ht="11.25">
      <c r="A5" s="0" t="s">
        <v>3622</v>
      </c>
      <c r="B5" s="0" t="b">
        <v>0</v>
      </c>
    </row>
    <row customHeight="1" ht="11.25">
      <c r="A6" s="0" t="s">
        <v>3623</v>
      </c>
      <c r="B6" s="0" t="b">
        <v>0</v>
      </c>
    </row>
    <row customHeight="1" ht="11.25">
      <c r="A7" s="0" t="s">
        <v>3624</v>
      </c>
      <c r="B7" s="0" t="b">
        <v>0</v>
      </c>
    </row>
    <row customHeight="1" ht="11.25">
      <c r="A8" s="0" t="s">
        <v>3625</v>
      </c>
      <c r="B8" s="0" t="b">
        <v>0</v>
      </c>
    </row>
    <row customHeight="1" ht="11.25">
      <c r="A9" s="0" t="s">
        <v>3626</v>
      </c>
      <c r="B9" s="0" t="b">
        <v>0</v>
      </c>
    </row>
    <row customHeight="1" ht="11.25">
      <c r="A10" s="0" t="s">
        <v>3627</v>
      </c>
      <c r="B10" s="0" t="b">
        <v>1</v>
      </c>
    </row>
    <row customHeight="1" ht="11.25">
      <c r="A11" s="0" t="s">
        <v>3628</v>
      </c>
      <c r="B11" s="0" t="b">
        <v>0</v>
      </c>
    </row>
    <row customHeight="1" ht="11.25">
      <c r="A12" s="0" t="s">
        <v>3629</v>
      </c>
      <c r="B12" s="0" t="b">
        <v>0</v>
      </c>
    </row>
    <row customHeight="1" ht="11.25">
      <c r="A13" s="0" t="s">
        <v>3630</v>
      </c>
      <c r="B13" s="0" t="b">
        <v>0</v>
      </c>
    </row>
    <row customHeight="1" ht="11.25">
      <c r="A14" s="0" t="s">
        <v>3631</v>
      </c>
      <c r="B14" s="0" t="b">
        <v>0</v>
      </c>
    </row>
    <row customHeight="1" ht="11.25">
      <c r="A15" s="0" t="s">
        <v>3632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6FEE8-8AD8-5A43-BBB8-38EEAB34F23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2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32268-B5B8-5988-BEEC-9A5440C60EF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8" t="s">
        <v>3633</v>
      </c>
      <c r="B1" s="78" t="s">
        <v>3634</v>
      </c>
    </row>
    <row customHeight="1" ht="11.25">
      <c r="A2" s="75" t="s">
        <v>3635</v>
      </c>
      <c r="B2" s="75" t="s">
        <v>3636</v>
      </c>
    </row>
    <row customHeight="1" ht="11.25">
      <c r="A3" s="75" t="s">
        <v>3637</v>
      </c>
      <c r="B3" s="75" t="s">
        <v>3638</v>
      </c>
    </row>
    <row customHeight="1" ht="11.25">
      <c r="A4" s="75" t="s">
        <v>3639</v>
      </c>
      <c r="B4" s="75" t="s">
        <v>3640</v>
      </c>
    </row>
    <row customHeight="1" ht="11.25">
      <c r="A5" s="75" t="s">
        <v>3641</v>
      </c>
      <c r="B5" s="75" t="s">
        <v>3642</v>
      </c>
    </row>
    <row customHeight="1" ht="11.25">
      <c r="A6" s="75" t="s">
        <v>3643</v>
      </c>
      <c r="B6" s="75" t="s">
        <v>3644</v>
      </c>
    </row>
    <row customHeight="1" ht="11.25">
      <c r="A7" s="75" t="s">
        <v>3645</v>
      </c>
      <c r="B7" s="75" t="s">
        <v>3646</v>
      </c>
    </row>
    <row customHeight="1" ht="11.25">
      <c r="A8" s="75" t="s">
        <v>3647</v>
      </c>
      <c r="B8" s="75" t="s">
        <v>3648</v>
      </c>
    </row>
    <row customHeight="1" ht="11.25">
      <c r="A9" s="75" t="s">
        <v>3649</v>
      </c>
      <c r="B9" s="75" t="s">
        <v>3650</v>
      </c>
    </row>
    <row customHeight="1" ht="11.25">
      <c r="A10" s="75" t="s">
        <v>3651</v>
      </c>
      <c r="B10" s="75" t="s">
        <v>3652</v>
      </c>
    </row>
    <row customHeight="1" ht="11.25">
      <c r="A11" s="75" t="s">
        <v>3653</v>
      </c>
      <c r="B11" s="75" t="s">
        <v>3654</v>
      </c>
    </row>
    <row customHeight="1" ht="11.25">
      <c r="A12" s="75" t="s">
        <v>3655</v>
      </c>
      <c r="B12" s="75" t="s">
        <v>3656</v>
      </c>
    </row>
    <row customHeight="1" ht="11.25">
      <c r="A13" s="75" t="s">
        <v>3657</v>
      </c>
      <c r="B13" s="75" t="s">
        <v>3658</v>
      </c>
    </row>
    <row customHeight="1" ht="11.25">
      <c r="A14" s="75" t="s">
        <v>3659</v>
      </c>
      <c r="B14" s="75" t="s">
        <v>3660</v>
      </c>
    </row>
    <row customHeight="1" ht="11.25">
      <c r="A15" s="75" t="s">
        <v>3661</v>
      </c>
      <c r="B15" s="75" t="s">
        <v>3662</v>
      </c>
    </row>
    <row customHeight="1" ht="11.25">
      <c r="A16" s="75" t="s">
        <v>3663</v>
      </c>
      <c r="B16" s="75" t="s">
        <v>3664</v>
      </c>
    </row>
    <row customHeight="1" ht="11.25">
      <c r="A17" s="75" t="s">
        <v>3665</v>
      </c>
      <c r="B17" s="75" t="s">
        <v>3666</v>
      </c>
    </row>
    <row customHeight="1" ht="11.25">
      <c r="A18" s="75" t="s">
        <v>3667</v>
      </c>
      <c r="B18" s="75" t="s">
        <v>3668</v>
      </c>
    </row>
    <row customHeight="1" ht="11.25">
      <c r="A19" s="75" t="s">
        <v>3669</v>
      </c>
      <c r="B19" s="75" t="s">
        <v>3670</v>
      </c>
    </row>
    <row customHeight="1" ht="11.25">
      <c r="A20" s="75" t="s">
        <v>3671</v>
      </c>
      <c r="B20" s="75" t="s">
        <v>3672</v>
      </c>
    </row>
    <row customHeight="1" ht="11.25">
      <c r="A21" s="75" t="s">
        <v>3673</v>
      </c>
      <c r="B21" s="75" t="s">
        <v>3674</v>
      </c>
    </row>
    <row customHeight="1" ht="11.25">
      <c r="A22" s="75" t="s">
        <v>3675</v>
      </c>
      <c r="B22" s="75" t="s">
        <v>3676</v>
      </c>
    </row>
    <row customHeight="1" ht="11.25">
      <c r="A23" s="75" t="s">
        <v>3677</v>
      </c>
      <c r="B23" s="75" t="s">
        <v>3678</v>
      </c>
    </row>
    <row customHeight="1" ht="11.25">
      <c r="A24" s="75" t="s">
        <v>3679</v>
      </c>
      <c r="B24" s="75" t="s">
        <v>3680</v>
      </c>
    </row>
    <row customHeight="1" ht="11.25">
      <c r="A25" s="75" t="s">
        <v>3681</v>
      </c>
      <c r="B25" s="75" t="s">
        <v>3682</v>
      </c>
    </row>
    <row customHeight="1" ht="11.25">
      <c r="A26" s="75" t="s">
        <v>3683</v>
      </c>
      <c r="B26" s="75" t="s">
        <v>3684</v>
      </c>
    </row>
    <row customHeight="1" ht="11.25">
      <c r="A27" s="75" t="s">
        <v>3685</v>
      </c>
      <c r="B27" s="75" t="s">
        <v>3686</v>
      </c>
    </row>
    <row customHeight="1" ht="11.25">
      <c r="A28" s="75" t="s">
        <v>3687</v>
      </c>
      <c r="B28" s="75" t="s">
        <v>3688</v>
      </c>
    </row>
    <row customHeight="1" ht="11.25">
      <c r="A29" s="75" t="s">
        <v>3689</v>
      </c>
      <c r="B29" s="75" t="s">
        <v>3690</v>
      </c>
    </row>
    <row customHeight="1" ht="11.25">
      <c r="A30" s="75" t="s">
        <v>3691</v>
      </c>
      <c r="B30" s="75" t="s">
        <v>3692</v>
      </c>
    </row>
    <row customHeight="1" ht="11.25">
      <c r="A31" s="75" t="s">
        <v>3693</v>
      </c>
      <c r="B31" s="75" t="s">
        <v>3694</v>
      </c>
    </row>
    <row customHeight="1" ht="11.25">
      <c r="A32" s="75" t="s">
        <v>3695</v>
      </c>
      <c r="B32" s="75" t="s">
        <v>3696</v>
      </c>
    </row>
    <row customHeight="1" ht="11.25">
      <c r="A33" s="75" t="s">
        <v>3697</v>
      </c>
      <c r="B33" s="75" t="s">
        <v>3698</v>
      </c>
    </row>
    <row customHeight="1" ht="11.25">
      <c r="A34" s="75" t="s">
        <v>3699</v>
      </c>
      <c r="B34" s="75" t="s">
        <v>3700</v>
      </c>
    </row>
    <row customHeight="1" ht="11.25">
      <c r="A35" s="75" t="s">
        <v>3701</v>
      </c>
      <c r="B35" s="75" t="s">
        <v>3702</v>
      </c>
    </row>
    <row customHeight="1" ht="11.25">
      <c r="A36" s="75" t="s">
        <v>3703</v>
      </c>
      <c r="B36" s="75" t="s">
        <v>3704</v>
      </c>
    </row>
    <row customHeight="1" ht="11.25">
      <c r="A37" s="75" t="s">
        <v>3705</v>
      </c>
      <c r="B37" s="75" t="s">
        <v>3706</v>
      </c>
    </row>
    <row customHeight="1" ht="11.25">
      <c r="A38" s="75" t="s">
        <v>3707</v>
      </c>
      <c r="B38" s="75" t="s">
        <v>3708</v>
      </c>
    </row>
    <row customHeight="1" ht="11.25">
      <c r="A39" s="75" t="s">
        <v>3709</v>
      </c>
      <c r="B39" s="75" t="s">
        <v>3710</v>
      </c>
    </row>
    <row customHeight="1" ht="11.25">
      <c r="A40" s="75" t="s">
        <v>3711</v>
      </c>
      <c r="B40" s="75" t="s">
        <v>3712</v>
      </c>
    </row>
    <row customHeight="1" ht="11.25">
      <c r="A41" s="75" t="s">
        <v>3713</v>
      </c>
      <c r="B41" s="75" t="s">
        <v>3714</v>
      </c>
    </row>
    <row customHeight="1" ht="11.25">
      <c r="A42" s="75" t="s">
        <v>3715</v>
      </c>
      <c r="B42" s="75" t="s">
        <v>3716</v>
      </c>
    </row>
    <row customHeight="1" ht="11.25">
      <c r="A43" s="75" t="s">
        <v>3717</v>
      </c>
      <c r="B43" s="75" t="s">
        <v>3718</v>
      </c>
    </row>
    <row customHeight="1" ht="11.25">
      <c r="A44" s="75" t="s">
        <v>3719</v>
      </c>
      <c r="B44" s="75" t="s">
        <v>3720</v>
      </c>
    </row>
    <row customHeight="1" ht="11.25">
      <c r="A45" s="75" t="s">
        <v>3721</v>
      </c>
      <c r="B45" s="75" t="s">
        <v>3722</v>
      </c>
    </row>
    <row customHeight="1" ht="11.25">
      <c r="A46" s="75" t="s">
        <v>3723</v>
      </c>
      <c r="B46" s="75" t="s">
        <v>3724</v>
      </c>
    </row>
    <row customHeight="1" ht="11.25">
      <c r="A47" s="75" t="s">
        <v>3725</v>
      </c>
      <c r="B47" s="75" t="s">
        <v>3726</v>
      </c>
    </row>
    <row customHeight="1" ht="11.25">
      <c r="A48" s="75" t="s">
        <v>3727</v>
      </c>
      <c r="B48" s="75" t="s">
        <v>3728</v>
      </c>
    </row>
    <row customHeight="1" ht="11.25">
      <c r="A49" s="75" t="s">
        <v>3729</v>
      </c>
      <c r="B49" s="75" t="s">
        <v>3730</v>
      </c>
    </row>
    <row customHeight="1" ht="11.25">
      <c r="A50" s="75" t="s">
        <v>3731</v>
      </c>
      <c r="B50" s="75" t="s">
        <v>3732</v>
      </c>
    </row>
    <row customHeight="1" ht="11.25">
      <c r="A51" s="75" t="s">
        <v>3733</v>
      </c>
      <c r="B51" s="75" t="s">
        <v>3734</v>
      </c>
    </row>
    <row customHeight="1" ht="11.25">
      <c r="A52" s="75" t="s">
        <v>3735</v>
      </c>
      <c r="B52" s="75" t="s">
        <v>3736</v>
      </c>
    </row>
    <row customHeight="1" ht="11.25">
      <c r="A53" s="75" t="s">
        <v>3737</v>
      </c>
      <c r="B53" s="75" t="s">
        <v>3738</v>
      </c>
    </row>
    <row customHeight="1" ht="11.25">
      <c r="A54" s="75" t="s">
        <v>3739</v>
      </c>
      <c r="B54" s="75" t="s">
        <v>3740</v>
      </c>
    </row>
    <row customHeight="1" ht="11.25">
      <c r="A55" s="75" t="s">
        <v>3741</v>
      </c>
      <c r="B55" s="75" t="s">
        <v>3742</v>
      </c>
    </row>
    <row customHeight="1" ht="11.25">
      <c r="A56" s="75" t="s">
        <v>3743</v>
      </c>
      <c r="B56" s="75" t="s">
        <v>3744</v>
      </c>
    </row>
    <row customHeight="1" ht="11.25">
      <c r="A57" s="75" t="s">
        <v>3745</v>
      </c>
      <c r="B57" s="75" t="s">
        <v>3746</v>
      </c>
    </row>
    <row customHeight="1" ht="11.25">
      <c r="A58" s="75" t="s">
        <v>3747</v>
      </c>
      <c r="B58" s="75" t="s">
        <v>3748</v>
      </c>
    </row>
    <row customHeight="1" ht="11.25">
      <c r="A59" s="75" t="s">
        <v>3749</v>
      </c>
      <c r="B59" s="75" t="s">
        <v>3750</v>
      </c>
    </row>
    <row customHeight="1" ht="11.25">
      <c r="A60" s="75" t="s">
        <v>3751</v>
      </c>
      <c r="B60" s="75" t="s">
        <v>3752</v>
      </c>
    </row>
    <row customHeight="1" ht="11.25">
      <c r="A61" s="75"/>
      <c r="B61" s="75" t="s">
        <v>3753</v>
      </c>
    </row>
    <row customHeight="1" ht="11.25">
      <c r="A62" s="75"/>
      <c r="B62" s="75" t="s">
        <v>3754</v>
      </c>
    </row>
    <row customHeight="1" ht="11.25">
      <c r="A63" s="75"/>
      <c r="B63" s="75" t="s">
        <v>3755</v>
      </c>
    </row>
    <row customHeight="1" ht="11.25">
      <c r="A64" s="75"/>
      <c r="B64" s="75" t="s">
        <v>3756</v>
      </c>
    </row>
    <row customHeight="1" ht="11.25">
      <c r="A65" s="75"/>
      <c r="B65" s="75" t="s">
        <v>3757</v>
      </c>
    </row>
    <row customHeight="1" ht="11.25">
      <c r="A66" s="75"/>
      <c r="B66" s="75" t="s">
        <v>3758</v>
      </c>
    </row>
    <row customHeight="1" ht="11.25">
      <c r="A67" s="75"/>
      <c r="B67" s="75" t="s">
        <v>3759</v>
      </c>
    </row>
    <row customHeight="1" ht="11.25">
      <c r="A68" s="75"/>
      <c r="B68" s="75" t="s">
        <v>3760</v>
      </c>
    </row>
    <row customHeight="1" ht="11.25">
      <c r="A69" s="75"/>
      <c r="B69" s="75" t="s">
        <v>3761</v>
      </c>
    </row>
    <row customHeight="1" ht="11.25">
      <c r="A70" s="75"/>
      <c r="B70" s="75" t="s">
        <v>3762</v>
      </c>
    </row>
    <row customHeight="1" ht="11.25">
      <c r="A71" s="75"/>
      <c r="B71" s="75"/>
    </row>
    <row customHeight="1" ht="11.25">
      <c r="A72" s="75"/>
      <c r="B72" s="75"/>
    </row>
    <row customHeight="1" ht="11.25">
      <c r="A73" s="75"/>
      <c r="B73" s="75"/>
    </row>
    <row customHeight="1" ht="11.25">
      <c r="A74" s="75"/>
      <c r="B74" s="75"/>
    </row>
    <row customHeight="1" ht="11.25">
      <c r="A75" s="75"/>
      <c r="B75" s="75"/>
    </row>
    <row customHeight="1" ht="11.25">
      <c r="A76" s="75"/>
      <c r="B76" s="75"/>
    </row>
    <row customHeight="1" ht="11.25">
      <c r="A77" s="75"/>
      <c r="B77" s="75"/>
    </row>
    <row customHeight="1" ht="11.25">
      <c r="A78" s="75"/>
      <c r="B78" s="75"/>
    </row>
    <row customHeight="1" ht="11.25">
      <c r="A79" s="75"/>
      <c r="B79" s="75"/>
    </row>
    <row customHeight="1" ht="11.25">
      <c r="A80" s="75"/>
      <c r="B80" s="75"/>
    </row>
    <row customHeight="1" ht="11.25">
      <c r="A81" s="75"/>
      <c r="B81" s="75"/>
    </row>
    <row customHeight="1" ht="11.25">
      <c r="A82" s="75"/>
      <c r="B82" s="75"/>
    </row>
    <row customHeight="1" ht="11.25">
      <c r="A83" s="75"/>
      <c r="B83" s="75"/>
    </row>
    <row customHeight="1" ht="11.25">
      <c r="A84" s="75"/>
      <c r="B84" s="75"/>
    </row>
    <row customHeight="1" ht="11.25">
      <c r="A85" s="75"/>
      <c r="B85" s="75"/>
    </row>
    <row customHeight="1" ht="11.25">
      <c r="A86" s="75"/>
      <c r="B86" s="75"/>
    </row>
    <row customHeight="1" ht="11.25">
      <c r="A87" s="75"/>
      <c r="B87" s="75"/>
    </row>
    <row customHeight="1" ht="11.25">
      <c r="A88" s="75"/>
      <c r="B88" s="75"/>
    </row>
    <row customHeight="1" ht="11.25">
      <c r="A89" s="75"/>
      <c r="B89" s="75"/>
    </row>
    <row customHeight="1" ht="11.25">
      <c r="A90" s="75"/>
      <c r="B90" s="75"/>
    </row>
    <row customHeight="1" ht="11.25">
      <c r="A91" s="75"/>
      <c r="B91" s="75"/>
    </row>
    <row customHeight="1" ht="11.25">
      <c r="A92" s="75"/>
      <c r="B92" s="75"/>
    </row>
    <row customHeight="1" ht="11.25">
      <c r="A93" s="75"/>
      <c r="B93" s="75"/>
    </row>
    <row customHeight="1" ht="11.25">
      <c r="A94" s="75"/>
      <c r="B94" s="75"/>
    </row>
    <row customHeight="1" ht="11.25">
      <c r="A95" s="75"/>
      <c r="B95" s="75"/>
    </row>
    <row customHeight="1" ht="11.25">
      <c r="A96" s="75"/>
      <c r="B96" s="75"/>
    </row>
    <row customHeight="1" ht="11.25">
      <c r="A97" s="75"/>
      <c r="B97" s="75"/>
    </row>
    <row customHeight="1" ht="11.25">
      <c r="A98" s="75"/>
      <c r="B98" s="75"/>
    </row>
    <row customHeight="1" ht="11.25">
      <c r="A99" s="75"/>
      <c r="B99" s="75"/>
    </row>
    <row customHeight="1" ht="11.25">
      <c r="A100" s="75"/>
      <c r="B100" s="75"/>
    </row>
    <row customHeight="1" ht="11.25">
      <c r="A101" s="75"/>
      <c r="B101" s="75"/>
    </row>
    <row customHeight="1" ht="11.25">
      <c r="A102" s="75"/>
      <c r="B102" s="75"/>
    </row>
    <row customHeight="1" ht="11.25">
      <c r="A103" s="75"/>
      <c r="B103" s="75"/>
    </row>
    <row customHeight="1" ht="11.25">
      <c r="A104" s="75"/>
      <c r="B104" s="75"/>
    </row>
    <row customHeight="1" ht="11.25">
      <c r="A105" s="75"/>
      <c r="B105" s="75"/>
    </row>
    <row customHeight="1" ht="11.25">
      <c r="A106" s="75"/>
      <c r="B106" s="75"/>
    </row>
    <row customHeight="1" ht="11.25">
      <c r="A107" s="75"/>
      <c r="B107" s="75"/>
    </row>
    <row customHeight="1" ht="11.25">
      <c r="A108" s="75"/>
      <c r="B108" s="75"/>
    </row>
    <row customHeight="1" ht="11.25">
      <c r="A109" s="75"/>
      <c r="B109" s="75"/>
    </row>
    <row customHeight="1" ht="11.25">
      <c r="A110" s="75"/>
      <c r="B110" s="75"/>
    </row>
    <row customHeight="1" ht="11.25">
      <c r="A111" s="75"/>
      <c r="B111" s="75"/>
    </row>
    <row customHeight="1" ht="11.25">
      <c r="A112" s="75"/>
      <c r="B112" s="75"/>
    </row>
    <row customHeight="1" ht="11.25">
      <c r="A113" s="75"/>
      <c r="B113" s="75"/>
    </row>
    <row customHeight="1" ht="11.25">
      <c r="A114" s="75"/>
      <c r="B114" s="75"/>
    </row>
    <row customHeight="1" ht="11.25">
      <c r="A115" s="75"/>
      <c r="B115" s="75"/>
    </row>
    <row customHeight="1" ht="11.25">
      <c r="A116" s="75"/>
      <c r="B116" s="75"/>
    </row>
    <row customHeight="1" ht="11.25">
      <c r="A117" s="75"/>
      <c r="B117" s="75"/>
    </row>
    <row customHeight="1" ht="11.25">
      <c r="A118" s="75"/>
      <c r="B118" s="75"/>
    </row>
    <row customHeight="1" ht="11.25">
      <c r="A119" s="75"/>
      <c r="B119" s="75"/>
    </row>
    <row customHeight="1" ht="11.25">
      <c r="A120" s="75"/>
      <c r="B120" s="75"/>
    </row>
    <row customHeight="1" ht="11.25">
      <c r="A121" s="75"/>
      <c r="B121" s="75"/>
    </row>
    <row customHeight="1" ht="11.25">
      <c r="A122" s="75"/>
      <c r="B122" s="75"/>
    </row>
    <row customHeight="1" ht="11.25">
      <c r="A123" s="75"/>
      <c r="B123" s="75"/>
    </row>
    <row customHeight="1" ht="11.25">
      <c r="A124" s="75"/>
      <c r="B124" s="75"/>
    </row>
    <row customHeight="1" ht="11.25">
      <c r="A125" s="75"/>
      <c r="B125" s="75"/>
    </row>
    <row customHeight="1" ht="11.25">
      <c r="A126" s="75"/>
      <c r="B126" s="75"/>
    </row>
    <row customHeight="1" ht="11.25">
      <c r="A127" s="75"/>
      <c r="B127" s="75"/>
    </row>
    <row customHeight="1" ht="11.25">
      <c r="A128" s="75"/>
      <c r="B128" s="75"/>
    </row>
    <row customHeight="1" ht="11.25">
      <c r="A129" s="75"/>
      <c r="B129" s="75"/>
    </row>
    <row customHeight="1" ht="11.25">
      <c r="A130" s="75"/>
      <c r="B130" s="75"/>
    </row>
    <row customHeight="1" ht="11.25">
      <c r="A131" s="75"/>
      <c r="B131" s="75"/>
    </row>
    <row customHeight="1" ht="11.25">
      <c r="A132" s="75"/>
      <c r="B132" s="75"/>
    </row>
    <row customHeight="1" ht="11.25">
      <c r="A133" s="75"/>
      <c r="B133" s="75"/>
    </row>
    <row customHeight="1" ht="11.25">
      <c r="A134" s="75"/>
      <c r="B134" s="75"/>
    </row>
    <row customHeight="1" ht="11.25">
      <c r="A135" s="75"/>
      <c r="B135" s="75"/>
    </row>
    <row customHeight="1" ht="11.25">
      <c r="A136" s="75"/>
      <c r="B136" s="75"/>
    </row>
    <row customHeight="1" ht="11.25">
      <c r="A137" s="75"/>
      <c r="B137" s="75"/>
    </row>
    <row customHeight="1" ht="11.25">
      <c r="A138" s="75"/>
      <c r="B138" s="75"/>
    </row>
    <row customHeight="1" ht="11.25">
      <c r="A139" s="75"/>
      <c r="B139" s="75"/>
    </row>
    <row customHeight="1" ht="11.25">
      <c r="A140" s="75"/>
      <c r="B140" s="75"/>
    </row>
    <row customHeight="1" ht="11.25">
      <c r="A141" s="75"/>
      <c r="B141" s="75"/>
    </row>
    <row customHeight="1" ht="11.25">
      <c r="A142" s="75"/>
      <c r="B142" s="75"/>
    </row>
    <row customHeight="1" ht="11.25">
      <c r="A143" s="75"/>
      <c r="B143" s="75"/>
    </row>
    <row customHeight="1" ht="11.25">
      <c r="A144" s="75"/>
      <c r="B144" s="75"/>
    </row>
    <row customHeight="1" ht="11.25">
      <c r="A145" s="75"/>
      <c r="B145" s="75"/>
    </row>
    <row customHeight="1" ht="11.25">
      <c r="A146" s="75"/>
      <c r="B146" s="75"/>
    </row>
    <row customHeight="1" ht="11.25">
      <c r="A147" s="75"/>
      <c r="B147" s="75"/>
    </row>
    <row customHeight="1" ht="11.25">
      <c r="A148" s="75"/>
      <c r="B148" s="75"/>
    </row>
    <row customHeight="1" ht="11.25">
      <c r="A149" s="75"/>
      <c r="B149" s="75"/>
    </row>
    <row customHeight="1" ht="11.25">
      <c r="A150" s="75"/>
      <c r="B150" s="75"/>
    </row>
    <row customHeight="1" ht="11.25">
      <c r="A151" s="75"/>
      <c r="B151" s="75"/>
    </row>
    <row customHeight="1" ht="11.25">
      <c r="A152" s="75"/>
      <c r="B152" s="75"/>
    </row>
    <row customHeight="1" ht="11.25">
      <c r="A153" s="75"/>
      <c r="B153" s="75"/>
    </row>
    <row customHeight="1" ht="11.25">
      <c r="A154" s="75"/>
      <c r="B154" s="75"/>
    </row>
    <row customHeight="1" ht="11.25">
      <c r="A155" s="75"/>
      <c r="B155" s="75"/>
    </row>
    <row customHeight="1" ht="11.25">
      <c r="A156" s="75"/>
      <c r="B156" s="75"/>
    </row>
    <row customHeight="1" ht="11.25">
      <c r="A157" s="75"/>
      <c r="B157" s="75"/>
    </row>
    <row customHeight="1" ht="11.25">
      <c r="A158" s="75"/>
      <c r="B158" s="75"/>
    </row>
    <row customHeight="1" ht="11.25">
      <c r="A159" s="75"/>
      <c r="B159" s="75"/>
    </row>
    <row customHeight="1" ht="11.25">
      <c r="A160" s="75"/>
      <c r="B160" s="75"/>
    </row>
    <row customHeight="1" ht="11.25">
      <c r="A161" s="75"/>
      <c r="B161" s="75"/>
    </row>
    <row customHeight="1" ht="11.25">
      <c r="A162" s="75"/>
      <c r="B162" s="75"/>
    </row>
    <row customHeight="1" ht="11.25">
      <c r="A163" s="75"/>
      <c r="B163" s="75"/>
    </row>
    <row customHeight="1" ht="11.25">
      <c r="A164" s="75"/>
      <c r="B164" s="75"/>
    </row>
    <row customHeight="1" ht="11.25">
      <c r="A165" s="75"/>
      <c r="B165" s="75"/>
    </row>
    <row customHeight="1" ht="11.25">
      <c r="A166" s="75"/>
      <c r="B166" s="75"/>
    </row>
    <row customHeight="1" ht="11.25">
      <c r="A167" s="75"/>
      <c r="B167" s="75"/>
    </row>
    <row customHeight="1" ht="11.25">
      <c r="A168" s="75"/>
      <c r="B168" s="75"/>
    </row>
    <row customHeight="1" ht="11.25">
      <c r="A169" s="75"/>
      <c r="B169" s="75"/>
    </row>
    <row customHeight="1" ht="11.25">
      <c r="A170" s="75"/>
      <c r="B170" s="75"/>
    </row>
    <row customHeight="1" ht="11.25">
      <c r="A171" s="75"/>
      <c r="B171" s="75"/>
    </row>
    <row customHeight="1" ht="11.25">
      <c r="A172" s="75"/>
      <c r="B172" s="75"/>
    </row>
    <row customHeight="1" ht="11.25">
      <c r="A173" s="75"/>
      <c r="B173" s="75"/>
    </row>
    <row customHeight="1" ht="11.25">
      <c r="A174" s="75"/>
      <c r="B174" s="75"/>
    </row>
    <row customHeight="1" ht="11.25">
      <c r="A175" s="75"/>
      <c r="B175" s="75"/>
    </row>
    <row customHeight="1" ht="11.25">
      <c r="A176" s="75"/>
      <c r="B176" s="75"/>
    </row>
    <row customHeight="1" ht="11.25">
      <c r="A177" s="75"/>
      <c r="B177" s="75"/>
    </row>
    <row customHeight="1" ht="11.25">
      <c r="A178" s="75"/>
      <c r="B178" s="75"/>
    </row>
    <row customHeight="1" ht="11.25">
      <c r="A179" s="75"/>
      <c r="B179" s="75"/>
    </row>
    <row customHeight="1" ht="11.25">
      <c r="A180" s="75"/>
      <c r="B180" s="75"/>
    </row>
    <row customHeight="1" ht="11.25">
      <c r="A181" s="75"/>
      <c r="B181" s="75"/>
    </row>
    <row customHeight="1" ht="11.25">
      <c r="A182" s="75"/>
      <c r="B182" s="75"/>
    </row>
    <row customHeight="1" ht="11.25">
      <c r="A183" s="75"/>
      <c r="B183" s="75"/>
    </row>
    <row customHeight="1" ht="11.25">
      <c r="A184" s="75"/>
      <c r="B184" s="75"/>
    </row>
    <row customHeight="1" ht="11.25">
      <c r="A185" s="75"/>
      <c r="B185" s="75"/>
    </row>
    <row customHeight="1" ht="11.25">
      <c r="A186" s="75"/>
      <c r="B186" s="75"/>
    </row>
    <row customHeight="1" ht="11.25">
      <c r="A187" s="75"/>
      <c r="B187" s="75"/>
    </row>
    <row customHeight="1" ht="11.25">
      <c r="A188" s="75"/>
      <c r="B188" s="75"/>
    </row>
    <row customHeight="1" ht="11.25">
      <c r="A189" s="75"/>
      <c r="B189" s="75"/>
    </row>
    <row customHeight="1" ht="11.25">
      <c r="A190" s="75"/>
      <c r="B190" s="75"/>
    </row>
    <row customHeight="1" ht="11.25">
      <c r="A191" s="75"/>
      <c r="B191" s="75"/>
    </row>
    <row customHeight="1" ht="11.25">
      <c r="A192" s="75"/>
      <c r="B192" s="75"/>
    </row>
    <row customHeight="1" ht="11.25">
      <c r="A193" s="75"/>
      <c r="B193" s="75"/>
    </row>
    <row customHeight="1" ht="11.25">
      <c r="A194" s="75"/>
      <c r="B194" s="75"/>
    </row>
    <row customHeight="1" ht="11.25">
      <c r="A195" s="75"/>
      <c r="B195" s="75"/>
    </row>
    <row customHeight="1" ht="11.25">
      <c r="A196" s="75"/>
      <c r="B196" s="75"/>
    </row>
    <row customHeight="1" ht="11.25">
      <c r="A197" s="75"/>
      <c r="B197" s="75"/>
    </row>
    <row customHeight="1" ht="11.25">
      <c r="A198" s="75"/>
      <c r="B198" s="75"/>
    </row>
    <row customHeight="1" ht="11.25">
      <c r="A199" s="75"/>
      <c r="B199" s="75"/>
    </row>
    <row customHeight="1" ht="11.25">
      <c r="A200" s="75"/>
      <c r="B200" s="75"/>
    </row>
    <row customHeight="1" ht="11.25">
      <c r="A201" s="75"/>
      <c r="B201" s="75"/>
    </row>
    <row customHeight="1" ht="11.25">
      <c r="A202" s="75"/>
      <c r="B202" s="75"/>
    </row>
    <row customHeight="1" ht="11.25">
      <c r="A203" s="75"/>
      <c r="B203" s="75"/>
    </row>
    <row customHeight="1" ht="11.25">
      <c r="A204" s="75"/>
      <c r="B204" s="75"/>
    </row>
    <row customHeight="1" ht="11.25">
      <c r="A205" s="75"/>
      <c r="B205" s="75"/>
    </row>
    <row customHeight="1" ht="11.25">
      <c r="A206" s="75"/>
      <c r="B206" s="75"/>
    </row>
    <row customHeight="1" ht="11.25">
      <c r="A207" s="75"/>
      <c r="B207" s="75"/>
    </row>
    <row customHeight="1" ht="11.25">
      <c r="A208" s="75"/>
      <c r="B208" s="75"/>
    </row>
    <row customHeight="1" ht="11.25">
      <c r="A209" s="75"/>
      <c r="B209" s="75"/>
    </row>
    <row customHeight="1" ht="11.25">
      <c r="A210" s="75"/>
      <c r="B210" s="75"/>
    </row>
    <row customHeight="1" ht="11.25">
      <c r="A211" s="75"/>
      <c r="B211" s="75"/>
    </row>
    <row customHeight="1" ht="11.25">
      <c r="A212" s="75"/>
      <c r="B212" s="75"/>
    </row>
    <row customHeight="1" ht="11.25">
      <c r="A213" s="75"/>
      <c r="B213" s="75"/>
    </row>
    <row customHeight="1" ht="11.25">
      <c r="A214" s="75"/>
      <c r="B214" s="75"/>
    </row>
    <row customHeight="1" ht="11.25">
      <c r="A215" s="75"/>
      <c r="B215" s="75"/>
    </row>
    <row customHeight="1" ht="11.25">
      <c r="A216" s="75"/>
      <c r="B216" s="75"/>
    </row>
    <row customHeight="1" ht="11.25">
      <c r="A217" s="75"/>
      <c r="B217" s="75"/>
    </row>
    <row customHeight="1" ht="11.25">
      <c r="A218" s="75"/>
      <c r="B218" s="75"/>
    </row>
    <row customHeight="1" ht="11.25">
      <c r="A219" s="75"/>
      <c r="B219" s="75"/>
    </row>
    <row customHeight="1" ht="11.25">
      <c r="A220" s="75"/>
      <c r="B220" s="75"/>
    </row>
    <row customHeight="1" ht="11.25">
      <c r="A221" s="75"/>
      <c r="B221" s="75"/>
    </row>
    <row customHeight="1" ht="11.25">
      <c r="A222" s="75"/>
      <c r="B222" s="75"/>
    </row>
    <row customHeight="1" ht="11.25">
      <c r="A223" s="75"/>
      <c r="B223" s="75"/>
    </row>
    <row customHeight="1" ht="11.25">
      <c r="A224" s="75"/>
      <c r="B224" s="75"/>
    </row>
    <row customHeight="1" ht="11.25">
      <c r="A225" s="75"/>
      <c r="B225" s="75"/>
    </row>
    <row customHeight="1" ht="11.25">
      <c r="A226" s="75"/>
      <c r="B226" s="75"/>
    </row>
    <row customHeight="1" ht="11.25">
      <c r="A227" s="75"/>
      <c r="B227" s="75"/>
    </row>
    <row customHeight="1" ht="11.25">
      <c r="A228" s="75"/>
      <c r="B228" s="75"/>
    </row>
    <row customHeight="1" ht="11.25">
      <c r="A229" s="75"/>
      <c r="B229" s="75"/>
    </row>
    <row customHeight="1" ht="11.25">
      <c r="A230" s="75"/>
      <c r="B230" s="75"/>
    </row>
    <row customHeight="1" ht="11.25">
      <c r="A231" s="75"/>
      <c r="B231" s="75"/>
    </row>
    <row customHeight="1" ht="11.25">
      <c r="A232" s="75"/>
      <c r="B232" s="75"/>
    </row>
    <row customHeight="1" ht="11.25">
      <c r="A233" s="75"/>
      <c r="B233" s="75"/>
    </row>
    <row customHeight="1" ht="11.25">
      <c r="A234" s="75"/>
      <c r="B234" s="75"/>
    </row>
    <row customHeight="1" ht="11.25">
      <c r="A235" s="75"/>
      <c r="B235" s="75"/>
    </row>
    <row customHeight="1" ht="11.25">
      <c r="A236" s="75"/>
      <c r="B236" s="75"/>
    </row>
    <row customHeight="1" ht="11.25">
      <c r="A237" s="75"/>
      <c r="B237" s="75"/>
    </row>
    <row customHeight="1" ht="11.25">
      <c r="A238" s="75"/>
      <c r="B238" s="75"/>
    </row>
    <row customHeight="1" ht="11.25">
      <c r="A239" s="75"/>
      <c r="B239" s="75"/>
    </row>
    <row customHeight="1" ht="11.25">
      <c r="A240" s="75"/>
      <c r="B240" s="75"/>
    </row>
    <row customHeight="1" ht="11.25">
      <c r="A241" s="75"/>
      <c r="B241" s="75"/>
    </row>
    <row customHeight="1" ht="11.25">
      <c r="A242" s="75"/>
      <c r="B242" s="75"/>
    </row>
    <row customHeight="1" ht="11.25">
      <c r="A243" s="75"/>
      <c r="B243" s="75"/>
    </row>
    <row customHeight="1" ht="11.25">
      <c r="A244" s="75"/>
      <c r="B244" s="75"/>
    </row>
    <row customHeight="1" ht="11.25">
      <c r="A245" s="75"/>
      <c r="B245" s="75"/>
    </row>
    <row customHeight="1" ht="11.25">
      <c r="A246" s="75"/>
      <c r="B246" s="75"/>
    </row>
    <row customHeight="1" ht="11.25">
      <c r="A247" s="75"/>
      <c r="B247" s="75"/>
    </row>
    <row customHeight="1" ht="11.25">
      <c r="A248" s="75"/>
      <c r="B248" s="75"/>
    </row>
    <row customHeight="1" ht="11.25">
      <c r="A249" s="75"/>
      <c r="B249" s="75"/>
    </row>
    <row customHeight="1" ht="11.25">
      <c r="A250" s="75"/>
      <c r="B250" s="75"/>
    </row>
    <row customHeight="1" ht="11.25">
      <c r="A251" s="75"/>
      <c r="B251" s="75"/>
    </row>
    <row customHeight="1" ht="11.25">
      <c r="A252" s="75"/>
      <c r="B252" s="75"/>
    </row>
    <row customHeight="1" ht="11.25">
      <c r="A253" s="75"/>
      <c r="B253" s="7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88C0EC-DFD8-86DA-D0B1-6094B5DB372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4" t="s">
        <v>3763</v>
      </c>
    </row>
    <row customHeight="1" ht="90">
      <c r="B2" s="105" t="s">
        <v>3764</v>
      </c>
    </row>
    <row customHeight="1" ht="67.5">
      <c r="B3" s="105" t="s">
        <v>3765</v>
      </c>
    </row>
    <row customHeight="1" ht="33.75">
      <c r="B4" s="105" t="s">
        <v>3766</v>
      </c>
    </row>
    <row customHeight="1" ht="11.25">
      <c r="B5" s="105" t="s">
        <v>3767</v>
      </c>
    </row>
    <row customHeight="1" ht="22.5">
      <c r="B6" s="105" t="s">
        <v>3768</v>
      </c>
    </row>
    <row customHeight="1" ht="22.5">
      <c r="B7" s="105" t="s">
        <v>3769</v>
      </c>
    </row>
    <row customHeight="1" ht="22.5">
      <c r="B8" s="105" t="s">
        <v>3770</v>
      </c>
    </row>
    <row customHeight="1" ht="22.5">
      <c r="B9" s="105" t="s">
        <v>3771</v>
      </c>
    </row>
    <row customHeight="1" ht="56.25">
      <c r="B10" s="105" t="s">
        <v>3772</v>
      </c>
    </row>
    <row customHeight="1" ht="12.75">
      <c r="B11" s="170" t="s">
        <v>3773</v>
      </c>
    </row>
    <row customHeight="1" ht="11.25">
      <c r="B12" s="104" t="s">
        <v>3774</v>
      </c>
    </row>
    <row customHeight="1" ht="22.5">
      <c r="B13" s="105" t="s">
        <v>3775</v>
      </c>
    </row>
    <row customHeight="1" ht="67.5">
      <c r="B14" s="105" t="s">
        <v>3776</v>
      </c>
    </row>
    <row customHeight="1" ht="22.5">
      <c r="B15" s="105" t="s">
        <v>3777</v>
      </c>
    </row>
    <row customHeight="1" ht="11.25">
      <c r="B16" s="104" t="s">
        <v>3778</v>
      </c>
      <c r="D16" s="111"/>
    </row>
    <row customHeight="1" ht="33.75">
      <c r="B17" s="105" t="s">
        <v>3779</v>
      </c>
    </row>
    <row customHeight="1" ht="33.75">
      <c r="B18" s="105" t="s">
        <v>3780</v>
      </c>
    </row>
    <row customHeight="1" ht="11.25">
      <c r="B19" s="105" t="s">
        <v>3781</v>
      </c>
    </row>
    <row customHeight="1" ht="33.75">
      <c r="B20" s="105" t="s">
        <v>3782</v>
      </c>
    </row>
    <row customHeight="1" ht="11.25">
      <c r="B21" s="104" t="s">
        <v>3783</v>
      </c>
    </row>
    <row customHeight="1" ht="11.25">
      <c r="B22" s="105" t="s">
        <v>3784</v>
      </c>
    </row>
    <row r="24" customHeight="1" ht="22.5">
      <c r="B24" s="172" t="s">
        <v>3785</v>
      </c>
    </row>
    <row r="26" customHeight="1" ht="11.25">
      <c r="B26" s="104" t="s">
        <v>3786</v>
      </c>
    </row>
    <row customHeight="1" ht="22.5">
      <c r="B27" s="171" t="s">
        <v>410</v>
      </c>
    </row>
    <row customHeight="1" ht="56.25">
      <c r="B28" s="171" t="s">
        <v>3787</v>
      </c>
    </row>
    <row customHeight="1" ht="11.25">
      <c r="B29" s="221" t="s">
        <v>3788</v>
      </c>
    </row>
    <row customHeight="1" ht="22.5">
      <c r="B30" s="171" t="s">
        <v>3789</v>
      </c>
    </row>
    <row r="32" customHeight="1" ht="11.25">
      <c r="A32" s="199"/>
      <c r="B32" s="200" t="s">
        <v>3790</v>
      </c>
    </row>
    <row customHeight="1" ht="14.25">
      <c r="A33" s="201">
        <v>1</v>
      </c>
      <c r="B33" s="202" t="s">
        <v>3791</v>
      </c>
    </row>
    <row customHeight="1" ht="14.25">
      <c r="A34" s="201">
        <v>2</v>
      </c>
      <c r="B34" s="202" t="s">
        <v>3792</v>
      </c>
    </row>
    <row customHeight="1" ht="11.25">
      <c r="B35" s="200" t="s">
        <v>3793</v>
      </c>
    </row>
    <row customHeight="1" ht="11.25">
      <c r="B36" s="202" t="s">
        <v>3794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DCA68-0B58-1658-6BE8-87B6D2F88F17}"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3" width="9.140625" hidden="1" customWidth="1"/>
    <col min="2" max="2" style="1646" width="9.140625" hidden="1" customWidth="1"/>
    <col min="3" max="3" style="1850" width="3.00390625" customWidth="1"/>
    <col min="4" max="4" style="1646" width="5.00390625" customWidth="1"/>
    <col min="5" max="5" style="1646" width="38.00390625" customWidth="1"/>
    <col min="6" max="7" style="1646" width="3.00390625" customWidth="1"/>
    <col min="8" max="8" style="1646" width="38.00390625" customWidth="1"/>
    <col min="9" max="9" style="1646" width="35.00390625" customWidth="1"/>
    <col min="10" max="10" style="1646" width="103.00390625" customWidth="1"/>
    <col min="11" max="11" style="1829" width="3.00390625" customWidth="1"/>
    <col min="12" max="14" style="1653" width="10.00390625" customWidth="1"/>
    <col min="15" max="15" style="1653" width="13.00390625" customWidth="1"/>
    <col min="16" max="16" style="1653" width="15.00390625" customWidth="1"/>
    <col min="17" max="17" style="1653" width="16.00390625" customWidth="1"/>
    <col min="18" max="21" style="1653" width="10.00390625" customWidth="1"/>
    <col min="22" max="22" style="1646" width="10.57421875" hidden="1"/>
  </cols>
  <sheetData>
    <row customHeight="1" ht="22.5" hidden="1">
      <c r="E1" s="423"/>
      <c r="F1" s="423"/>
      <c r="G1" s="423"/>
      <c r="H1" s="2247" t="s">
        <v>366</v>
      </c>
      <c r="I1" s="2247"/>
      <c r="V1" s="1618" t="s">
        <v>14</v>
      </c>
    </row>
    <row s="1646" customFormat="1" customHeight="1" ht="14.25" hidden="1">
      <c r="C2" s="1630"/>
      <c r="D2" s="2263" t="s">
        <v>120</v>
      </c>
      <c r="E2" s="2265"/>
      <c r="F2" s="1636"/>
      <c r="G2" s="1631" t="s">
        <v>120</v>
      </c>
      <c r="H2" s="1634"/>
      <c r="I2" s="1632"/>
      <c r="L2" s="1633"/>
      <c r="M2" s="1633"/>
      <c r="N2" s="1633"/>
      <c r="O2" s="1633" t="s">
        <v>396</v>
      </c>
      <c r="P2" s="1633"/>
      <c r="Q2" s="1633"/>
      <c r="R2" s="1635" t="s">
        <v>395</v>
      </c>
      <c r="S2" s="1635" t="s">
        <v>395</v>
      </c>
      <c r="T2" s="1633"/>
      <c r="U2" s="1633"/>
      <c r="V2" s="1629">
        <v>0</v>
      </c>
    </row>
    <row s="1646" customFormat="1" customHeight="1" ht="14.25" hidden="1">
      <c r="C3" s="1630"/>
      <c r="D3" s="2264"/>
      <c r="E3" s="2266"/>
      <c r="F3" s="416"/>
      <c r="G3" s="880"/>
      <c r="H3" s="880" t="s">
        <v>397</v>
      </c>
      <c r="I3" s="324"/>
      <c r="L3" s="1633"/>
      <c r="M3" s="1633"/>
      <c r="N3" s="1633"/>
      <c r="O3" s="1633"/>
      <c r="P3" s="1633"/>
      <c r="Q3" s="1633"/>
      <c r="R3" s="1635"/>
      <c r="S3" s="1635"/>
      <c r="T3" s="1633"/>
      <c r="U3" s="1633"/>
      <c r="V3" s="1629">
        <v>0</v>
      </c>
    </row>
    <row customHeight="1" ht="14.25" hidden="1">
      <c r="V4" s="1618">
        <v>0</v>
      </c>
    </row>
    <row s="1624" customFormat="1" customHeight="1" ht="5.25">
      <c r="C5" s="712"/>
      <c r="D5" s="713"/>
      <c r="E5" s="713"/>
      <c r="F5" s="713"/>
      <c r="G5" s="713"/>
      <c r="H5" s="713" t="s">
        <v>370</v>
      </c>
      <c r="I5" s="713"/>
      <c r="J5" s="713"/>
      <c r="L5" s="1625"/>
      <c r="M5" s="1625"/>
      <c r="N5" s="1625"/>
      <c r="O5" s="1625"/>
      <c r="P5" s="1625"/>
      <c r="Q5" s="1625"/>
      <c r="R5" s="1625"/>
      <c r="S5" s="1625"/>
      <c r="T5" s="1625"/>
      <c r="U5" s="1625"/>
      <c r="V5" s="1624">
        <v>5</v>
      </c>
    </row>
    <row customHeight="1" ht="29.25">
      <c r="C6" s="1527"/>
      <c r="D6" s="2267" t="s">
        <v>398</v>
      </c>
      <c r="E6" s="2267"/>
      <c r="F6" s="2267"/>
      <c r="G6" s="2267"/>
      <c r="H6" s="2267"/>
      <c r="I6" s="2267"/>
      <c r="J6" s="502"/>
      <c r="K6" s="1626"/>
      <c r="V6" s="1618">
        <v>28</v>
      </c>
    </row>
    <row customHeight="1" ht="18">
      <c r="C7" s="1527"/>
      <c r="D7" s="2206" t="str">
        <f>IF(org=0,"Не определено",org)</f>
        <v>ПАО "КГК"</v>
      </c>
      <c r="E7" s="2206"/>
      <c r="F7" s="2206"/>
      <c r="G7" s="2206"/>
      <c r="H7" s="2206"/>
      <c r="I7" s="2206"/>
      <c r="J7" s="502"/>
      <c r="K7" s="1626"/>
      <c r="V7" s="1618">
        <v>17</v>
      </c>
    </row>
    <row s="1623" customFormat="1" customHeight="1" ht="5.25">
      <c r="A8" s="1622"/>
      <c r="C8" s="497"/>
      <c r="D8" s="496"/>
      <c r="E8" s="496"/>
      <c r="F8" s="496"/>
      <c r="G8" s="496"/>
      <c r="H8" s="496"/>
      <c r="I8" s="496"/>
      <c r="J8" s="496"/>
      <c r="L8" s="1625"/>
      <c r="M8" s="1625"/>
      <c r="N8" s="1625"/>
      <c r="O8" s="1625"/>
      <c r="P8" s="1625"/>
      <c r="Q8" s="1625"/>
      <c r="R8" s="1625"/>
      <c r="S8" s="1625"/>
      <c r="T8" s="1625"/>
      <c r="U8" s="1625"/>
      <c r="V8" s="1623">
        <v>5</v>
      </c>
    </row>
    <row s="1623" customFormat="1" customHeight="1" ht="5.25">
      <c r="A9" s="1622"/>
      <c r="C9" s="497"/>
      <c r="D9" s="496"/>
      <c r="E9" s="496"/>
      <c r="F9" s="496"/>
      <c r="G9" s="496"/>
      <c r="H9" s="496"/>
      <c r="I9" s="496"/>
      <c r="J9" s="496"/>
      <c r="L9" s="1633"/>
      <c r="M9" s="1633"/>
      <c r="N9" s="1633"/>
      <c r="O9" s="1633"/>
      <c r="P9" s="1633"/>
      <c r="Q9" s="1633"/>
      <c r="R9" s="1633"/>
      <c r="S9" s="1633"/>
      <c r="T9" s="1633"/>
      <c r="U9" s="1633"/>
      <c r="V9" s="1623">
        <v>5</v>
      </c>
    </row>
    <row customHeight="1" ht="14.699999999999998">
      <c r="C10" s="1527"/>
      <c r="D10" s="2248" t="s">
        <v>314</v>
      </c>
      <c r="E10" s="2249"/>
      <c r="F10" s="2249"/>
      <c r="G10" s="2249"/>
      <c r="H10" s="2249"/>
      <c r="I10" s="2249"/>
      <c r="J10" s="2253" t="s">
        <v>315</v>
      </c>
      <c r="V10" s="1618">
        <v>14</v>
      </c>
    </row>
    <row customHeight="1" ht="27.299999999999997">
      <c r="C11" s="1527"/>
      <c r="D11" s="2157" t="s">
        <v>89</v>
      </c>
      <c r="E11" s="2253" t="s">
        <v>116</v>
      </c>
      <c r="F11" s="2222" t="s">
        <v>89</v>
      </c>
      <c r="G11" s="2223"/>
      <c r="H11" s="2205" t="s">
        <v>399</v>
      </c>
      <c r="I11" s="2205" t="s">
        <v>400</v>
      </c>
      <c r="J11" s="2253"/>
      <c r="V11" s="1618">
        <v>26</v>
      </c>
    </row>
    <row customHeight="1" ht="14.699999999999998">
      <c r="C12" s="1527"/>
      <c r="D12" s="2157"/>
      <c r="E12" s="2253"/>
      <c r="F12" s="2230"/>
      <c r="G12" s="2231"/>
      <c r="H12" s="2262"/>
      <c r="I12" s="2262"/>
      <c r="J12" s="2253"/>
      <c r="V12" s="1618">
        <v>14</v>
      </c>
    </row>
    <row s="1652" customFormat="1" customHeight="1" ht="11.25" hidden="1">
      <c r="C13" s="509"/>
      <c r="D13" s="510" t="s">
        <v>390</v>
      </c>
      <c r="E13" s="510"/>
      <c r="F13" s="510"/>
      <c r="G13" s="510"/>
      <c r="H13" s="508"/>
      <c r="I13" s="508"/>
      <c r="J13" s="446"/>
      <c r="L13" s="1625"/>
      <c r="M13" s="1625"/>
      <c r="N13" s="1625"/>
      <c r="O13" s="1625"/>
      <c r="P13" s="1625"/>
      <c r="Q13" s="1625"/>
      <c r="R13" s="1625"/>
      <c r="S13" s="1625"/>
      <c r="T13" s="1625"/>
      <c r="U13" s="1625"/>
      <c r="V13" s="507">
        <v>0</v>
      </c>
    </row>
    <row customHeight="1" ht="14.699999999999998">
      <c r="A14" s="1618"/>
      <c r="C14" s="1527"/>
      <c r="D14" s="2263" t="s">
        <v>120</v>
      </c>
      <c r="E14" s="2265"/>
      <c r="F14" s="1628"/>
      <c r="G14" s="1627" t="s">
        <v>120</v>
      </c>
      <c r="H14" s="1634"/>
      <c r="I14" s="1632"/>
      <c r="J14" s="2199" t="s">
        <v>401</v>
      </c>
      <c r="K14" s="1618"/>
      <c r="R14" s="511" t="s">
        <v>395</v>
      </c>
      <c r="S14" s="511" t="s">
        <v>395</v>
      </c>
      <c r="V14" s="1618">
        <v>14</v>
      </c>
    </row>
    <row customHeight="1" ht="14.699999999999998">
      <c r="A15" s="1618"/>
      <c r="C15" s="1527"/>
      <c r="D15" s="2264"/>
      <c r="E15" s="2266"/>
      <c r="F15" s="416"/>
      <c r="G15" s="880"/>
      <c r="H15" s="880" t="s">
        <v>397</v>
      </c>
      <c r="I15" s="324"/>
      <c r="J15" s="2200"/>
      <c r="K15" s="1618"/>
      <c r="R15" s="511"/>
      <c r="S15" s="511"/>
      <c r="V15" s="1618">
        <v>14</v>
      </c>
    </row>
    <row customHeight="1" ht="14.699999999999998">
      <c r="A16" s="1618"/>
      <c r="C16" s="1527"/>
      <c r="D16" s="416"/>
      <c r="E16" s="880" t="s">
        <v>137</v>
      </c>
      <c r="F16" s="324"/>
      <c r="G16" s="324"/>
      <c r="H16" s="417"/>
      <c r="I16" s="417"/>
      <c r="J16" s="2201"/>
      <c r="K16" s="1618"/>
      <c r="V16" s="1618">
        <v>14</v>
      </c>
    </row>
    <row customHeight="1" ht="14.699999999999998">
      <c r="K17" s="1618"/>
      <c r="V17" s="1618">
        <v>14</v>
      </c>
    </row>
    <row customHeight="1" ht="22.5" hidden="1">
      <c r="A18" s="1619" t="s">
        <v>83</v>
      </c>
      <c r="B18" s="1618">
        <v>0</v>
      </c>
      <c r="C18" s="462">
        <v>3</v>
      </c>
      <c r="D18" s="1618">
        <v>5</v>
      </c>
      <c r="E18" s="1618">
        <v>38</v>
      </c>
      <c r="F18" s="1618">
        <v>3</v>
      </c>
      <c r="G18" s="1618">
        <v>3</v>
      </c>
      <c r="H18" s="1618">
        <v>38</v>
      </c>
      <c r="I18" s="1618">
        <v>35</v>
      </c>
      <c r="J18" s="1618">
        <v>103</v>
      </c>
      <c r="K18" s="1620">
        <v>3</v>
      </c>
      <c r="L18" s="1625">
        <v>10</v>
      </c>
      <c r="M18" s="1625">
        <v>10</v>
      </c>
      <c r="N18" s="1625">
        <v>10</v>
      </c>
      <c r="O18" s="1625">
        <v>13</v>
      </c>
      <c r="P18" s="1625">
        <v>15</v>
      </c>
      <c r="Q18" s="1625">
        <v>16</v>
      </c>
      <c r="R18" s="1625">
        <v>10</v>
      </c>
      <c r="S18" s="1625">
        <v>10</v>
      </c>
      <c r="T18" s="1625">
        <v>10</v>
      </c>
      <c r="U18" s="1625">
        <v>10</v>
      </c>
      <c r="V18" s="161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